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owan-my.sharepoint.com/personal/gaobar13_students_rowan_edu/Documents/ASC Paper/"/>
    </mc:Choice>
  </mc:AlternateContent>
  <xr:revisionPtr revIDLastSave="0" documentId="8_{AAF84508-9B19-4B81-81DF-68A0891F89FD}" xr6:coauthVersionLast="36" xr6:coauthVersionMax="36" xr10:uidLastSave="{00000000-0000-0000-0000-000000000000}"/>
  <bookViews>
    <workbookView xWindow="0" yWindow="0" windowWidth="19200" windowHeight="7305" firstSheet="3" activeTab="10" xr2:uid="{456C5606-C858-49B4-8891-2462551E438B}"/>
  </bookViews>
  <sheets>
    <sheet name="Material Balances" sheetId="18" r:id="rId1"/>
    <sheet name="Sheet3" sheetId="19" r:id="rId2"/>
    <sheet name="Anti_solvent" sheetId="1" r:id="rId3"/>
    <sheet name="Cost_data" sheetId="20" r:id="rId4"/>
    <sheet name="Anti_Cost_Anal" sheetId="2" r:id="rId5"/>
    <sheet name="Sensitivity" sheetId="8" r:id="rId6"/>
    <sheet name=" LCA_Calc" sheetId="9" r:id="rId7"/>
    <sheet name="Damage Assessment(end)" sheetId="16" r:id="rId8"/>
    <sheet name="AIR" sheetId="12" r:id="rId9"/>
    <sheet name="WATER" sheetId="13" r:id="rId10"/>
    <sheet name="Impact Assessment" sheetId="15" r:id="rId11"/>
    <sheet name="LCI" sheetId="14" r:id="rId12"/>
    <sheet name="Sheet5" sheetId="5" r:id="rId13"/>
    <sheet name="Anti_solvent (2)" sheetId="7" r:id="rId14"/>
    <sheet name="Anti_Cost_Anal (2)" sheetId="6" r:id="rId15"/>
    <sheet name="Sheet1" sheetId="17" r:id="rId16"/>
  </sheets>
  <externalReferences>
    <externalReference r:id="rId17"/>
  </externalReferences>
  <definedNames>
    <definedName name="solver_adj" localSheetId="4" hidden="1">Anti_Cost_Anal!$D$103</definedName>
    <definedName name="solver_adj" localSheetId="14" hidden="1">'Anti_Cost_Anal (2)'!$D$103</definedName>
    <definedName name="solver_adj" localSheetId="5" hidden="1">Sensitivity!$G$27</definedName>
    <definedName name="solver_cvg" localSheetId="4" hidden="1">0.0001</definedName>
    <definedName name="solver_cvg" localSheetId="14" hidden="1">0.0001</definedName>
    <definedName name="solver_cvg" localSheetId="5" hidden="1">0.0001</definedName>
    <definedName name="solver_drv" localSheetId="4" hidden="1">1</definedName>
    <definedName name="solver_drv" localSheetId="14" hidden="1">1</definedName>
    <definedName name="solver_drv" localSheetId="5" hidden="1">2</definedName>
    <definedName name="solver_eng" localSheetId="4" hidden="1">1</definedName>
    <definedName name="solver_eng" localSheetId="14" hidden="1">1</definedName>
    <definedName name="solver_eng" localSheetId="5" hidden="1">1</definedName>
    <definedName name="solver_est" localSheetId="4" hidden="1">1</definedName>
    <definedName name="solver_est" localSheetId="14" hidden="1">1</definedName>
    <definedName name="solver_est" localSheetId="5" hidden="1">1</definedName>
    <definedName name="solver_itr" localSheetId="4" hidden="1">2147483647</definedName>
    <definedName name="solver_itr" localSheetId="14" hidden="1">2147483647</definedName>
    <definedName name="solver_itr" localSheetId="5" hidden="1">2147483647</definedName>
    <definedName name="solver_mip" localSheetId="4" hidden="1">2147483647</definedName>
    <definedName name="solver_mip" localSheetId="14" hidden="1">2147483647</definedName>
    <definedName name="solver_mip" localSheetId="5" hidden="1">2147483647</definedName>
    <definedName name="solver_mni" localSheetId="4" hidden="1">30</definedName>
    <definedName name="solver_mni" localSheetId="14" hidden="1">30</definedName>
    <definedName name="solver_mni" localSheetId="5" hidden="1">30</definedName>
    <definedName name="solver_mrt" localSheetId="4" hidden="1">0.075</definedName>
    <definedName name="solver_mrt" localSheetId="14" hidden="1">0.075</definedName>
    <definedName name="solver_mrt" localSheetId="5" hidden="1">0.075</definedName>
    <definedName name="solver_msl" localSheetId="4" hidden="1">2</definedName>
    <definedName name="solver_msl" localSheetId="14" hidden="1">2</definedName>
    <definedName name="solver_msl" localSheetId="5" hidden="1">2</definedName>
    <definedName name="solver_neg" localSheetId="4" hidden="1">1</definedName>
    <definedName name="solver_neg" localSheetId="14" hidden="1">1</definedName>
    <definedName name="solver_neg" localSheetId="5" hidden="1">1</definedName>
    <definedName name="solver_nod" localSheetId="4" hidden="1">2147483647</definedName>
    <definedName name="solver_nod" localSheetId="14" hidden="1">2147483647</definedName>
    <definedName name="solver_nod" localSheetId="5" hidden="1">2147483647</definedName>
    <definedName name="solver_num" localSheetId="4" hidden="1">0</definedName>
    <definedName name="solver_num" localSheetId="14" hidden="1">0</definedName>
    <definedName name="solver_num" localSheetId="5" hidden="1">0</definedName>
    <definedName name="solver_nwt" localSheetId="4" hidden="1">1</definedName>
    <definedName name="solver_nwt" localSheetId="14" hidden="1">1</definedName>
    <definedName name="solver_nwt" localSheetId="5" hidden="1">1</definedName>
    <definedName name="solver_opt" localSheetId="4" hidden="1">Anti_Cost_Anal!$E$103</definedName>
    <definedName name="solver_opt" localSheetId="14" hidden="1">'Anti_Cost_Anal (2)'!$E$103</definedName>
    <definedName name="solver_opt" localSheetId="5" hidden="1">Sensitivity!$H$27</definedName>
    <definedName name="solver_pre" localSheetId="4" hidden="1">0.000001</definedName>
    <definedName name="solver_pre" localSheetId="14" hidden="1">0.000001</definedName>
    <definedName name="solver_pre" localSheetId="5" hidden="1">0.000001</definedName>
    <definedName name="solver_rbv" localSheetId="4" hidden="1">1</definedName>
    <definedName name="solver_rbv" localSheetId="14" hidden="1">1</definedName>
    <definedName name="solver_rbv" localSheetId="5" hidden="1">2</definedName>
    <definedName name="solver_rlx" localSheetId="4" hidden="1">2</definedName>
    <definedName name="solver_rlx" localSheetId="14" hidden="1">2</definedName>
    <definedName name="solver_rlx" localSheetId="5" hidden="1">2</definedName>
    <definedName name="solver_rsd" localSheetId="4" hidden="1">0</definedName>
    <definedName name="solver_rsd" localSheetId="14" hidden="1">0</definedName>
    <definedName name="solver_rsd" localSheetId="5" hidden="1">0</definedName>
    <definedName name="solver_scl" localSheetId="4" hidden="1">1</definedName>
    <definedName name="solver_scl" localSheetId="14" hidden="1">1</definedName>
    <definedName name="solver_scl" localSheetId="5" hidden="1">2</definedName>
    <definedName name="solver_sho" localSheetId="4" hidden="1">2</definedName>
    <definedName name="solver_sho" localSheetId="14" hidden="1">2</definedName>
    <definedName name="solver_sho" localSheetId="5" hidden="1">2</definedName>
    <definedName name="solver_ssz" localSheetId="4" hidden="1">100</definedName>
    <definedName name="solver_ssz" localSheetId="14" hidden="1">100</definedName>
    <definedName name="solver_ssz" localSheetId="5" hidden="1">100</definedName>
    <definedName name="solver_tim" localSheetId="4" hidden="1">2147483647</definedName>
    <definedName name="solver_tim" localSheetId="14" hidden="1">2147483647</definedName>
    <definedName name="solver_tim" localSheetId="5" hidden="1">2147483647</definedName>
    <definedName name="solver_tol" localSheetId="4" hidden="1">0.01</definedName>
    <definedName name="solver_tol" localSheetId="14" hidden="1">0.01</definedName>
    <definedName name="solver_tol" localSheetId="5" hidden="1">0.01</definedName>
    <definedName name="solver_typ" localSheetId="4" hidden="1">3</definedName>
    <definedName name="solver_typ" localSheetId="14" hidden="1">3</definedName>
    <definedName name="solver_typ" localSheetId="5" hidden="1">3</definedName>
    <definedName name="solver_val" localSheetId="4" hidden="1">0</definedName>
    <definedName name="solver_val" localSheetId="14" hidden="1">0</definedName>
    <definedName name="solver_val" localSheetId="5" hidden="1">0</definedName>
    <definedName name="solver_ver" localSheetId="4" hidden="1">3</definedName>
    <definedName name="solver_ver" localSheetId="1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0" l="1"/>
  <c r="G73" i="20"/>
  <c r="H73" i="20" s="1"/>
  <c r="K72" i="20"/>
  <c r="I72" i="20"/>
  <c r="J72" i="20" s="1"/>
  <c r="G72" i="20"/>
  <c r="H72" i="20" s="1"/>
  <c r="H61" i="20"/>
  <c r="H60" i="20"/>
  <c r="H58" i="20"/>
  <c r="H57" i="20"/>
  <c r="H56" i="20"/>
  <c r="G48" i="20"/>
  <c r="I48" i="20" s="1"/>
  <c r="G47" i="20"/>
  <c r="I47" i="20" s="1"/>
  <c r="G46" i="20"/>
  <c r="J40" i="20"/>
  <c r="J39" i="20"/>
  <c r="J38" i="20"/>
  <c r="J37" i="20"/>
  <c r="N36" i="20"/>
  <c r="O36" i="20" s="1"/>
  <c r="P36" i="20" s="1"/>
  <c r="J36" i="20"/>
  <c r="J35" i="20"/>
  <c r="P34" i="20"/>
  <c r="J34" i="20"/>
  <c r="H34" i="20"/>
  <c r="P33" i="20"/>
  <c r="N33" i="20"/>
  <c r="O33" i="20" s="1"/>
  <c r="J33" i="20"/>
  <c r="J32" i="20"/>
  <c r="P31" i="20"/>
  <c r="J31" i="20"/>
  <c r="P30" i="20"/>
  <c r="J30" i="20"/>
  <c r="H30" i="20"/>
  <c r="P29" i="20"/>
  <c r="J29" i="20"/>
  <c r="N34" i="20" s="1"/>
  <c r="O34" i="20" s="1"/>
  <c r="G17" i="20"/>
  <c r="G19" i="20" s="1"/>
  <c r="H19" i="20" s="1"/>
  <c r="H20" i="20" s="1"/>
  <c r="A17" i="20"/>
  <c r="B17" i="20" s="1"/>
  <c r="I16" i="20"/>
  <c r="J16" i="20" s="1"/>
  <c r="G16" i="20"/>
  <c r="H16" i="20" s="1"/>
  <c r="H48" i="20" s="1"/>
  <c r="I15" i="20"/>
  <c r="J15" i="20" s="1"/>
  <c r="G15" i="20"/>
  <c r="H15" i="20" s="1"/>
  <c r="H47" i="20" s="1"/>
  <c r="V14" i="20"/>
  <c r="S14" i="20"/>
  <c r="Q14" i="20"/>
  <c r="I14" i="20"/>
  <c r="G14" i="20" s="1"/>
  <c r="H14" i="20" s="1"/>
  <c r="H46" i="20" s="1"/>
  <c r="I46" i="20" s="1"/>
  <c r="V13" i="20"/>
  <c r="S13" i="20"/>
  <c r="Q13" i="20"/>
  <c r="C13" i="20"/>
  <c r="V12" i="20"/>
  <c r="S12" i="20"/>
  <c r="Q12" i="20"/>
  <c r="V11" i="20"/>
  <c r="S11" i="20"/>
  <c r="Q11" i="20"/>
  <c r="N37" i="20" s="1"/>
  <c r="V10" i="20"/>
  <c r="S10" i="20"/>
  <c r="Q10" i="20"/>
  <c r="A10" i="20"/>
  <c r="B10" i="20" s="1"/>
  <c r="B13" i="20" s="1"/>
  <c r="A13" i="20" s="1"/>
  <c r="AB9" i="20"/>
  <c r="S9" i="20"/>
  <c r="Q9" i="20"/>
  <c r="N35" i="20" s="1"/>
  <c r="O35" i="20" s="1"/>
  <c r="P35" i="20" s="1"/>
  <c r="AB8" i="20"/>
  <c r="W8" i="20"/>
  <c r="V8" i="20"/>
  <c r="S8" i="20"/>
  <c r="Q8" i="20"/>
  <c r="Q7" i="20"/>
  <c r="C7" i="20"/>
  <c r="AB6" i="20"/>
  <c r="W6" i="20"/>
  <c r="V6" i="20"/>
  <c r="S6" i="20"/>
  <c r="Q6" i="20"/>
  <c r="N32" i="20" s="1"/>
  <c r="O32" i="20" s="1"/>
  <c r="P32" i="20" s="1"/>
  <c r="W5" i="20"/>
  <c r="V5" i="20"/>
  <c r="S5" i="20"/>
  <c r="Q5" i="20"/>
  <c r="N31" i="20" s="1"/>
  <c r="O31" i="20" s="1"/>
  <c r="AB4" i="20"/>
  <c r="V4" i="20"/>
  <c r="S4" i="20"/>
  <c r="Q4" i="20"/>
  <c r="A4" i="20"/>
  <c r="B4" i="20" s="1"/>
  <c r="B7" i="20" s="1"/>
  <c r="A7" i="20" s="1"/>
  <c r="AB3" i="20"/>
  <c r="W3" i="20"/>
  <c r="W4" i="20" s="1"/>
  <c r="N30" i="20" s="1"/>
  <c r="O30" i="20" s="1"/>
  <c r="V3" i="20"/>
  <c r="S3" i="20"/>
  <c r="Q3" i="20"/>
  <c r="N29" i="20" s="1"/>
  <c r="O29" i="20" s="1"/>
  <c r="N31" i="19"/>
  <c r="O31" i="19" s="1"/>
  <c r="Q31" i="19" s="1"/>
  <c r="B31" i="19"/>
  <c r="N30" i="19"/>
  <c r="O30" i="19" s="1"/>
  <c r="Q30" i="19" s="1"/>
  <c r="D29" i="19"/>
  <c r="D28" i="19"/>
  <c r="B30" i="19" s="1"/>
  <c r="J25" i="19"/>
  <c r="M22" i="19" s="1"/>
  <c r="N19" i="19" s="1"/>
  <c r="B25" i="19"/>
  <c r="B33" i="19" s="1"/>
  <c r="N29" i="19" s="1"/>
  <c r="O29" i="19" s="1"/>
  <c r="J24" i="19"/>
  <c r="L23" i="19"/>
  <c r="B23" i="19"/>
  <c r="D22" i="19"/>
  <c r="B22" i="19"/>
  <c r="M21" i="19"/>
  <c r="E21" i="19"/>
  <c r="M20" i="19"/>
  <c r="E20" i="19"/>
  <c r="E19" i="19"/>
  <c r="D18" i="19"/>
  <c r="AB99" i="18"/>
  <c r="AE89" i="18"/>
  <c r="AD89" i="18"/>
  <c r="AC89" i="18"/>
  <c r="AA89" i="18"/>
  <c r="D89" i="18"/>
  <c r="C89" i="18"/>
  <c r="Y88" i="18"/>
  <c r="D88" i="18"/>
  <c r="AC87" i="18"/>
  <c r="AE86" i="18"/>
  <c r="AD86" i="18"/>
  <c r="AC86" i="18"/>
  <c r="AA86" i="18"/>
  <c r="J85" i="18"/>
  <c r="P85" i="18" s="1"/>
  <c r="Q85" i="18" s="1"/>
  <c r="D87" i="18" s="1"/>
  <c r="E87" i="18" s="1"/>
  <c r="U84" i="18"/>
  <c r="P84" i="18"/>
  <c r="Q84" i="18" s="1"/>
  <c r="D86" i="18" s="1"/>
  <c r="E86" i="18" s="1"/>
  <c r="P74" i="18"/>
  <c r="Q74" i="18" s="1"/>
  <c r="D76" i="18" s="1"/>
  <c r="E76" i="18" s="1"/>
  <c r="Y73" i="18"/>
  <c r="Y74" i="18" s="1"/>
  <c r="Y75" i="18" s="1"/>
  <c r="J73" i="18"/>
  <c r="P73" i="18" s="1"/>
  <c r="Q73" i="18" s="1"/>
  <c r="D75" i="18" s="1"/>
  <c r="E75" i="18" s="1"/>
  <c r="U70" i="18" s="1"/>
  <c r="Y72" i="18"/>
  <c r="F66" i="18"/>
  <c r="E66" i="18"/>
  <c r="Z89" i="18" s="1"/>
  <c r="C66" i="18"/>
  <c r="D66" i="18" s="1"/>
  <c r="H65" i="18"/>
  <c r="D64" i="18"/>
  <c r="G63" i="18"/>
  <c r="C88" i="18" s="1"/>
  <c r="F63" i="18"/>
  <c r="E63" i="18"/>
  <c r="C63" i="18"/>
  <c r="F58" i="18"/>
  <c r="F57" i="18"/>
  <c r="F65" i="18" s="1"/>
  <c r="C57" i="18"/>
  <c r="F64" i="18" s="1"/>
  <c r="F56" i="18"/>
  <c r="D65" i="18" s="1"/>
  <c r="C56" i="18"/>
  <c r="N51" i="18"/>
  <c r="J51" i="18"/>
  <c r="E23" i="18"/>
  <c r="I18" i="18"/>
  <c r="I19" i="18" s="1"/>
  <c r="H18" i="18"/>
  <c r="H19" i="18" s="1"/>
  <c r="G18" i="18"/>
  <c r="G19" i="18" s="1"/>
  <c r="F18" i="18"/>
  <c r="F19" i="18" s="1"/>
  <c r="G14" i="18"/>
  <c r="F14" i="18"/>
  <c r="I13" i="18"/>
  <c r="H13" i="18"/>
  <c r="G13" i="18"/>
  <c r="F13" i="18"/>
  <c r="L12" i="18"/>
  <c r="G11" i="18"/>
  <c r="F11" i="18"/>
  <c r="L10" i="18"/>
  <c r="L11" i="18" s="1"/>
  <c r="L9" i="18"/>
  <c r="L13" i="18" s="1"/>
  <c r="L8" i="18"/>
  <c r="L7" i="18"/>
  <c r="E6" i="18"/>
  <c r="E17" i="18" s="1"/>
  <c r="E18" i="18" s="1"/>
  <c r="E19" i="18" s="1"/>
  <c r="F5" i="18"/>
  <c r="E5" i="18"/>
  <c r="D5" i="18"/>
  <c r="I4" i="18"/>
  <c r="I5" i="18" s="1"/>
  <c r="G4" i="18"/>
  <c r="H4" i="18" s="1"/>
  <c r="I49" i="20" l="1"/>
  <c r="N38" i="20"/>
  <c r="O38" i="20" s="1"/>
  <c r="P38" i="20" s="1"/>
  <c r="N39" i="20"/>
  <c r="O39" i="20" s="1"/>
  <c r="P39" i="20" s="1"/>
  <c r="O37" i="20"/>
  <c r="P37" i="20" s="1"/>
  <c r="N40" i="20"/>
  <c r="O40" i="20" s="1"/>
  <c r="P40" i="20" s="1"/>
  <c r="J14" i="20"/>
  <c r="I73" i="20"/>
  <c r="J73" i="20" s="1"/>
  <c r="N28" i="19"/>
  <c r="F67" i="18"/>
  <c r="E89" i="18"/>
  <c r="F89" i="18" s="1"/>
  <c r="AB81" i="18"/>
  <c r="AC81" i="18" s="1"/>
  <c r="AA88" i="18" s="1"/>
  <c r="AB88" i="18" s="1"/>
  <c r="AB80" i="18"/>
  <c r="AC80" i="18" s="1"/>
  <c r="AA87" i="18" s="1"/>
  <c r="D11" i="18"/>
  <c r="D13" i="18" s="1"/>
  <c r="D14" i="18" s="1"/>
  <c r="G88" i="18"/>
  <c r="F88" i="18"/>
  <c r="D6" i="18"/>
  <c r="H7" i="18" s="1"/>
  <c r="H8" i="18" s="1"/>
  <c r="H9" i="18" s="1"/>
  <c r="H10" i="18" s="1"/>
  <c r="U71" i="18"/>
  <c r="U72" i="18" s="1"/>
  <c r="C65" i="18"/>
  <c r="E88" i="18"/>
  <c r="H5" i="18"/>
  <c r="D63" i="18"/>
  <c r="D67" i="18" s="1"/>
  <c r="G5" i="18"/>
  <c r="C58" i="18"/>
  <c r="H64" i="18" s="1"/>
  <c r="G89" i="18"/>
  <c r="K34" i="19" l="1"/>
  <c r="K35" i="19" s="1"/>
  <c r="O28" i="19"/>
  <c r="P28" i="19" s="1"/>
  <c r="Q28" i="19" s="1"/>
  <c r="AB86" i="18"/>
  <c r="C64" i="18"/>
  <c r="H67" i="18"/>
  <c r="E65" i="18"/>
  <c r="AD88" i="18"/>
  <c r="E64" i="18"/>
  <c r="F7" i="18"/>
  <c r="F8" i="18" s="1"/>
  <c r="F9" i="18" s="1"/>
  <c r="F10" i="18" s="1"/>
  <c r="E7" i="18"/>
  <c r="E8" i="18" s="1"/>
  <c r="E9" i="18" s="1"/>
  <c r="E10" i="18" s="1"/>
  <c r="E12" i="18" s="1"/>
  <c r="E15" i="18" s="1"/>
  <c r="E16" i="18" s="1"/>
  <c r="D7" i="18"/>
  <c r="D8" i="18" s="1"/>
  <c r="D9" i="18" s="1"/>
  <c r="D10" i="18" s="1"/>
  <c r="G7" i="18"/>
  <c r="G8" i="18" s="1"/>
  <c r="G9" i="18" s="1"/>
  <c r="G10" i="18" s="1"/>
  <c r="D17" i="18"/>
  <c r="D18" i="18" s="1"/>
  <c r="D19" i="18" s="1"/>
  <c r="I7" i="18"/>
  <c r="I8" i="18" s="1"/>
  <c r="I9" i="18" s="1"/>
  <c r="I10" i="18" s="1"/>
  <c r="G64" i="18"/>
  <c r="AB87" i="18"/>
  <c r="AB89" i="18"/>
  <c r="C86" i="18" l="1"/>
  <c r="D12" i="18"/>
  <c r="D15" i="18" s="1"/>
  <c r="Z87" i="18"/>
  <c r="C75" i="18"/>
  <c r="E67" i="18"/>
  <c r="C76" i="18"/>
  <c r="Z88" i="18"/>
  <c r="AE88" i="18" s="1"/>
  <c r="U76" i="18"/>
  <c r="H66" i="18"/>
  <c r="G65" i="18"/>
  <c r="C87" i="18" s="1"/>
  <c r="U75" i="18" s="1"/>
  <c r="H63" i="18"/>
  <c r="G12" i="18"/>
  <c r="G15" i="18" s="1"/>
  <c r="Y87" i="18"/>
  <c r="AF94" i="18" s="1"/>
  <c r="AF95" i="18" s="1"/>
  <c r="C67" i="18"/>
  <c r="Y90" i="18" s="1"/>
  <c r="D16" i="18" l="1"/>
  <c r="G16" i="18" s="1"/>
  <c r="G76" i="18"/>
  <c r="F76" i="18"/>
  <c r="U74" i="18"/>
  <c r="C78" i="18"/>
  <c r="F75" i="18"/>
  <c r="G75" i="18"/>
  <c r="G78" i="18" s="1"/>
  <c r="U73" i="18"/>
  <c r="U80" i="18" s="1"/>
  <c r="H12" i="18"/>
  <c r="H15" i="18" s="1"/>
  <c r="H16" i="18" s="1"/>
  <c r="C90" i="18"/>
  <c r="G86" i="18"/>
  <c r="G90" i="18" s="1"/>
  <c r="F86" i="18"/>
  <c r="F90" i="18" s="1"/>
  <c r="Z90" i="18"/>
  <c r="G67" i="18"/>
  <c r="AD87" i="18"/>
  <c r="AD90" i="18" s="1"/>
  <c r="G87" i="18"/>
  <c r="AC88" i="18"/>
  <c r="F87" i="18"/>
  <c r="F12" i="18"/>
  <c r="F15" i="18" s="1"/>
  <c r="F16" i="18" s="1"/>
  <c r="I16" i="18" s="1"/>
  <c r="I12" i="18"/>
  <c r="I15" i="18" s="1"/>
  <c r="AE87" i="18"/>
  <c r="AE90" i="18" s="1"/>
  <c r="Y93" i="18" s="1"/>
  <c r="Y94" i="18" s="1"/>
  <c r="AB100" i="18" l="1"/>
  <c r="U81" i="18"/>
  <c r="AB96" i="18"/>
  <c r="AB97" i="18" s="1"/>
  <c r="AB98" i="18"/>
  <c r="AB101" i="18" l="1"/>
  <c r="U90" i="18" s="1"/>
  <c r="AF96" i="18"/>
  <c r="AF98" i="18" l="1"/>
  <c r="AF97" i="18" s="1"/>
  <c r="AF100" i="18" s="1"/>
  <c r="B90" i="2" l="1"/>
  <c r="L10" i="2"/>
  <c r="B66" i="2"/>
  <c r="R20" i="9" l="1"/>
  <c r="R21" i="9" s="1"/>
  <c r="R22" i="9" s="1"/>
  <c r="O11" i="8"/>
  <c r="K29" i="15" l="1"/>
  <c r="L29" i="15"/>
  <c r="U19" i="15"/>
  <c r="U18" i="15"/>
  <c r="U17" i="15"/>
  <c r="U16" i="15"/>
  <c r="U15" i="15"/>
  <c r="B20" i="1"/>
  <c r="D20" i="1" s="1"/>
  <c r="B23" i="1"/>
  <c r="D23" i="1" s="1"/>
  <c r="B22" i="1"/>
  <c r="C22" i="1" s="1"/>
  <c r="B21" i="1"/>
  <c r="D21" i="1" s="1"/>
  <c r="C21" i="1" l="1"/>
  <c r="D22" i="1"/>
  <c r="C23" i="1"/>
  <c r="M35" i="15"/>
  <c r="L30" i="15" s="1"/>
  <c r="L35" i="15"/>
  <c r="K30" i="15" s="1"/>
  <c r="R7" i="9"/>
  <c r="B80" i="16"/>
  <c r="B77" i="16"/>
  <c r="C77" i="16" s="1"/>
  <c r="B74" i="16"/>
  <c r="B71" i="16"/>
  <c r="S34" i="16" l="1"/>
  <c r="N19" i="9"/>
  <c r="P7" i="9" l="1"/>
  <c r="P6" i="9"/>
  <c r="P5" i="9"/>
  <c r="P4" i="9"/>
  <c r="R8" i="9"/>
  <c r="Q7" i="9"/>
  <c r="Q6" i="9"/>
  <c r="Q5" i="9"/>
  <c r="Q4" i="9"/>
  <c r="X24" i="9" l="1"/>
  <c r="E22" i="9"/>
  <c r="S37" i="16" s="1"/>
  <c r="L16" i="9"/>
  <c r="T35" i="16" s="1"/>
  <c r="X23" i="9"/>
  <c r="X22" i="9"/>
  <c r="L19" i="9"/>
  <c r="M19" i="9" s="1"/>
  <c r="T36" i="16" s="1"/>
  <c r="L22" i="9"/>
  <c r="T37" i="16" s="1"/>
  <c r="S39" i="16" s="1"/>
  <c r="R18" i="9"/>
  <c r="E16" i="9"/>
  <c r="S35" i="16" s="1"/>
  <c r="E19" i="9"/>
  <c r="F19" i="9" s="1"/>
  <c r="S36" i="16" s="1"/>
  <c r="E13" i="9"/>
  <c r="L12" i="9"/>
  <c r="T34" i="16" s="1"/>
  <c r="I42" i="9"/>
  <c r="I67" i="9"/>
  <c r="E67" i="9"/>
  <c r="I60" i="9"/>
  <c r="E60" i="9"/>
  <c r="I54" i="9"/>
  <c r="E54" i="9"/>
  <c r="E48" i="9"/>
  <c r="E42" i="9"/>
  <c r="I34" i="9"/>
  <c r="E34" i="9"/>
  <c r="F34" i="9" s="1"/>
  <c r="I48" i="9"/>
  <c r="K10" i="2" l="1"/>
  <c r="F10" i="2"/>
  <c r="G10" i="2"/>
  <c r="E10" i="2"/>
  <c r="F27" i="8"/>
  <c r="O35" i="8" s="1"/>
  <c r="O30" i="8"/>
  <c r="O29" i="8"/>
  <c r="O28" i="8"/>
  <c r="O24" i="8"/>
  <c r="O22" i="8"/>
  <c r="O20" i="8"/>
  <c r="O19" i="8"/>
  <c r="O18" i="8"/>
  <c r="O17" i="8"/>
  <c r="P11" i="8"/>
  <c r="O12" i="8"/>
  <c r="P12" i="8" s="1"/>
  <c r="U9" i="8"/>
  <c r="Q12" i="8"/>
  <c r="R12" i="8" s="1"/>
  <c r="Q11" i="8"/>
  <c r="Q13" i="8" s="1"/>
  <c r="Q14" i="8" s="1"/>
  <c r="V10" i="8" s="1"/>
  <c r="Q4" i="8"/>
  <c r="R4" i="8" s="1"/>
  <c r="Q3" i="8"/>
  <c r="R3" i="8" s="1"/>
  <c r="F25" i="8"/>
  <c r="O33" i="8" s="1"/>
  <c r="F23" i="8"/>
  <c r="O31" i="8" s="1"/>
  <c r="B12" i="8"/>
  <c r="B13" i="8"/>
  <c r="F22" i="8"/>
  <c r="F21" i="8"/>
  <c r="O4" i="8"/>
  <c r="P4" i="8" s="1"/>
  <c r="O3" i="8"/>
  <c r="P3" i="8" s="1"/>
  <c r="B14" i="8"/>
  <c r="B11" i="8"/>
  <c r="B10" i="8"/>
  <c r="B9" i="8"/>
  <c r="B8" i="8"/>
  <c r="E2" i="8"/>
  <c r="B2" i="8"/>
  <c r="AB16" i="2"/>
  <c r="AD9" i="2"/>
  <c r="AC9" i="2"/>
  <c r="K6" i="2"/>
  <c r="M2" i="2"/>
  <c r="M16" i="2"/>
  <c r="M17" i="2"/>
  <c r="M25" i="2"/>
  <c r="M33" i="2"/>
  <c r="B23" i="6"/>
  <c r="B24" i="6" s="1"/>
  <c r="B33" i="6"/>
  <c r="B34" i="6" s="1"/>
  <c r="E6" i="6"/>
  <c r="F6" i="6"/>
  <c r="G6" i="6"/>
  <c r="J6" i="6"/>
  <c r="V6" i="6"/>
  <c r="X6" i="6" s="1"/>
  <c r="W6" i="6"/>
  <c r="D104" i="6"/>
  <c r="B108" i="6" s="1"/>
  <c r="K89" i="6"/>
  <c r="B86" i="6"/>
  <c r="B85" i="6"/>
  <c r="B84" i="6"/>
  <c r="B83" i="6"/>
  <c r="B82" i="6"/>
  <c r="H80" i="6"/>
  <c r="I80" i="6" s="1"/>
  <c r="B80" i="6"/>
  <c r="B81" i="6" s="1"/>
  <c r="I79" i="6"/>
  <c r="H79" i="6"/>
  <c r="B78" i="6"/>
  <c r="B79" i="6" s="1"/>
  <c r="C79" i="6" s="1"/>
  <c r="B76" i="6"/>
  <c r="B77" i="6" s="1"/>
  <c r="B74" i="6"/>
  <c r="B75" i="6" s="1"/>
  <c r="C75" i="6" s="1"/>
  <c r="B71" i="6"/>
  <c r="B70" i="6"/>
  <c r="B68" i="6"/>
  <c r="B65" i="6"/>
  <c r="B64" i="6"/>
  <c r="B63" i="6"/>
  <c r="B60" i="6"/>
  <c r="B61" i="6" s="1"/>
  <c r="B35" i="6"/>
  <c r="M33" i="6"/>
  <c r="M25" i="6"/>
  <c r="B25" i="6"/>
  <c r="T19" i="6"/>
  <c r="T18" i="6"/>
  <c r="T17" i="6"/>
  <c r="M17" i="6"/>
  <c r="T16" i="6"/>
  <c r="M16" i="6"/>
  <c r="L14" i="6"/>
  <c r="M14" i="6" s="1"/>
  <c r="W11" i="6"/>
  <c r="X11" i="6" s="1"/>
  <c r="Y11" i="6" s="1"/>
  <c r="L9" i="6"/>
  <c r="K9" i="6"/>
  <c r="J9" i="6"/>
  <c r="G9" i="6"/>
  <c r="H9" i="6" s="1"/>
  <c r="I9" i="6" s="1"/>
  <c r="F9" i="6"/>
  <c r="E9" i="6" s="1"/>
  <c r="V8" i="6"/>
  <c r="L8" i="6"/>
  <c r="K8" i="6"/>
  <c r="J8" i="6"/>
  <c r="G8" i="6"/>
  <c r="H8" i="6" s="1"/>
  <c r="I8" i="6" s="1"/>
  <c r="F8" i="6"/>
  <c r="E8" i="6"/>
  <c r="W7" i="6"/>
  <c r="V7" i="6"/>
  <c r="L7" i="6"/>
  <c r="K7" i="6"/>
  <c r="J7" i="6"/>
  <c r="G7" i="6"/>
  <c r="H7" i="6" s="1"/>
  <c r="I7" i="6" s="1"/>
  <c r="F7" i="6"/>
  <c r="E7" i="6"/>
  <c r="K5" i="6"/>
  <c r="J5" i="6"/>
  <c r="H5" i="6"/>
  <c r="I5" i="6" s="1"/>
  <c r="AC4" i="6"/>
  <c r="V4" i="6"/>
  <c r="O4" i="6"/>
  <c r="N4" i="6"/>
  <c r="L4" i="6"/>
  <c r="K4" i="6"/>
  <c r="J4" i="6"/>
  <c r="G4" i="6"/>
  <c r="E4" i="6"/>
  <c r="H4" i="6" s="1"/>
  <c r="I4" i="6" s="1"/>
  <c r="AC3" i="6"/>
  <c r="Y3" i="6"/>
  <c r="V3" i="6"/>
  <c r="K3" i="6"/>
  <c r="J3" i="6"/>
  <c r="G3" i="6"/>
  <c r="AC2" i="6"/>
  <c r="Y2" i="6"/>
  <c r="V2" i="6"/>
  <c r="Q2" i="6"/>
  <c r="J80" i="6" s="1"/>
  <c r="M2" i="6"/>
  <c r="K2" i="6"/>
  <c r="J2" i="6"/>
  <c r="G2" i="6"/>
  <c r="F2" i="6"/>
  <c r="J5" i="8" l="1"/>
  <c r="K5" i="8" s="1"/>
  <c r="K6" i="8" s="1"/>
  <c r="L6" i="8" s="1"/>
  <c r="D10" i="8" s="1"/>
  <c r="C10" i="8" s="1"/>
  <c r="H6" i="6"/>
  <c r="I6" i="6" s="1"/>
  <c r="Q5" i="8"/>
  <c r="Q6" i="8" s="1"/>
  <c r="V9" i="8" s="1"/>
  <c r="U10" i="8" s="1"/>
  <c r="R11" i="8"/>
  <c r="R13" i="8" s="1"/>
  <c r="R14" i="8" s="1"/>
  <c r="P18" i="8" s="1"/>
  <c r="P29" i="8" s="1"/>
  <c r="R5" i="8"/>
  <c r="R6" i="8" s="1"/>
  <c r="G10" i="8" s="1"/>
  <c r="G21" i="8" s="1"/>
  <c r="J79" i="6"/>
  <c r="J81" i="6" s="1"/>
  <c r="J82" i="6" s="1"/>
  <c r="B106" i="6" s="1"/>
  <c r="B26" i="6"/>
  <c r="C26" i="6" s="1"/>
  <c r="L2" i="6" s="1"/>
  <c r="L55" i="6"/>
  <c r="N55" i="6" s="1"/>
  <c r="O55" i="6" s="1"/>
  <c r="B36" i="6"/>
  <c r="C36" i="6" s="1"/>
  <c r="B37" i="6" s="1"/>
  <c r="E3" i="6" s="1"/>
  <c r="H3" i="6" s="1"/>
  <c r="I3" i="6" s="1"/>
  <c r="L30" i="6"/>
  <c r="N30" i="6" s="1"/>
  <c r="O30" i="6" s="1"/>
  <c r="R3" i="6"/>
  <c r="X7" i="6"/>
  <c r="X9" i="6" s="1"/>
  <c r="B66" i="6"/>
  <c r="C66" i="6" s="1"/>
  <c r="B67" i="6" s="1"/>
  <c r="C67" i="6" s="1"/>
  <c r="L6" i="6" s="1"/>
  <c r="B62" i="6"/>
  <c r="C62" i="6" s="1"/>
  <c r="L80" i="6"/>
  <c r="B69" i="6"/>
  <c r="C69" i="6" s="1"/>
  <c r="B89" i="6"/>
  <c r="B90" i="6"/>
  <c r="G88" i="6"/>
  <c r="W8" i="6"/>
  <c r="X8" i="6" s="1"/>
  <c r="B87" i="6"/>
  <c r="B88" i="6" s="1"/>
  <c r="B27" i="6" l="1"/>
  <c r="E2" i="6" s="1"/>
  <c r="H2" i="6" s="1"/>
  <c r="I2" i="6" s="1"/>
  <c r="S12" i="6" s="1"/>
  <c r="U19" i="6"/>
  <c r="X19" i="6" s="1"/>
  <c r="K80" i="6"/>
  <c r="K79" i="6"/>
  <c r="L45" i="6"/>
  <c r="L79" i="6"/>
  <c r="L81" i="6" s="1"/>
  <c r="L82" i="6" s="1"/>
  <c r="G86" i="6" s="1"/>
  <c r="H86" i="6" s="1"/>
  <c r="B107" i="6" s="1"/>
  <c r="B91" i="6"/>
  <c r="B92" i="6" s="1"/>
  <c r="C92" i="6" s="1"/>
  <c r="L5" i="6" s="1"/>
  <c r="L20" i="6"/>
  <c r="L50" i="6"/>
  <c r="N50" i="6" s="1"/>
  <c r="O50" i="6" s="1"/>
  <c r="Y9" i="6"/>
  <c r="L37" i="6" s="1"/>
  <c r="N37" i="6"/>
  <c r="O37" i="6" s="1"/>
  <c r="U17" i="6"/>
  <c r="X17" i="6" s="1"/>
  <c r="N45" i="6"/>
  <c r="O45" i="6" s="1"/>
  <c r="X20" i="6"/>
  <c r="F91" i="6"/>
  <c r="F92" i="6" s="1"/>
  <c r="U16" i="6"/>
  <c r="X16" i="6" s="1"/>
  <c r="N20" i="6"/>
  <c r="O20" i="6" s="1"/>
  <c r="L62" i="6" l="1"/>
  <c r="N62" i="6" s="1"/>
  <c r="O62" i="6" s="1"/>
  <c r="U18" i="6"/>
  <c r="X18" i="6" s="1"/>
  <c r="K88" i="6"/>
  <c r="F93" i="6"/>
  <c r="K87" i="6"/>
  <c r="F94" i="6"/>
  <c r="G94" i="6" s="1"/>
  <c r="F96" i="6" s="1"/>
  <c r="X21" i="6"/>
  <c r="F90" i="6"/>
  <c r="G87" i="6" s="1"/>
  <c r="H87" i="6" s="1"/>
  <c r="V8" i="2"/>
  <c r="Y3" i="2"/>
  <c r="B63" i="2"/>
  <c r="B64" i="2"/>
  <c r="E6" i="2"/>
  <c r="E4" i="2"/>
  <c r="B25" i="2"/>
  <c r="AC2" i="2"/>
  <c r="V4" i="2"/>
  <c r="L14" i="2"/>
  <c r="M14" i="2" s="1"/>
  <c r="B78" i="2"/>
  <c r="B76" i="2"/>
  <c r="B74" i="2"/>
  <c r="B60" i="2"/>
  <c r="B33" i="2"/>
  <c r="B23" i="2"/>
  <c r="B24" i="2" s="1"/>
  <c r="A2" i="8" l="1"/>
  <c r="F2" i="8" s="1"/>
  <c r="F89" i="6"/>
  <c r="K86" i="6"/>
  <c r="L86" i="6" s="1"/>
  <c r="F97" i="6" s="1"/>
  <c r="F99" i="6" s="1"/>
  <c r="V6" i="2"/>
  <c r="F100" i="6" l="1"/>
  <c r="F103" i="6"/>
  <c r="E103" i="6" s="1"/>
  <c r="T16" i="2" l="1"/>
  <c r="T19" i="2" l="1"/>
  <c r="T18" i="2"/>
  <c r="T17" i="2"/>
  <c r="O4" i="2"/>
  <c r="W7" i="2"/>
  <c r="W6" i="2"/>
  <c r="Q2" i="2"/>
  <c r="V7" i="2"/>
  <c r="AC4" i="2"/>
  <c r="AC3" i="2"/>
  <c r="Y2" i="2"/>
  <c r="V3" i="2"/>
  <c r="V2" i="2"/>
  <c r="L8" i="2"/>
  <c r="L9" i="2"/>
  <c r="L7" i="2"/>
  <c r="K3" i="2"/>
  <c r="K2" i="2"/>
  <c r="N4" i="2"/>
  <c r="L55" i="2" s="1"/>
  <c r="L4" i="2"/>
  <c r="B65" i="2"/>
  <c r="B84" i="2"/>
  <c r="B86" i="2"/>
  <c r="B85" i="2"/>
  <c r="B83" i="2"/>
  <c r="B82" i="2"/>
  <c r="B80" i="2"/>
  <c r="B70" i="2"/>
  <c r="B71" i="2"/>
  <c r="B68" i="2"/>
  <c r="B35" i="2"/>
  <c r="K5" i="2"/>
  <c r="K7" i="2"/>
  <c r="K8" i="2"/>
  <c r="K9" i="2"/>
  <c r="G9" i="2"/>
  <c r="H9" i="2" s="1"/>
  <c r="I9" i="2" s="1"/>
  <c r="G8" i="2"/>
  <c r="H8" i="2" s="1"/>
  <c r="I8" i="2" s="1"/>
  <c r="G7" i="2"/>
  <c r="H7" i="2" s="1"/>
  <c r="I7" i="2" s="1"/>
  <c r="G6" i="2"/>
  <c r="G4" i="2"/>
  <c r="G3" i="2"/>
  <c r="F9" i="2"/>
  <c r="E9" i="2" s="1"/>
  <c r="F8" i="2"/>
  <c r="E8" i="2" s="1"/>
  <c r="F7" i="2"/>
  <c r="E7" i="2" s="1"/>
  <c r="F6" i="2"/>
  <c r="H5" i="2"/>
  <c r="I5" i="2" s="1"/>
  <c r="K4" i="2"/>
  <c r="F2" i="2"/>
  <c r="G2" i="2"/>
  <c r="J9" i="2"/>
  <c r="J10" i="2" s="1"/>
  <c r="H10" i="2" s="1"/>
  <c r="I10" i="2" s="1"/>
  <c r="J8" i="2"/>
  <c r="J7" i="2"/>
  <c r="J6" i="2"/>
  <c r="J5" i="2"/>
  <c r="J4" i="2"/>
  <c r="J3" i="2"/>
  <c r="J2" i="2"/>
  <c r="L30" i="2" l="1"/>
  <c r="C2" i="8"/>
  <c r="AD10" i="2"/>
  <c r="AC10" i="2"/>
  <c r="W8" i="2"/>
  <c r="D2" i="8"/>
  <c r="C4" i="8" s="1"/>
  <c r="B81" i="2"/>
  <c r="B87" i="2" s="1"/>
  <c r="R3" i="2"/>
  <c r="L45" i="2"/>
  <c r="N45" i="2" s="1"/>
  <c r="H6" i="2"/>
  <c r="I6" i="2" s="1"/>
  <c r="W11" i="2"/>
  <c r="X11" i="2" s="1"/>
  <c r="Y11" i="2" s="1"/>
  <c r="X6" i="2"/>
  <c r="N55" i="2"/>
  <c r="O55" i="2" s="1"/>
  <c r="X7" i="2"/>
  <c r="H4" i="2"/>
  <c r="I4" i="2" s="1"/>
  <c r="B26" i="2"/>
  <c r="C26" i="2" s="1"/>
  <c r="L2" i="2" s="1"/>
  <c r="AC30" i="2" l="1"/>
  <c r="AC11" i="2"/>
  <c r="C24" i="8"/>
  <c r="D13" i="8"/>
  <c r="C13" i="8" s="1"/>
  <c r="B27" i="2"/>
  <c r="U17" i="2"/>
  <c r="X17" i="2" s="1"/>
  <c r="N30" i="2"/>
  <c r="O30" i="2" s="1"/>
  <c r="U19" i="2"/>
  <c r="X19" i="2" s="1"/>
  <c r="O45" i="2"/>
  <c r="E2" i="2"/>
  <c r="H2" i="2" s="1"/>
  <c r="X20" i="2" l="1"/>
  <c r="C20" i="8"/>
  <c r="D9" i="8"/>
  <c r="C22" i="8"/>
  <c r="D11" i="8"/>
  <c r="C11" i="8" s="1"/>
  <c r="G14" i="8"/>
  <c r="G25" i="8"/>
  <c r="P33" i="8" s="1"/>
  <c r="I2" i="2"/>
  <c r="B79" i="2"/>
  <c r="C79" i="2" s="1"/>
  <c r="B61" i="2"/>
  <c r="B75" i="2"/>
  <c r="C75" i="2" s="1"/>
  <c r="B88" i="2" s="1"/>
  <c r="B77" i="2"/>
  <c r="Q20" i="2" l="1"/>
  <c r="P22" i="8"/>
  <c r="C9" i="8"/>
  <c r="B89" i="2"/>
  <c r="X8" i="2"/>
  <c r="X9" i="2" s="1"/>
  <c r="B34" i="2"/>
  <c r="B36" i="2" s="1"/>
  <c r="C36" i="2" s="1"/>
  <c r="B37" i="2" s="1"/>
  <c r="E3" i="2" s="1"/>
  <c r="H3" i="2" s="1"/>
  <c r="I3" i="2" s="1"/>
  <c r="S12" i="2" s="1"/>
  <c r="B62" i="2"/>
  <c r="C62" i="2" s="1"/>
  <c r="C66" i="2"/>
  <c r="B67" i="2" s="1"/>
  <c r="X16" i="2" l="1"/>
  <c r="U2" i="8"/>
  <c r="U3" i="8" s="1"/>
  <c r="L20" i="2"/>
  <c r="B91" i="2"/>
  <c r="U16" i="2"/>
  <c r="N20" i="2"/>
  <c r="N37" i="2"/>
  <c r="O37" i="2" s="1"/>
  <c r="C21" i="8" s="1"/>
  <c r="Y9" i="2"/>
  <c r="L37" i="2" s="1"/>
  <c r="C67" i="2"/>
  <c r="L6" i="2" s="1"/>
  <c r="B69" i="2"/>
  <c r="C69" i="2" s="1"/>
  <c r="B92" i="2" l="1"/>
  <c r="C92" i="2" s="1"/>
  <c r="L5" i="2" s="1"/>
  <c r="O20" i="2"/>
  <c r="AC24" i="2" s="1"/>
  <c r="X21" i="2"/>
  <c r="A44" i="2" l="1"/>
  <c r="L50" i="2"/>
  <c r="U18" i="2" s="1"/>
  <c r="C19" i="8"/>
  <c r="D8" i="8"/>
  <c r="L62" i="2"/>
  <c r="N50" i="2"/>
  <c r="X18" i="2"/>
  <c r="O50" i="2" l="1"/>
  <c r="AD16" i="2"/>
  <c r="AE16" i="2" s="1"/>
  <c r="C8" i="8"/>
  <c r="N62" i="2"/>
  <c r="O62" i="2" s="1"/>
  <c r="V45" i="2" l="1"/>
  <c r="V41" i="2"/>
  <c r="V46" i="2"/>
  <c r="V43" i="2"/>
  <c r="V44" i="2"/>
  <c r="V42" i="2"/>
  <c r="AD19" i="2"/>
  <c r="C23" i="8"/>
  <c r="G11" i="8" s="1"/>
  <c r="G12" i="8" s="1"/>
  <c r="D12" i="8"/>
  <c r="P19" i="8" l="1"/>
  <c r="P20" i="8" s="1"/>
  <c r="R24" i="8" s="1"/>
  <c r="Q24" i="8" s="1"/>
  <c r="C12" i="8"/>
  <c r="G22" i="8"/>
  <c r="P30" i="8" s="1"/>
  <c r="D14" i="8"/>
  <c r="G23" i="8" s="1"/>
  <c r="I27" i="8" s="1"/>
  <c r="H27" i="8" s="1"/>
  <c r="C25" i="8"/>
  <c r="P31" i="8" l="1"/>
  <c r="R35" i="8" s="1"/>
  <c r="Q35" i="8" s="1"/>
  <c r="I16" i="8"/>
  <c r="H16" i="8" s="1"/>
</calcChain>
</file>

<file path=xl/sharedStrings.xml><?xml version="1.0" encoding="utf-8"?>
<sst xmlns="http://schemas.openxmlformats.org/spreadsheetml/2006/main" count="4774" uniqueCount="1099">
  <si>
    <t>Stream No.</t>
  </si>
  <si>
    <t>Description</t>
  </si>
  <si>
    <t>Physical state</t>
  </si>
  <si>
    <t>Mass flow rate</t>
  </si>
  <si>
    <t>Sp. Gr.</t>
  </si>
  <si>
    <t>NaCl</t>
  </si>
  <si>
    <t>Na2SO4</t>
  </si>
  <si>
    <t>H2O</t>
  </si>
  <si>
    <t>Solvent</t>
  </si>
  <si>
    <t>Property</t>
  </si>
  <si>
    <t>Water</t>
  </si>
  <si>
    <t>Ethanol</t>
  </si>
  <si>
    <t>DMSO</t>
  </si>
  <si>
    <t>ton/day</t>
  </si>
  <si>
    <t>wt%</t>
  </si>
  <si>
    <t>Density (kg/m3)</t>
  </si>
  <si>
    <t>Feed</t>
  </si>
  <si>
    <t>Solution</t>
  </si>
  <si>
    <t>Molar mass (g/mol)</t>
  </si>
  <si>
    <t>Feed from P1</t>
  </si>
  <si>
    <t>Solvent from T1</t>
  </si>
  <si>
    <t>Crystal slurry from CR1</t>
  </si>
  <si>
    <t>Slurry</t>
  </si>
  <si>
    <t>Solvent volume fraction</t>
  </si>
  <si>
    <t>Crystal slurry from P2</t>
  </si>
  <si>
    <t>Na2SO4 Yield</t>
  </si>
  <si>
    <t>NaCl Yield</t>
  </si>
  <si>
    <t>Na2SO4 in feed (ton/day)</t>
  </si>
  <si>
    <t>Crystals from F1</t>
  </si>
  <si>
    <t>Crystals</t>
  </si>
  <si>
    <t>NA</t>
  </si>
  <si>
    <t>Na2SO4 in product (ton/day)</t>
  </si>
  <si>
    <t>Residual solution from F1</t>
  </si>
  <si>
    <t>NaCl in feed (ton/day)</t>
  </si>
  <si>
    <t>Crystals from C1</t>
  </si>
  <si>
    <t>NaCl in product (ton/day)</t>
  </si>
  <si>
    <t>Dried product from D1</t>
  </si>
  <si>
    <t>Na2SO4 purity after washing</t>
  </si>
  <si>
    <t>Moisture % in Na2SO4 from cry</t>
  </si>
  <si>
    <t>End liquor from DC1</t>
  </si>
  <si>
    <t>Solvent recovery from DC1%</t>
  </si>
  <si>
    <t>Solvent from DC 1</t>
  </si>
  <si>
    <t>Solvent from CU 1</t>
  </si>
  <si>
    <t xml:space="preserve">Make-up solvent </t>
  </si>
  <si>
    <t>Methanol</t>
  </si>
  <si>
    <t>EtOH</t>
  </si>
  <si>
    <t>total</t>
  </si>
  <si>
    <t>Unit Operation (Costing capacity)</t>
  </si>
  <si>
    <t>Standard Capacity (Units)</t>
  </si>
  <si>
    <t>Scaling Component (n)</t>
  </si>
  <si>
    <t>Laborers required (#/hr)</t>
  </si>
  <si>
    <t>Power required (KWh)</t>
  </si>
  <si>
    <t>Consumable costs ($/unit)</t>
  </si>
  <si>
    <t>Crystallizer, CR1</t>
  </si>
  <si>
    <t>Pre-concentration vessel, PC1</t>
  </si>
  <si>
    <t>N/A</t>
  </si>
  <si>
    <t>Solvent holding tank, T1</t>
  </si>
  <si>
    <t>Fitration Unit, F1</t>
  </si>
  <si>
    <t>80 m^2</t>
  </si>
  <si>
    <t>Conveyor unit, C1</t>
  </si>
  <si>
    <t>Fluid bed dryer, D1</t>
  </si>
  <si>
    <t>Distillation column, DC1</t>
  </si>
  <si>
    <t>Cooling Unit, CU1</t>
  </si>
  <si>
    <t>100 m^2</t>
  </si>
  <si>
    <t>Pump, P1</t>
  </si>
  <si>
    <t>Pump, P2</t>
  </si>
  <si>
    <t>Pump, P3</t>
  </si>
  <si>
    <t>Pump, P4</t>
  </si>
  <si>
    <t>Power required (KW/capacity)</t>
  </si>
  <si>
    <t>Design Capacity</t>
  </si>
  <si>
    <t>EQP</t>
  </si>
  <si>
    <t>PC</t>
  </si>
  <si>
    <t>CR1</t>
  </si>
  <si>
    <t>Capacity</t>
  </si>
  <si>
    <t>40000 L</t>
  </si>
  <si>
    <t>SuperPro</t>
  </si>
  <si>
    <t>Round up Equipment Purchase  costs (million $)</t>
  </si>
  <si>
    <t>T1</t>
  </si>
  <si>
    <t>200000 L</t>
  </si>
  <si>
    <t>F1</t>
  </si>
  <si>
    <t>DC1</t>
  </si>
  <si>
    <t>CU1</t>
  </si>
  <si>
    <t>300 kW</t>
  </si>
  <si>
    <t>m(t/d)</t>
  </si>
  <si>
    <t>m(kg/d)</t>
  </si>
  <si>
    <t>den_mix (kg/m^3)</t>
  </si>
  <si>
    <t>volume (m^3/day)</t>
  </si>
  <si>
    <t>volume (L)</t>
  </si>
  <si>
    <t>volume m^3/d</t>
  </si>
  <si>
    <t>Volume L</t>
  </si>
  <si>
    <t>m(kg/h)</t>
  </si>
  <si>
    <t>T_EtOH_in (degC)</t>
  </si>
  <si>
    <t>T_EtOH_out (degC)</t>
  </si>
  <si>
    <t>Cp_EtOH (kJ/kgK)</t>
  </si>
  <si>
    <t>Qc (kJ)</t>
  </si>
  <si>
    <t>T_cwater_in (degC)</t>
  </si>
  <si>
    <t>T_cwater_out (degC)</t>
  </si>
  <si>
    <t>m_cwater (kg/h)</t>
  </si>
  <si>
    <t>Cp_cwater (kJ/kgK)</t>
  </si>
  <si>
    <t>Qc (kWh)</t>
  </si>
  <si>
    <t>T_top (degC)</t>
  </si>
  <si>
    <t>T_ref (degC)</t>
  </si>
  <si>
    <t>m_feed(t/d)</t>
  </si>
  <si>
    <t>m_feed (kg/d)</t>
  </si>
  <si>
    <t>Distillate_(t/d)</t>
  </si>
  <si>
    <t>Distillate_(kg/d)</t>
  </si>
  <si>
    <t>xf_EtOH</t>
  </si>
  <si>
    <t>xf_water</t>
  </si>
  <si>
    <t>y_d_EtOH</t>
  </si>
  <si>
    <t>y_d_water</t>
  </si>
  <si>
    <t>Hvap_EtOH (kJ/mol)</t>
  </si>
  <si>
    <t>Hvap_water (kJ/mol)</t>
  </si>
  <si>
    <t>Cp_mix (kJ/kgK)</t>
  </si>
  <si>
    <t>T_feed (deg C)</t>
  </si>
  <si>
    <t>Q_heating_feed (kJ)</t>
  </si>
  <si>
    <t>Q_vap (kJ)</t>
  </si>
  <si>
    <t>Q_condense (kJ)</t>
  </si>
  <si>
    <t>Q_tot (kJ)</t>
  </si>
  <si>
    <t>Q_tot (kWh)</t>
  </si>
  <si>
    <t>Base cost of equipment ( $)</t>
  </si>
  <si>
    <t>Equipment Purchase  costs ( $)</t>
  </si>
  <si>
    <t xml:space="preserve">Parameter Estimation </t>
  </si>
  <si>
    <t>Capital Recovery Factor (CRF)</t>
  </si>
  <si>
    <t>PL</t>
  </si>
  <si>
    <t>BMC</t>
  </si>
  <si>
    <t>Annualized Capital Cost (CCAC) (M$)</t>
  </si>
  <si>
    <t>Tann</t>
  </si>
  <si>
    <t>Labor</t>
  </si>
  <si>
    <t>Basic rate, $/hr</t>
  </si>
  <si>
    <t>Operator</t>
  </si>
  <si>
    <t>Supervisor</t>
  </si>
  <si>
    <t>Utility</t>
  </si>
  <si>
    <t>Cost</t>
  </si>
  <si>
    <t>$/unit</t>
  </si>
  <si>
    <t>Electricity</t>
  </si>
  <si>
    <t>$/kWh</t>
  </si>
  <si>
    <t>Process water</t>
  </si>
  <si>
    <t>$/gal</t>
  </si>
  <si>
    <t>kg water</t>
  </si>
  <si>
    <t xml:space="preserve">1 CCF </t>
  </si>
  <si>
    <t>gallons</t>
  </si>
  <si>
    <t>100 CCF</t>
  </si>
  <si>
    <t>$</t>
  </si>
  <si>
    <t>Labor Cost (CCLB) (M$)</t>
  </si>
  <si>
    <t xml:space="preserve"> $</t>
  </si>
  <si>
    <t xml:space="preserve">Raw Material  </t>
  </si>
  <si>
    <t xml:space="preserve">price </t>
  </si>
  <si>
    <t>Annual Qty (t/yr)</t>
  </si>
  <si>
    <t>Annual Cost, $</t>
  </si>
  <si>
    <t>NaCl ($/t)</t>
  </si>
  <si>
    <t>Na2SO4 ($/t)</t>
  </si>
  <si>
    <t>Ethanol ($/t)</t>
  </si>
  <si>
    <t>kg/yr</t>
  </si>
  <si>
    <t>gal/yr</t>
  </si>
  <si>
    <t>t/yr</t>
  </si>
  <si>
    <t>Raw Material Cost (CCRM) (M$)</t>
  </si>
  <si>
    <t>Purchase Cost of Equipment (PCE) (M$)</t>
  </si>
  <si>
    <t>Other Cost (CCOC) (M$)</t>
  </si>
  <si>
    <t>Utility Cost (CCUC) (M$)</t>
  </si>
  <si>
    <t>Consumables Cost (CCSC) (M$)</t>
  </si>
  <si>
    <t>Rep time (hrs)</t>
  </si>
  <si>
    <t>Total Cost (CCTC) (M$)</t>
  </si>
  <si>
    <t>Equipment Cost, $</t>
  </si>
  <si>
    <t>Other Cost, $</t>
  </si>
  <si>
    <t>Utility Cost, $</t>
  </si>
  <si>
    <t>Consumables Cost, $</t>
  </si>
  <si>
    <t>Product</t>
  </si>
  <si>
    <t>unit price, $/t</t>
  </si>
  <si>
    <t>Sodium Sulphate</t>
  </si>
  <si>
    <t>Sodium Chloride</t>
  </si>
  <si>
    <t xml:space="preserve">Total </t>
  </si>
  <si>
    <t>General Expenses</t>
  </si>
  <si>
    <t>% Yr Production</t>
  </si>
  <si>
    <t>Annual Qty (kg/yr)</t>
  </si>
  <si>
    <t>Unit price, $/kg</t>
  </si>
  <si>
    <t>total,$/yr</t>
  </si>
  <si>
    <t>Break-even</t>
  </si>
  <si>
    <t>Direct Cost</t>
  </si>
  <si>
    <t>FCI</t>
  </si>
  <si>
    <t>General overhead</t>
  </si>
  <si>
    <t>Unit production cost $/kg</t>
  </si>
  <si>
    <t>PPC</t>
  </si>
  <si>
    <t>WC</t>
  </si>
  <si>
    <t>TCI</t>
  </si>
  <si>
    <t>Depreciation</t>
  </si>
  <si>
    <t>Vs</t>
  </si>
  <si>
    <t>n</t>
  </si>
  <si>
    <t>Labor Cost</t>
  </si>
  <si>
    <t>Raw Material Cost</t>
  </si>
  <si>
    <t>Other Cost</t>
  </si>
  <si>
    <t xml:space="preserve">fixed charges </t>
  </si>
  <si>
    <t>FC</t>
  </si>
  <si>
    <t>kg</t>
  </si>
  <si>
    <t>Residual liquid from P3</t>
  </si>
  <si>
    <t>Cooling Crys</t>
  </si>
  <si>
    <t>Anti Sol</t>
  </si>
  <si>
    <t>Equipment Cost</t>
  </si>
  <si>
    <t>Utility Cost</t>
  </si>
  <si>
    <t>Consumables Cost</t>
  </si>
  <si>
    <t>To break even, sell $/kg</t>
  </si>
  <si>
    <t>Pump</t>
  </si>
  <si>
    <t>int</t>
  </si>
  <si>
    <t>QC analyst</t>
  </si>
  <si>
    <t>1 gal</t>
  </si>
  <si>
    <t>V</t>
  </si>
  <si>
    <t>Annual Qnty (kg/yr)</t>
  </si>
  <si>
    <t>Weighted sell px ($/kg)</t>
  </si>
  <si>
    <t>Break-even weighted sell px ($/kg)</t>
  </si>
  <si>
    <t>Spx $/kg</t>
  </si>
  <si>
    <t>Y*x=D*x+Fixed cost</t>
  </si>
  <si>
    <t>Weighted selling price $/kg to breakeven</t>
  </si>
  <si>
    <t>working days, yr</t>
  </si>
  <si>
    <t>Plant Cap</t>
  </si>
  <si>
    <t>Recovered Qty(t/d)</t>
  </si>
  <si>
    <t>Recovered Qty(t/y)</t>
  </si>
  <si>
    <t>Rec_cost($/y)</t>
  </si>
  <si>
    <t>t/d</t>
  </si>
  <si>
    <t>recovered t/d</t>
  </si>
  <si>
    <t>DIFF</t>
  </si>
  <si>
    <t>No recovery</t>
  </si>
  <si>
    <t>COST $/yr</t>
  </si>
  <si>
    <t>Recovered amnt, $</t>
  </si>
  <si>
    <t>Plant Cap (t/y)</t>
  </si>
  <si>
    <t>Qty used (t/d)</t>
  </si>
  <si>
    <t>Qty used cost($/yr)</t>
  </si>
  <si>
    <t>Cost of Solvent Recovery ($/yr)</t>
  </si>
  <si>
    <t>Total product cost _No Recovery ($/yr)</t>
  </si>
  <si>
    <t>price, $</t>
  </si>
  <si>
    <t>Total product cost _Solvent Recovery ($/yr)</t>
  </si>
  <si>
    <t>Unit production cost, $/kg</t>
  </si>
  <si>
    <t>Direct Production cost,$/y</t>
  </si>
  <si>
    <t>FCI (M$)</t>
  </si>
  <si>
    <t>Total installed equipment cost, $</t>
  </si>
  <si>
    <t>ref(A.A Apostolakou, Techno biodiesel</t>
  </si>
  <si>
    <t>Weighted selling px, $/kg</t>
  </si>
  <si>
    <t>Fixed cost,$</t>
  </si>
  <si>
    <t>Raw material cost with no recovery</t>
  </si>
  <si>
    <t>Weighted selling price to break-even, $/kg</t>
  </si>
  <si>
    <t>With Solvent recovery</t>
  </si>
  <si>
    <t>Without solvent recovery</t>
  </si>
  <si>
    <t>Annualized Capital Cost (CCAC) ($)</t>
  </si>
  <si>
    <t>Raw Material Cost (CCRM) ($)</t>
  </si>
  <si>
    <t>Labor Cost (CCLB) ($)</t>
  </si>
  <si>
    <t>Other Cost (CCOC) ($)</t>
  </si>
  <si>
    <t>Utility Cost (CCUC) ($)</t>
  </si>
  <si>
    <t>Consumables Cost (CCSC) ($)</t>
  </si>
  <si>
    <t>Total product cost _No Recovery                                                               ($/yr)</t>
  </si>
  <si>
    <t>kg/y</t>
  </si>
  <si>
    <t>Evaporator, E1</t>
  </si>
  <si>
    <t>KWh</t>
  </si>
  <si>
    <t xml:space="preserve">Calculation: </t>
  </si>
  <si>
    <t>Analyze</t>
  </si>
  <si>
    <t xml:space="preserve">Results: </t>
  </si>
  <si>
    <t>Inventory</t>
  </si>
  <si>
    <t xml:space="preserve">Product: </t>
  </si>
  <si>
    <t>1 kg Total Product (of project LCASALT)</t>
  </si>
  <si>
    <t xml:space="preserve">Method: </t>
  </si>
  <si>
    <t>IMPACT 2002+ V2.15 / IMPACT 2002+</t>
  </si>
  <si>
    <t xml:space="preserve">Indicator: </t>
  </si>
  <si>
    <t xml:space="preserve">Compartment: </t>
  </si>
  <si>
    <t>Air</t>
  </si>
  <si>
    <t xml:space="preserve">Per sub-compartment: </t>
  </si>
  <si>
    <t>No</t>
  </si>
  <si>
    <t xml:space="preserve">Default units: </t>
  </si>
  <si>
    <t>Yes</t>
  </si>
  <si>
    <t xml:space="preserve">Exclude infrastructure processes: </t>
  </si>
  <si>
    <t xml:space="preserve">Exclude long-term emissions: </t>
  </si>
  <si>
    <t xml:space="preserve">Sorted on item: </t>
  </si>
  <si>
    <t>Substance</t>
  </si>
  <si>
    <t xml:space="preserve">Sort order: </t>
  </si>
  <si>
    <t>Ascending</t>
  </si>
  <si>
    <t>Compartment</t>
  </si>
  <si>
    <t>Unit</t>
  </si>
  <si>
    <t>Total</t>
  </si>
  <si>
    <t>Total Product</t>
  </si>
  <si>
    <t>Sodium chloride</t>
  </si>
  <si>
    <t>Sodium Sulfate</t>
  </si>
  <si>
    <t>water</t>
  </si>
  <si>
    <t>1-Butanol</t>
  </si>
  <si>
    <t>1-Pentanol</t>
  </si>
  <si>
    <t>1-Pentene</t>
  </si>
  <si>
    <t>1-Propanol</t>
  </si>
  <si>
    <t>1,4-Butanediol</t>
  </si>
  <si>
    <t>2-Aminopropanol</t>
  </si>
  <si>
    <t>2-Butene, 2-methyl-</t>
  </si>
  <si>
    <t>2-Methyl-1-propanol</t>
  </si>
  <si>
    <t>2-Methyl-4-chlorophenoxyacetic acid</t>
  </si>
  <si>
    <t>2-Nitrobenzoic acid</t>
  </si>
  <si>
    <t>2-Propanol</t>
  </si>
  <si>
    <t>2,4-D</t>
  </si>
  <si>
    <t>2,4-D ester</t>
  </si>
  <si>
    <t>2,4-D, dimethylamine salt</t>
  </si>
  <si>
    <t>4-Methyl-2-pentanone</t>
  </si>
  <si>
    <t>Acenaphthene</t>
  </si>
  <si>
    <t>Acenaphthylene</t>
  </si>
  <si>
    <t>Acephate</t>
  </si>
  <si>
    <t>Acetaldehyde</t>
  </si>
  <si>
    <t>Acetamide</t>
  </si>
  <si>
    <t>Acetic acid</t>
  </si>
  <si>
    <t>Acetone</t>
  </si>
  <si>
    <t>Acetonitrile</t>
  </si>
  <si>
    <t>Acifluorfen</t>
  </si>
  <si>
    <t>Acrolein</t>
  </si>
  <si>
    <t>Acrylic acid</t>
  </si>
  <si>
    <t>Actinides, radioactive, unspecified</t>
  </si>
  <si>
    <t>Bq</t>
  </si>
  <si>
    <t>Aerosols, radioactive, unspecified</t>
  </si>
  <si>
    <t>Alachlor</t>
  </si>
  <si>
    <t>Aldehydes, unspecified</t>
  </si>
  <si>
    <t>Aluminium</t>
  </si>
  <si>
    <t>Ammonia</t>
  </si>
  <si>
    <t>Ammonium carbonate</t>
  </si>
  <si>
    <t>Aniline</t>
  </si>
  <si>
    <t>Anthracene</t>
  </si>
  <si>
    <t>Anthranilic acid</t>
  </si>
  <si>
    <t>Antimony</t>
  </si>
  <si>
    <t>Antimony-124</t>
  </si>
  <si>
    <t>Antimony-125</t>
  </si>
  <si>
    <t>Argon-40</t>
  </si>
  <si>
    <t>Argon-41</t>
  </si>
  <si>
    <t>Arsenic</t>
  </si>
  <si>
    <t>Arsine</t>
  </si>
  <si>
    <t>Atrazine</t>
  </si>
  <si>
    <t>Azoxystrobin</t>
  </si>
  <si>
    <t>Barium</t>
  </si>
  <si>
    <t>Barium-140</t>
  </si>
  <si>
    <t>Bentazone</t>
  </si>
  <si>
    <t>Benzal chloride</t>
  </si>
  <si>
    <t>Benzaldehyde</t>
  </si>
  <si>
    <t>Benzene</t>
  </si>
  <si>
    <t>Benzene, 1-methyl-2-nitro-</t>
  </si>
  <si>
    <t>Benzene, 1,2-dichloro-</t>
  </si>
  <si>
    <t>Benzene, ethyl-</t>
  </si>
  <si>
    <t>Benzene, hexachloro-</t>
  </si>
  <si>
    <t>Benzene, pentachloro-</t>
  </si>
  <si>
    <t>Benzo(a)anthracene</t>
  </si>
  <si>
    <t>Benzo(a)pyrene</t>
  </si>
  <si>
    <t>Benzo(b)fluoranthene</t>
  </si>
  <si>
    <t>Benzo(g,h,i)perylene</t>
  </si>
  <si>
    <t>Benzo(k)fluoranthene</t>
  </si>
  <si>
    <t>Beryllium</t>
  </si>
  <si>
    <t>Boric acid</t>
  </si>
  <si>
    <t>Boron</t>
  </si>
  <si>
    <t>Boron trifluoride</t>
  </si>
  <si>
    <t>Bromine</t>
  </si>
  <si>
    <t>Bromoxynil</t>
  </si>
  <si>
    <t>Butadiene</t>
  </si>
  <si>
    <t>Butane</t>
  </si>
  <si>
    <t>Butene</t>
  </si>
  <si>
    <t>Butyric acid, 4-(2,4-dichlorophenoxy)-</t>
  </si>
  <si>
    <t>Cadmium</t>
  </si>
  <si>
    <t>Calcium</t>
  </si>
  <si>
    <t>Carbaryl</t>
  </si>
  <si>
    <t>Carbon</t>
  </si>
  <si>
    <t>Carbon-14</t>
  </si>
  <si>
    <t>Carbon dioxide, biogenic</t>
  </si>
  <si>
    <t>Carbon dioxide, fossil</t>
  </si>
  <si>
    <t>Carbon dioxide, land transformation</t>
  </si>
  <si>
    <t>Carbon disulfide</t>
  </si>
  <si>
    <t>Carbon monoxide, biogenic</t>
  </si>
  <si>
    <t>Carbon monoxide, fossil</t>
  </si>
  <si>
    <t>Carbon monoxide, land transformation</t>
  </si>
  <si>
    <t>Carbonyl sulfide</t>
  </si>
  <si>
    <t>Carfentrazone-ethyl</t>
  </si>
  <si>
    <t>Cerium-141</t>
  </si>
  <si>
    <t>Cesium-134</t>
  </si>
  <si>
    <t>Cesium-137</t>
  </si>
  <si>
    <t>Chloramine</t>
  </si>
  <si>
    <t>Chlorimuron-ethyl</t>
  </si>
  <si>
    <t>Chlorinated solvents, unspecified</t>
  </si>
  <si>
    <t>Chlorine</t>
  </si>
  <si>
    <t>Chloroacetic acid</t>
  </si>
  <si>
    <t>Chloroform</t>
  </si>
  <si>
    <t>Chlorosilane, trimethyl-</t>
  </si>
  <si>
    <t>Chlorosulfonic acid</t>
  </si>
  <si>
    <t>Chlorpyrifos</t>
  </si>
  <si>
    <t>Chromium</t>
  </si>
  <si>
    <t>Chromium-51</t>
  </si>
  <si>
    <t>Chromium IV</t>
  </si>
  <si>
    <t>Chromium VI</t>
  </si>
  <si>
    <t>Chrysene</t>
  </si>
  <si>
    <t>Clethodim</t>
  </si>
  <si>
    <t>Cloransulam-methyl</t>
  </si>
  <si>
    <t>Cobalt</t>
  </si>
  <si>
    <t>Cobalt-58</t>
  </si>
  <si>
    <t>Cobalt-60</t>
  </si>
  <si>
    <t>Copper</t>
  </si>
  <si>
    <t>Cumene</t>
  </si>
  <si>
    <t>Cyanide</t>
  </si>
  <si>
    <t>Cyanoacetic acid</t>
  </si>
  <si>
    <t>Cyclohexane</t>
  </si>
  <si>
    <t>Cyfluthrin</t>
  </si>
  <si>
    <t>Cyhalothrin, gamma-</t>
  </si>
  <si>
    <t>Dibenz(a,h)anthracene</t>
  </si>
  <si>
    <t>Dicamba</t>
  </si>
  <si>
    <t>Dichlorprop</t>
  </si>
  <si>
    <t>Diethyl ether</t>
  </si>
  <si>
    <t>Diethylamine</t>
  </si>
  <si>
    <t>Diethylene glycol</t>
  </si>
  <si>
    <t>Diflubenzuron</t>
  </si>
  <si>
    <t>Dimethenamid</t>
  </si>
  <si>
    <t>Dimethyl carbonate</t>
  </si>
  <si>
    <t>Dimethyl malonate</t>
  </si>
  <si>
    <t>Dimethylamine</t>
  </si>
  <si>
    <t>Dinitrogen monoxide</t>
  </si>
  <si>
    <t>Dinitrogen tetroxide</t>
  </si>
  <si>
    <t>Dioxin, 2,3,7,8 Tetrachlorodibenzo-p-</t>
  </si>
  <si>
    <t>Dipropylamine</t>
  </si>
  <si>
    <t>Esfenvalerate</t>
  </si>
  <si>
    <t>Ethane</t>
  </si>
  <si>
    <t>Ethane, 1,1-difluoro-, HFC-152a</t>
  </si>
  <si>
    <t>Ethane, 1,1,1-trichloro-, HCFC-140</t>
  </si>
  <si>
    <t>Ethane, 1,1,1,2-tetrafluoro-, HFC-134a</t>
  </si>
  <si>
    <t>Ethane, 1,1,2-trichloro-1,2,2-trifluoro-, CFC-113</t>
  </si>
  <si>
    <t>Ethane, 1,2-dichloro-</t>
  </si>
  <si>
    <t>Ethane, 1,2-dichloro-1,1,2,2-tetrafluoro-, CFC-114</t>
  </si>
  <si>
    <t>Ethane, 2-chloro-1,1,1,2-tetrafluoro-, HCFC-124</t>
  </si>
  <si>
    <t>Ethane, hexafluoro-, HFC-116</t>
  </si>
  <si>
    <t>Ethene</t>
  </si>
  <si>
    <t>Ethene, chloro-</t>
  </si>
  <si>
    <t>Ethene, tetrachloro-</t>
  </si>
  <si>
    <t>Ethene, trichloro-</t>
  </si>
  <si>
    <t>Ethephon</t>
  </si>
  <si>
    <t>Ethyl acetate</t>
  </si>
  <si>
    <t>Ethyl cellulose</t>
  </si>
  <si>
    <t>Ethylamine</t>
  </si>
  <si>
    <t>Ethylene diamine</t>
  </si>
  <si>
    <t>Ethylene oxide</t>
  </si>
  <si>
    <t>Ethyne</t>
  </si>
  <si>
    <t>Fenoxaprop</t>
  </si>
  <si>
    <t>Fluazifop-p-butyl</t>
  </si>
  <si>
    <t>Flufenacet</t>
  </si>
  <si>
    <t>Flumetsulam</t>
  </si>
  <si>
    <t>Flumiclorac-pentyl</t>
  </si>
  <si>
    <t>Flumioxazin</t>
  </si>
  <si>
    <t>Fluoranthene</t>
  </si>
  <si>
    <t>Fluorene</t>
  </si>
  <si>
    <t>Fluorine</t>
  </si>
  <si>
    <t>Fluosilicic acid</t>
  </si>
  <si>
    <t>Fomesafen</t>
  </si>
  <si>
    <t>Formaldehyde</t>
  </si>
  <si>
    <t>Formamide</t>
  </si>
  <si>
    <t>Formic acid</t>
  </si>
  <si>
    <t>Furan</t>
  </si>
  <si>
    <t>Glyphosate</t>
  </si>
  <si>
    <t>Heat, waste</t>
  </si>
  <si>
    <t>MJ</t>
  </si>
  <si>
    <t>Helium</t>
  </si>
  <si>
    <t>Heptane</t>
  </si>
  <si>
    <t>Hexane</t>
  </si>
  <si>
    <t>Hydrocarbons, aliphatic, alkanes, cyclic</t>
  </si>
  <si>
    <t>Hydrocarbons, aliphatic, alkanes, unspecified</t>
  </si>
  <si>
    <t>Hydrocarbons, aliphatic, unsaturated</t>
  </si>
  <si>
    <t>Hydrocarbons, aromatic</t>
  </si>
  <si>
    <t>Hydrocarbons, chlorinated</t>
  </si>
  <si>
    <t>Hydrocarbons, unspecified</t>
  </si>
  <si>
    <t>Hydrogen</t>
  </si>
  <si>
    <t>Hydrogen-3, Tritium</t>
  </si>
  <si>
    <t>Hydrogen chloride</t>
  </si>
  <si>
    <t>Hydrogen fluoride</t>
  </si>
  <si>
    <t>Hydrogen peroxide</t>
  </si>
  <si>
    <t>Hydrogen sulfide</t>
  </si>
  <si>
    <t>Imazamox</t>
  </si>
  <si>
    <t>Imazaquin</t>
  </si>
  <si>
    <t>Imazethapyr</t>
  </si>
  <si>
    <t>Indeno(1,2,3-cd)pyrene</t>
  </si>
  <si>
    <t>Iodine</t>
  </si>
  <si>
    <t>Iodine-129</t>
  </si>
  <si>
    <t>Iodine-131</t>
  </si>
  <si>
    <t>Iodine-133</t>
  </si>
  <si>
    <t>Iron</t>
  </si>
  <si>
    <t>Isocyanic acid</t>
  </si>
  <si>
    <t>Isoprene</t>
  </si>
  <si>
    <t>Isopropylamine</t>
  </si>
  <si>
    <t>Krypton-85</t>
  </si>
  <si>
    <t>Krypton-85m</t>
  </si>
  <si>
    <t>Krypton-87</t>
  </si>
  <si>
    <t>Krypton-88</t>
  </si>
  <si>
    <t>Krypton-89</t>
  </si>
  <si>
    <t>Lactic acid</t>
  </si>
  <si>
    <t>Lactofen</t>
  </si>
  <si>
    <t>Lambda-cyhalothrin</t>
  </si>
  <si>
    <t>Lanthanum-140</t>
  </si>
  <si>
    <t>Lead</t>
  </si>
  <si>
    <t>Lead-210</t>
  </si>
  <si>
    <t>Lithium</t>
  </si>
  <si>
    <t>m-Xylene</t>
  </si>
  <si>
    <t>Magnesium</t>
  </si>
  <si>
    <t>Manganese</t>
  </si>
  <si>
    <t>Manganese-54</t>
  </si>
  <si>
    <t>MCPB</t>
  </si>
  <si>
    <t>Mercury</t>
  </si>
  <si>
    <t>Methane</t>
  </si>
  <si>
    <t>Methane, biogenic</t>
  </si>
  <si>
    <t>Methane, bromo-, Halon 1001</t>
  </si>
  <si>
    <t>Methane, bromochlorodifluoro-, Halon 1211</t>
  </si>
  <si>
    <t>Methane, bromotrifluoro-, Halon 1301</t>
  </si>
  <si>
    <t>Methane, chlorodifluoro-, HCFC-22</t>
  </si>
  <si>
    <t>Methane, dichloro-, HCC-30</t>
  </si>
  <si>
    <t>Methane, dichlorodifluoro-, CFC-12</t>
  </si>
  <si>
    <t>Methane, dichlorofluoro-, HCFC-21</t>
  </si>
  <si>
    <t>Methane, fossil</t>
  </si>
  <si>
    <t>Methane, land transformation</t>
  </si>
  <si>
    <t>Methane, monochloro-, R-40</t>
  </si>
  <si>
    <t>Methane, tetrachloro-, CFC-10</t>
  </si>
  <si>
    <t>Methane, tetrafluoro-, CFC-14</t>
  </si>
  <si>
    <t>Methane, trichlorofluoro-, CFC-11</t>
  </si>
  <si>
    <t>Methane, trifluoro-, HFC-23</t>
  </si>
  <si>
    <t>Methanesulfonic acid</t>
  </si>
  <si>
    <t>Methomyl</t>
  </si>
  <si>
    <t>Methyl acetate</t>
  </si>
  <si>
    <t>Methyl acrylate</t>
  </si>
  <si>
    <t>Methyl borate</t>
  </si>
  <si>
    <t>Methyl ethyl ketone</t>
  </si>
  <si>
    <t>Methyl formate</t>
  </si>
  <si>
    <t>Methyl lactate</t>
  </si>
  <si>
    <t>Methylamine</t>
  </si>
  <si>
    <t>Metolachlor</t>
  </si>
  <si>
    <t>Metribuzin</t>
  </si>
  <si>
    <t>Molybdenum</t>
  </si>
  <si>
    <t>Monoethanolamine</t>
  </si>
  <si>
    <t>Naphthalene</t>
  </si>
  <si>
    <t>Nickel</t>
  </si>
  <si>
    <t>Niobium-95</t>
  </si>
  <si>
    <t>Nitrate</t>
  </si>
  <si>
    <t>Nitrobenzene</t>
  </si>
  <si>
    <t>Nitrogen fluoride</t>
  </si>
  <si>
    <t>Nitrogen monoxide</t>
  </si>
  <si>
    <t>Nitrogen oxides</t>
  </si>
  <si>
    <t>Nitrogen, atmospheric</t>
  </si>
  <si>
    <t>NMVOC, non-methane volatile organic compounds, unspecified origin</t>
  </si>
  <si>
    <t>Noble gases, radioactive, unspecified</t>
  </si>
  <si>
    <t>o-Xylene</t>
  </si>
  <si>
    <t>Organic carbon</t>
  </si>
  <si>
    <t>Ozone</t>
  </si>
  <si>
    <t>PAH, polycyclic aromatic hydrocarbons</t>
  </si>
  <si>
    <t>Paraquat</t>
  </si>
  <si>
    <t>Parathion, methyl</t>
  </si>
  <si>
    <t>Particulates, &lt; 2.5 um</t>
  </si>
  <si>
    <t>Particulates, &gt; 10 um</t>
  </si>
  <si>
    <t>Particulates, &gt; 2.5 um, and &lt; 10um</t>
  </si>
  <si>
    <t>Pendimethalin</t>
  </si>
  <si>
    <t>Pentane</t>
  </si>
  <si>
    <t>Pentane, 2-methyl-</t>
  </si>
  <si>
    <t>Pentane, 2,2,4-trimethyl-</t>
  </si>
  <si>
    <t>Permethrin</t>
  </si>
  <si>
    <t>Phenanthrene</t>
  </si>
  <si>
    <t>Phenol</t>
  </si>
  <si>
    <t>Phenol, 2,4-dichloro-</t>
  </si>
  <si>
    <t>Phenol, pentachloro-</t>
  </si>
  <si>
    <t>Phosgene</t>
  </si>
  <si>
    <t>Phosphine</t>
  </si>
  <si>
    <t>Phosphoric acid</t>
  </si>
  <si>
    <t>Phosphorus</t>
  </si>
  <si>
    <t>Phosphorus trichloride</t>
  </si>
  <si>
    <t>Platinum</t>
  </si>
  <si>
    <t>Plutonium-238</t>
  </si>
  <si>
    <t>Plutonium-alpha</t>
  </si>
  <si>
    <t>Polonium-210</t>
  </si>
  <si>
    <t>Polychlorinated biphenyls</t>
  </si>
  <si>
    <t>Potassium</t>
  </si>
  <si>
    <t>Potassium-40</t>
  </si>
  <si>
    <t>Propanal</t>
  </si>
  <si>
    <t>Propane</t>
  </si>
  <si>
    <t>Propene</t>
  </si>
  <si>
    <t>Propiconazole</t>
  </si>
  <si>
    <t>Propionic acid</t>
  </si>
  <si>
    <t>Propylamine</t>
  </si>
  <si>
    <t>Propylene oxide</t>
  </si>
  <si>
    <t>Protactinium-234</t>
  </si>
  <si>
    <t>Prothioconazol</t>
  </si>
  <si>
    <t>Pyraclostrobin (prop)</t>
  </si>
  <si>
    <t>Pyrene</t>
  </si>
  <si>
    <t>Quizalofop ethyl ester</t>
  </si>
  <si>
    <t>Radioactive species, other beta emitters</t>
  </si>
  <si>
    <t>Radium-226</t>
  </si>
  <si>
    <t>Radium-228</t>
  </si>
  <si>
    <t>Radon-220</t>
  </si>
  <si>
    <t>Radon-222</t>
  </si>
  <si>
    <t>Ruthenium-103</t>
  </si>
  <si>
    <t>Scandium</t>
  </si>
  <si>
    <t>Selenium</t>
  </si>
  <si>
    <t>Sethoxydim</t>
  </si>
  <si>
    <t>Silicon</t>
  </si>
  <si>
    <t>Silicon tetrafluoride</t>
  </si>
  <si>
    <t>Silver</t>
  </si>
  <si>
    <t>Silver-110</t>
  </si>
  <si>
    <t>Sodium</t>
  </si>
  <si>
    <t>Sodium chlorate</t>
  </si>
  <si>
    <t>Sodium dichromate</t>
  </si>
  <si>
    <t>Sodium formate</t>
  </si>
  <si>
    <t>Sodium hydroxide</t>
  </si>
  <si>
    <t>Sodium tetrahydroborate</t>
  </si>
  <si>
    <t>Strontium</t>
  </si>
  <si>
    <t>Styrene</t>
  </si>
  <si>
    <t>Sulfate</t>
  </si>
  <si>
    <t>Sulfentrazone</t>
  </si>
  <si>
    <t>Sulfur dioxide</t>
  </si>
  <si>
    <t>Sulfur hexafluoride</t>
  </si>
  <si>
    <t>Sulfur oxides</t>
  </si>
  <si>
    <t>Sulfur trioxide</t>
  </si>
  <si>
    <t>Sulfuric acid</t>
  </si>
  <si>
    <t>t-Butyl methyl ether</t>
  </si>
  <si>
    <t>t-Butylamine</t>
  </si>
  <si>
    <t>Tebuconazole</t>
  </si>
  <si>
    <t>Tefluthrin</t>
  </si>
  <si>
    <t>Terpenes</t>
  </si>
  <si>
    <t>Tetramethyl ammonium hydroxide</t>
  </si>
  <si>
    <t>Thallium</t>
  </si>
  <si>
    <t>Thifensulfuron</t>
  </si>
  <si>
    <t>Thiodicarb</t>
  </si>
  <si>
    <t>Thorium</t>
  </si>
  <si>
    <t>Thorium-228</t>
  </si>
  <si>
    <t>Thorium-230</t>
  </si>
  <si>
    <t>Thorium-232</t>
  </si>
  <si>
    <t>Thorium-234</t>
  </si>
  <si>
    <t>Tin</t>
  </si>
  <si>
    <t>Titanium</t>
  </si>
  <si>
    <t>Toluene</t>
  </si>
  <si>
    <t>Toluene, 2-chloro-</t>
  </si>
  <si>
    <t>Trifloxystrobin</t>
  </si>
  <si>
    <t>Trifluralin</t>
  </si>
  <si>
    <t>Trimethylamine</t>
  </si>
  <si>
    <t>Tungsten</t>
  </si>
  <si>
    <t>Uranium</t>
  </si>
  <si>
    <t>Uranium-234</t>
  </si>
  <si>
    <t>Uranium-235</t>
  </si>
  <si>
    <t>Uranium-238</t>
  </si>
  <si>
    <t>Uranium alpha</t>
  </si>
  <si>
    <t>Vanadium</t>
  </si>
  <si>
    <t>VOC, volatile organic compounds, unspecified origin</t>
  </si>
  <si>
    <t>Water/m3</t>
  </si>
  <si>
    <t>m3</t>
  </si>
  <si>
    <t>Xenon-131m</t>
  </si>
  <si>
    <t>Xenon-133</t>
  </si>
  <si>
    <t>Xenon-133m</t>
  </si>
  <si>
    <t>Xenon-135</t>
  </si>
  <si>
    <t>Xenon-135m</t>
  </si>
  <si>
    <t>Xenon-137</t>
  </si>
  <si>
    <t>Xenon-138</t>
  </si>
  <si>
    <t>Xylene</t>
  </si>
  <si>
    <t>Zeta-cypermethrin</t>
  </si>
  <si>
    <t>Zinc</t>
  </si>
  <si>
    <t>Zinc-65</t>
  </si>
  <si>
    <t>Zirconium</t>
  </si>
  <si>
    <t>Zirconium-95</t>
  </si>
  <si>
    <t>Impact assessment</t>
  </si>
  <si>
    <t>Damage assessment</t>
  </si>
  <si>
    <t xml:space="preserve">Skip categories: </t>
  </si>
  <si>
    <t>Never</t>
  </si>
  <si>
    <t xml:space="preserve">Per impact category: </t>
  </si>
  <si>
    <t>Damage category</t>
  </si>
  <si>
    <t>Human health</t>
  </si>
  <si>
    <t>DALY</t>
  </si>
  <si>
    <t>Ecosystem quality</t>
  </si>
  <si>
    <t>PDF*m2*yr</t>
  </si>
  <si>
    <t>Climate change</t>
  </si>
  <si>
    <t>kg CO2 eq</t>
  </si>
  <si>
    <t>Resources</t>
  </si>
  <si>
    <t>MJ primary</t>
  </si>
  <si>
    <t>Electricity, medium voltage {NPCC, US only}| market for | Cut-off, U</t>
  </si>
  <si>
    <t>CO2</t>
  </si>
  <si>
    <t>CO</t>
  </si>
  <si>
    <t>NOX</t>
  </si>
  <si>
    <t>SOX</t>
  </si>
  <si>
    <t>VOCs</t>
  </si>
  <si>
    <t>1,3-Dioxolan-2-one</t>
  </si>
  <si>
    <t>4-Methyl-2-pentanol</t>
  </si>
  <si>
    <t>Acetyl chloride</t>
  </si>
  <si>
    <t>Acidity, unspecified</t>
  </si>
  <si>
    <t>Acrylate</t>
  </si>
  <si>
    <t>Allyl chloride</t>
  </si>
  <si>
    <t>Aluminium hydroxide</t>
  </si>
  <si>
    <t>Ammonium, ion</t>
  </si>
  <si>
    <t>Antimony-122</t>
  </si>
  <si>
    <t>AOX, Adsorbable Organic Halogen as Cl</t>
  </si>
  <si>
    <t>Barite</t>
  </si>
  <si>
    <t>Benzene, chloro-</t>
  </si>
  <si>
    <t>Bisphenol A</t>
  </si>
  <si>
    <t>BOD5, Biological Oxygen Demand</t>
  </si>
  <si>
    <t>Borate</t>
  </si>
  <si>
    <t>Bromate</t>
  </si>
  <si>
    <t>Bromide</t>
  </si>
  <si>
    <t>Butyl acetate</t>
  </si>
  <si>
    <t>Butyrolactone</t>
  </si>
  <si>
    <t>Carbonate</t>
  </si>
  <si>
    <t>Carboxylic acids, unspecified</t>
  </si>
  <si>
    <t>Cerium-144</t>
  </si>
  <si>
    <t>Cesium</t>
  </si>
  <si>
    <t>Cesium-136</t>
  </si>
  <si>
    <t>Chlorate</t>
  </si>
  <si>
    <t>Chloride</t>
  </si>
  <si>
    <t>Chlorides, unspecified</t>
  </si>
  <si>
    <t>Chloroacetyl chloride</t>
  </si>
  <si>
    <t>Cobalt-57</t>
  </si>
  <si>
    <t>COD, Chemical Oxygen Demand</t>
  </si>
  <si>
    <t>Cu-HDO</t>
  </si>
  <si>
    <t>Dibutyltin</t>
  </si>
  <si>
    <t>Dichromate</t>
  </si>
  <si>
    <t>Diethanolamine</t>
  </si>
  <si>
    <t>Diphenyltin</t>
  </si>
  <si>
    <t>Discarded fish, pelagic</t>
  </si>
  <si>
    <t>DOC, Dissolved Organic Carbon</t>
  </si>
  <si>
    <t>Dodecanoic acid</t>
  </si>
  <si>
    <t>Epichlorohydrin</t>
  </si>
  <si>
    <t>Fluoride</t>
  </si>
  <si>
    <t>Formate</t>
  </si>
  <si>
    <t>Glutaraldehyde</t>
  </si>
  <si>
    <t>Hydrogen carbonate</t>
  </si>
  <si>
    <t>Hydroxide</t>
  </si>
  <si>
    <t>Hypochlorite</t>
  </si>
  <si>
    <t>Iodide</t>
  </si>
  <si>
    <t>Iron-59</t>
  </si>
  <si>
    <t>Molybdenum-99</t>
  </si>
  <si>
    <t>Monobutyltin</t>
  </si>
  <si>
    <t>Monophenyltin</t>
  </si>
  <si>
    <t>Nitrite</t>
  </si>
  <si>
    <t>Nitrogen, organic bound</t>
  </si>
  <si>
    <t>Oils, biogenic</t>
  </si>
  <si>
    <t>Oils, unspecified</t>
  </si>
  <si>
    <t>Phosphate</t>
  </si>
  <si>
    <t>Radioactive species, alpha emitters</t>
  </si>
  <si>
    <t>Radioactive species, Nuclides, unspecified</t>
  </si>
  <si>
    <t>Radium-224</t>
  </si>
  <si>
    <t>Rubidium</t>
  </si>
  <si>
    <t>Sodium-24</t>
  </si>
  <si>
    <t>Solids, inorganic</t>
  </si>
  <si>
    <t>Strontium-89</t>
  </si>
  <si>
    <t>Strontium-90</t>
  </si>
  <si>
    <t>Sulfide</t>
  </si>
  <si>
    <t>Sulfite</t>
  </si>
  <si>
    <t>Sulfur</t>
  </si>
  <si>
    <t>Suspended solids, unspecified</t>
  </si>
  <si>
    <t>Technetium-99m</t>
  </si>
  <si>
    <t>Tellurium-123m</t>
  </si>
  <si>
    <t>Tellurium-132</t>
  </si>
  <si>
    <t>TOC, Total Organic Carbon</t>
  </si>
  <si>
    <t>Tributyltin compounds</t>
  </si>
  <si>
    <t>Triethylene glycol</t>
  </si>
  <si>
    <t>Trioctyltin</t>
  </si>
  <si>
    <t>Triphenyltin</t>
  </si>
  <si>
    <t>Urea</t>
  </si>
  <si>
    <t>Water, AR</t>
  </si>
  <si>
    <t>Water, AT</t>
  </si>
  <si>
    <t>Water, AU</t>
  </si>
  <si>
    <t>Water, BA</t>
  </si>
  <si>
    <t>Water, BE</t>
  </si>
  <si>
    <t>Water, BG</t>
  </si>
  <si>
    <t>Water, BR</t>
  </si>
  <si>
    <t>Water, CA</t>
  </si>
  <si>
    <t>Water, CH</t>
  </si>
  <si>
    <t>Water, CL</t>
  </si>
  <si>
    <t>Water, CN</t>
  </si>
  <si>
    <t>Water, CO</t>
  </si>
  <si>
    <t>Water, CY</t>
  </si>
  <si>
    <t>Water, CZ</t>
  </si>
  <si>
    <t>Water, DE</t>
  </si>
  <si>
    <t>Water, DK</t>
  </si>
  <si>
    <t>Water, EE</t>
  </si>
  <si>
    <t>Water, ES</t>
  </si>
  <si>
    <t>Water, Europe without Switzerland</t>
  </si>
  <si>
    <t>Water, Europe, without Russia and Turkey</t>
  </si>
  <si>
    <t>Water, FI</t>
  </si>
  <si>
    <t>Water, FR</t>
  </si>
  <si>
    <t>Water, GB</t>
  </si>
  <si>
    <t>Water, GLO</t>
  </si>
  <si>
    <t>Water, GR</t>
  </si>
  <si>
    <t>Water, HR</t>
  </si>
  <si>
    <t>Water, HU</t>
  </si>
  <si>
    <t>Water, IAI Area, Africa</t>
  </si>
  <si>
    <t>Water, IAI Area, Asia, without China and GCC</t>
  </si>
  <si>
    <t>Water, IAI Area, EU27 &amp; EFTA</t>
  </si>
  <si>
    <t>Water, IAI Area, Gulf Cooperation Council</t>
  </si>
  <si>
    <t>Water, IAI Area, Russia &amp; RER w/o EU27 &amp; EFTA</t>
  </si>
  <si>
    <t>Water, IAI Area, South America</t>
  </si>
  <si>
    <t>Water, ID</t>
  </si>
  <si>
    <t>Water, IE</t>
  </si>
  <si>
    <t>Water, IL</t>
  </si>
  <si>
    <t>Water, IN</t>
  </si>
  <si>
    <t>Water, IR</t>
  </si>
  <si>
    <t>Water, IS</t>
  </si>
  <si>
    <t>Water, IT</t>
  </si>
  <si>
    <t>Water, JP</t>
  </si>
  <si>
    <t>Water, KR</t>
  </si>
  <si>
    <t>Water, LT</t>
  </si>
  <si>
    <t>Water, LU</t>
  </si>
  <si>
    <t>Water, LV</t>
  </si>
  <si>
    <t>Water, MA</t>
  </si>
  <si>
    <t>Water, MK</t>
  </si>
  <si>
    <t>Water, MT</t>
  </si>
  <si>
    <t>Water, MX</t>
  </si>
  <si>
    <t>Water, MY</t>
  </si>
  <si>
    <t>Water, NL</t>
  </si>
  <si>
    <t>Water, NO</t>
  </si>
  <si>
    <t>Water, NORDEL</t>
  </si>
  <si>
    <t>Water, NP</t>
  </si>
  <si>
    <t>Water, OCE</t>
  </si>
  <si>
    <t>Water, PE</t>
  </si>
  <si>
    <t>Water, PG</t>
  </si>
  <si>
    <t>Water, PH</t>
  </si>
  <si>
    <t>Water, PL</t>
  </si>
  <si>
    <t>Water, PT</t>
  </si>
  <si>
    <t>Water, RAF</t>
  </si>
  <si>
    <t>Water, RAS</t>
  </si>
  <si>
    <t>Water, RER</t>
  </si>
  <si>
    <t>Water, RLA</t>
  </si>
  <si>
    <t>Water, RME</t>
  </si>
  <si>
    <t>Water, RNA</t>
  </si>
  <si>
    <t>Water, RO</t>
  </si>
  <si>
    <t>Water, RoW</t>
  </si>
  <si>
    <t>Water, RS</t>
  </si>
  <si>
    <t>Water, RU</t>
  </si>
  <si>
    <t>Water, SA</t>
  </si>
  <si>
    <t>Water, SE</t>
  </si>
  <si>
    <t>Water, SI</t>
  </si>
  <si>
    <t>Water, SK</t>
  </si>
  <si>
    <t>Water, TH</t>
  </si>
  <si>
    <t>Water, TR</t>
  </si>
  <si>
    <t>Water, TW</t>
  </si>
  <si>
    <t>Water, TZ</t>
  </si>
  <si>
    <t>Water, UA</t>
  </si>
  <si>
    <t>Water, UCTE</t>
  </si>
  <si>
    <t>Water, UCTE without Germany</t>
  </si>
  <si>
    <t>Water, US</t>
  </si>
  <si>
    <t>Water, WEU</t>
  </si>
  <si>
    <t>Water, ZA</t>
  </si>
  <si>
    <t>Characterization</t>
  </si>
  <si>
    <t>Impact category</t>
  </si>
  <si>
    <t>Carcinogens</t>
  </si>
  <si>
    <t>kg C2H3Cl eq</t>
  </si>
  <si>
    <t>Non-carcinogens</t>
  </si>
  <si>
    <t>Respiratory inorganics</t>
  </si>
  <si>
    <t>kg PM2.5 eq</t>
  </si>
  <si>
    <t>Ionizing radiation</t>
  </si>
  <si>
    <t>Bq C-14 eq</t>
  </si>
  <si>
    <t>Ozone layer depletion</t>
  </si>
  <si>
    <t>kg CFC-11 eq</t>
  </si>
  <si>
    <t>Respiratory organics</t>
  </si>
  <si>
    <t>kg C2H4 eq</t>
  </si>
  <si>
    <t>Aquatic ecotoxicity</t>
  </si>
  <si>
    <t>kg TEG water</t>
  </si>
  <si>
    <t>Terrestrial ecotoxicity</t>
  </si>
  <si>
    <t>kg TEG soil</t>
  </si>
  <si>
    <t>Terrestrial acid/nutri</t>
  </si>
  <si>
    <t>kg SO2 eq</t>
  </si>
  <si>
    <t>Land occupation</t>
  </si>
  <si>
    <t>m2org.arable</t>
  </si>
  <si>
    <t>Aquatic acidification</t>
  </si>
  <si>
    <t>Aquatic eutrophication</t>
  </si>
  <si>
    <t>kg PO4 P-lim</t>
  </si>
  <si>
    <t>Global warming</t>
  </si>
  <si>
    <t>Non-renewable energy</t>
  </si>
  <si>
    <t>Mineral extraction</t>
  </si>
  <si>
    <t>MJ surplus</t>
  </si>
  <si>
    <t>(kg/year)</t>
  </si>
  <si>
    <t>kWh/year</t>
  </si>
  <si>
    <t>Elec</t>
  </si>
  <si>
    <t>Material</t>
  </si>
  <si>
    <t xml:space="preserve">Indicators </t>
  </si>
  <si>
    <t>Normalization</t>
  </si>
  <si>
    <t>PDF*m^2*yr</t>
  </si>
  <si>
    <t>LCI</t>
  </si>
  <si>
    <t>i</t>
  </si>
  <si>
    <t>j</t>
  </si>
  <si>
    <t>k</t>
  </si>
  <si>
    <t>l</t>
  </si>
  <si>
    <t>m</t>
  </si>
  <si>
    <t xml:space="preserve">Human Health </t>
  </si>
  <si>
    <t>LCI (DALY/yr)</t>
  </si>
  <si>
    <t>Ecosystem Quality</t>
  </si>
  <si>
    <t>Unit/kg</t>
  </si>
  <si>
    <t>LCI (PDF*m2*yr)</t>
  </si>
  <si>
    <t xml:space="preserve">Climate Change </t>
  </si>
  <si>
    <t>LCI (kg CO2 eq)</t>
  </si>
  <si>
    <t>Resource</t>
  </si>
  <si>
    <t>LCI (MJ primary)</t>
  </si>
  <si>
    <t>LCI_CO2(kg CO2 eq/yr)</t>
  </si>
  <si>
    <t>AIR</t>
  </si>
  <si>
    <t>LCI_CO (kg CO/yr)</t>
  </si>
  <si>
    <t>LCI_NMVOC( kg/y)</t>
  </si>
  <si>
    <t>LCI_VOC (kg/y)</t>
  </si>
  <si>
    <t>LCI_NOX</t>
  </si>
  <si>
    <t>LCI_SOX</t>
  </si>
  <si>
    <t>LCI (MT CO2-eq)</t>
  </si>
  <si>
    <t>RECOVERY</t>
  </si>
  <si>
    <t>NO RECOVERY</t>
  </si>
  <si>
    <t>MT CO2 eq</t>
  </si>
  <si>
    <t>R</t>
  </si>
  <si>
    <t>NO R</t>
  </si>
  <si>
    <t>Category</t>
  </si>
  <si>
    <t>Recovery</t>
  </si>
  <si>
    <t>Without Recovery</t>
  </si>
  <si>
    <t>Human Health (DALY/y)</t>
  </si>
  <si>
    <t>Ecosystem Quality (PDF*m^2*Y)</t>
  </si>
  <si>
    <t>Climate Change (MT CO2-eq)</t>
  </si>
  <si>
    <t>Resource (MJ primary)</t>
  </si>
  <si>
    <t>Annualized capital cost</t>
  </si>
  <si>
    <t>Incineration</t>
  </si>
  <si>
    <t>ETOH</t>
  </si>
  <si>
    <t>kg TEG Soil</t>
  </si>
  <si>
    <t>TEG kg water</t>
  </si>
  <si>
    <t>TEG kg soil</t>
  </si>
  <si>
    <t>Daily</t>
  </si>
  <si>
    <t>Direct bittern disposal</t>
  </si>
  <si>
    <t>direct disposal bittern</t>
  </si>
  <si>
    <t>ECO qua</t>
  </si>
  <si>
    <t>With result = 0</t>
  </si>
  <si>
    <t>resource</t>
  </si>
  <si>
    <t>climate</t>
  </si>
  <si>
    <t>ecosystem</t>
  </si>
  <si>
    <t>Crystal slurry from PC2</t>
  </si>
  <si>
    <t>Crystal slurry from P3</t>
  </si>
  <si>
    <t>Residual liquid from P4</t>
  </si>
  <si>
    <t>Fixed consitions</t>
  </si>
  <si>
    <t>Variables</t>
  </si>
  <si>
    <t>Parameters</t>
  </si>
  <si>
    <t xml:space="preserve">Data </t>
  </si>
  <si>
    <t xml:space="preserve">Column details </t>
  </si>
  <si>
    <t xml:space="preserve">Recovery </t>
  </si>
  <si>
    <t xml:space="preserve">mass fraction </t>
  </si>
  <si>
    <t xml:space="preserve">mole fraction </t>
  </si>
  <si>
    <t>feed (KMOL/HR)</t>
  </si>
  <si>
    <t>L</t>
  </si>
  <si>
    <t>NaCL</t>
  </si>
  <si>
    <t>A</t>
  </si>
  <si>
    <t>Pressure, bar</t>
  </si>
  <si>
    <t>H</t>
  </si>
  <si>
    <t>B</t>
  </si>
  <si>
    <t>C</t>
  </si>
  <si>
    <t>D</t>
  </si>
  <si>
    <t xml:space="preserve">Distillate component </t>
  </si>
  <si>
    <t>Bottom component</t>
  </si>
  <si>
    <t>light key</t>
  </si>
  <si>
    <t>Heavy key</t>
  </si>
  <si>
    <t>XBF*F = YBD*D+XBW*W</t>
  </si>
  <si>
    <t>XCF*F = YCD*D+XCW*W</t>
  </si>
  <si>
    <t>XBF*F</t>
  </si>
  <si>
    <t xml:space="preserve">XCF*F </t>
  </si>
  <si>
    <t>YBD*D</t>
  </si>
  <si>
    <t>YCD*D</t>
  </si>
  <si>
    <t>XBW*W</t>
  </si>
  <si>
    <t>XCW*W</t>
  </si>
  <si>
    <t xml:space="preserve">COMPONENT </t>
  </si>
  <si>
    <t>FEED</t>
  </si>
  <si>
    <t>DISTILLATE</t>
  </si>
  <si>
    <t>BOTTOMS</t>
  </si>
  <si>
    <t xml:space="preserve">ASSUMING A AND D ARE 0 IN DISTILLATE </t>
  </si>
  <si>
    <t>XF</t>
  </si>
  <si>
    <t>XF*F</t>
  </si>
  <si>
    <t>YD</t>
  </si>
  <si>
    <t>YD*D</t>
  </si>
  <si>
    <t>XW</t>
  </si>
  <si>
    <t>XW*W</t>
  </si>
  <si>
    <t>B = O IN BOTTOMS</t>
  </si>
  <si>
    <t xml:space="preserve">Light key </t>
  </si>
  <si>
    <t xml:space="preserve">Minimum reflux ratio </t>
  </si>
  <si>
    <t xml:space="preserve">Distillate </t>
  </si>
  <si>
    <t>Top Temperature</t>
  </si>
  <si>
    <t>Trial Temp</t>
  </si>
  <si>
    <t xml:space="preserve">Component </t>
  </si>
  <si>
    <t>P*sat</t>
  </si>
  <si>
    <t>Ki = P*sat/P</t>
  </si>
  <si>
    <t>Bottoms</t>
  </si>
  <si>
    <t>Temperature</t>
  </si>
  <si>
    <t>Avg</t>
  </si>
  <si>
    <t>Top</t>
  </si>
  <si>
    <t xml:space="preserve">component </t>
  </si>
  <si>
    <t>Ki</t>
  </si>
  <si>
    <t>α=Ki/Kc</t>
  </si>
  <si>
    <t>YD/α</t>
  </si>
  <si>
    <t>Xi = YD/Ki</t>
  </si>
  <si>
    <t>K</t>
  </si>
  <si>
    <t>XLD*D</t>
  </si>
  <si>
    <t>Bottom</t>
  </si>
  <si>
    <t>XHD*D</t>
  </si>
  <si>
    <t>Average</t>
  </si>
  <si>
    <t>XHW*W</t>
  </si>
  <si>
    <t>XLW*W</t>
  </si>
  <si>
    <t xml:space="preserve">Theoretical stages </t>
  </si>
  <si>
    <t>Stages</t>
  </si>
  <si>
    <t>Tray</t>
  </si>
  <si>
    <t>Bottom Temperature</t>
  </si>
  <si>
    <t>Tray Spacing</t>
  </si>
  <si>
    <t>α*XW</t>
  </si>
  <si>
    <t>Yi = XW*Ki</t>
  </si>
  <si>
    <t>α</t>
  </si>
  <si>
    <t>(α*XF)/(α-U)</t>
  </si>
  <si>
    <t>(α*YD)/(α-U)</t>
  </si>
  <si>
    <t>Column Height</t>
  </si>
  <si>
    <t>U</t>
  </si>
  <si>
    <t>Rm+1</t>
  </si>
  <si>
    <t>Operating reflux ratio</t>
  </si>
  <si>
    <t xml:space="preserve">Feed Location </t>
  </si>
  <si>
    <t>guess</t>
  </si>
  <si>
    <t>Rm</t>
  </si>
  <si>
    <t>R = 1.5Rm</t>
  </si>
  <si>
    <t>LOG(NE/NS)</t>
  </si>
  <si>
    <t>NE/NS</t>
  </si>
  <si>
    <t>NE+NS=N</t>
  </si>
  <si>
    <t>R/R+1</t>
  </si>
  <si>
    <t>NE</t>
  </si>
  <si>
    <t xml:space="preserve">Feed stage </t>
  </si>
  <si>
    <t>Rm/Rm+1</t>
  </si>
  <si>
    <t>NS</t>
  </si>
  <si>
    <t>Nm/N</t>
  </si>
  <si>
    <t>N</t>
  </si>
  <si>
    <t>stages</t>
  </si>
  <si>
    <t>check</t>
  </si>
  <si>
    <t>trays</t>
  </si>
  <si>
    <t>Dryer</t>
  </si>
  <si>
    <t xml:space="preserve">Distillation </t>
  </si>
  <si>
    <t>HX</t>
  </si>
  <si>
    <t>Value</t>
  </si>
  <si>
    <t>DC</t>
  </si>
  <si>
    <t xml:space="preserve">Parameter </t>
  </si>
  <si>
    <t>top T</t>
  </si>
  <si>
    <t>bottom T</t>
  </si>
  <si>
    <t>Vhv +Qc = DhD+LhL</t>
  </si>
  <si>
    <t xml:space="preserve">V (kmol/h) </t>
  </si>
  <si>
    <t xml:space="preserve">Taken feed temperature, 28 oC </t>
  </si>
  <si>
    <t>Tref</t>
  </si>
  <si>
    <t>Heat of Cooling Q (kJ/h)</t>
  </si>
  <si>
    <t>mCpm*dT</t>
  </si>
  <si>
    <t>71.5 MJ/h</t>
  </si>
  <si>
    <t>Hd = hL = 0</t>
  </si>
  <si>
    <t>T</t>
  </si>
  <si>
    <t>m (kg/h)</t>
  </si>
  <si>
    <r>
      <t>Qc = V(</t>
    </r>
    <r>
      <rPr>
        <sz val="11"/>
        <color rgb="FF000000"/>
        <rFont val="Calibri"/>
        <family val="2"/>
      </rPr>
      <t>λv + Cp (T-Tref)</t>
    </r>
  </si>
  <si>
    <t>Tb</t>
  </si>
  <si>
    <t>Mass flowrate</t>
  </si>
  <si>
    <t>cp (KJ/kgK)</t>
  </si>
  <si>
    <t>λv (kJ/mol)</t>
  </si>
  <si>
    <t xml:space="preserve"> temp</t>
  </si>
  <si>
    <t>T1-T2</t>
  </si>
  <si>
    <t>cooling from 76.9 oC to 30 oC</t>
  </si>
  <si>
    <t>cp (KJ/molK)</t>
  </si>
  <si>
    <t xml:space="preserve"> Cp EtOH (kJ/kgK)</t>
  </si>
  <si>
    <t>Qc (MJ/h)</t>
  </si>
  <si>
    <t>T2</t>
  </si>
  <si>
    <t>Q(MJ/h)</t>
  </si>
  <si>
    <t>kWh</t>
  </si>
  <si>
    <t>Qr = Qc + hB</t>
  </si>
  <si>
    <t>mB (kg/h)</t>
  </si>
  <si>
    <t>hB = mBCpw(Tb-Tref)</t>
  </si>
  <si>
    <t>L (kmol/h)</t>
  </si>
  <si>
    <t>DR</t>
  </si>
  <si>
    <t>hB (kJ/h)</t>
  </si>
  <si>
    <t>hB (MJ/h)</t>
  </si>
  <si>
    <t>Qr (MJ/h)</t>
  </si>
  <si>
    <t>Total Heat Requirement , Qt (MJ/h)</t>
  </si>
  <si>
    <t>Qt (kW)</t>
  </si>
  <si>
    <t>SUPERPRO DESIGNER COST</t>
  </si>
  <si>
    <t>Equipment</t>
  </si>
  <si>
    <t>Base cost, $</t>
  </si>
  <si>
    <t xml:space="preserve"> Spec</t>
  </si>
  <si>
    <t>Spec Value</t>
  </si>
  <si>
    <t>Design spec value</t>
  </si>
  <si>
    <t xml:space="preserve">Labor </t>
  </si>
  <si>
    <t>Basic rate, $/hrs</t>
  </si>
  <si>
    <t>hrs</t>
  </si>
  <si>
    <t>kg/h</t>
  </si>
  <si>
    <t xml:space="preserve">Working days in a year </t>
  </si>
  <si>
    <t>Max Volume, L</t>
  </si>
  <si>
    <t xml:space="preserve">Dryer operator </t>
  </si>
  <si>
    <t>Filter operator</t>
  </si>
  <si>
    <t xml:space="preserve">Operator </t>
  </si>
  <si>
    <t>kg/h ---- L</t>
  </si>
  <si>
    <t>den</t>
  </si>
  <si>
    <t>Max Area, m^2</t>
  </si>
  <si>
    <t>QC Analyst</t>
  </si>
  <si>
    <t>Drying capacity, kg/h</t>
  </si>
  <si>
    <t xml:space="preserve"> Crystallizer Operator </t>
  </si>
  <si>
    <t>Max area, m^2</t>
  </si>
  <si>
    <t>Max Power, kW</t>
  </si>
  <si>
    <t>Raw Material</t>
  </si>
  <si>
    <t>t/day</t>
  </si>
  <si>
    <t>kg/day</t>
  </si>
  <si>
    <t>CAS #</t>
  </si>
  <si>
    <t>Ref</t>
  </si>
  <si>
    <t>water (kg/d)</t>
  </si>
  <si>
    <t>Equipment Purchase  costs (million $)</t>
  </si>
  <si>
    <t>Cal Value,$</t>
  </si>
  <si>
    <t>cal value (10^-6)</t>
  </si>
  <si>
    <t xml:space="preserve"> cal value run up (millions, $)</t>
  </si>
  <si>
    <t xml:space="preserve">2,620 L </t>
  </si>
  <si>
    <t xml:space="preserve">640 L </t>
  </si>
  <si>
    <t>210 kg/h</t>
  </si>
  <si>
    <t>fuel/m3</t>
  </si>
  <si>
    <t>Water /m3</t>
  </si>
  <si>
    <t>Cooling water</t>
  </si>
  <si>
    <t>$/kg</t>
  </si>
  <si>
    <t>$/labor*h</t>
  </si>
  <si>
    <t xml:space="preserve">steam </t>
  </si>
  <si>
    <t xml:space="preserve">process water </t>
  </si>
  <si>
    <t>1 gallon = 3.79 kg water</t>
  </si>
  <si>
    <t>I CCF = 748 gallons</t>
  </si>
  <si>
    <t>100 CCF = $2.50</t>
  </si>
  <si>
    <t>kg/d</t>
  </si>
  <si>
    <t>sodium sulphate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</si>
</sst>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  <font>
      <b/>
      <sz val="11"/>
      <color rgb="FF0066FF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5" xfId="0" applyBorder="1"/>
    <xf numFmtId="2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Fill="1" applyBorder="1"/>
    <xf numFmtId="0" fontId="0" fillId="0" borderId="9" xfId="0" applyBorder="1" applyAlignment="1">
      <alignment horizontal="center"/>
    </xf>
    <xf numFmtId="0" fontId="0" fillId="0" borderId="9" xfId="0" applyFill="1" applyBorder="1"/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3" fontId="0" fillId="0" borderId="0" xfId="0" applyNumberFormat="1"/>
    <xf numFmtId="3" fontId="0" fillId="0" borderId="9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9" xfId="0" applyFont="1" applyBorder="1"/>
    <xf numFmtId="0" fontId="4" fillId="0" borderId="9" xfId="0" applyFont="1" applyBorder="1"/>
    <xf numFmtId="4" fontId="0" fillId="0" borderId="9" xfId="0" applyNumberFormat="1" applyBorder="1"/>
    <xf numFmtId="0" fontId="4" fillId="0" borderId="9" xfId="0" applyFont="1" applyFill="1" applyBorder="1"/>
    <xf numFmtId="0" fontId="5" fillId="0" borderId="0" xfId="0" applyFont="1"/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13" xfId="0" applyFont="1" applyFill="1" applyBorder="1"/>
    <xf numFmtId="0" fontId="0" fillId="0" borderId="13" xfId="0" applyBorder="1"/>
    <xf numFmtId="2" fontId="0" fillId="0" borderId="9" xfId="0" applyNumberFormat="1" applyBorder="1"/>
    <xf numFmtId="0" fontId="1" fillId="0" borderId="9" xfId="0" applyFont="1" applyFill="1" applyBorder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 vertical="center"/>
    </xf>
    <xf numFmtId="0" fontId="10" fillId="0" borderId="4" xfId="0" applyFont="1" applyFill="1" applyBorder="1"/>
    <xf numFmtId="0" fontId="10" fillId="0" borderId="0" xfId="0" applyFont="1" applyFill="1" applyBorder="1"/>
    <xf numFmtId="0" fontId="8" fillId="0" borderId="5" xfId="0" applyFont="1" applyFill="1" applyBorder="1"/>
    <xf numFmtId="2" fontId="7" fillId="0" borderId="5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2" fillId="0" borderId="4" xfId="0" applyFont="1" applyFill="1" applyBorder="1"/>
    <xf numFmtId="0" fontId="12" fillId="0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8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9" fillId="0" borderId="2" xfId="0" applyFont="1" applyFill="1" applyBorder="1"/>
    <xf numFmtId="0" fontId="9" fillId="0" borderId="3" xfId="0" applyFont="1" applyFill="1" applyBorder="1"/>
    <xf numFmtId="0" fontId="9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8" fillId="0" borderId="4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10" xfId="0" applyFont="1" applyFill="1" applyBorder="1"/>
    <xf numFmtId="0" fontId="8" fillId="0" borderId="9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6" xfId="0" applyFont="1" applyFill="1" applyBorder="1"/>
    <xf numFmtId="0" fontId="8" fillId="0" borderId="9" xfId="0" applyFont="1" applyFill="1" applyBorder="1" applyAlignment="1"/>
    <xf numFmtId="0" fontId="8" fillId="0" borderId="9" xfId="0" applyFont="1" applyFill="1" applyBorder="1" applyAlignment="1"/>
    <xf numFmtId="0" fontId="8" fillId="0" borderId="11" xfId="0" applyFont="1" applyFill="1" applyBorder="1"/>
    <xf numFmtId="0" fontId="8" fillId="0" borderId="17" xfId="0" applyFont="1" applyFill="1" applyBorder="1" applyAlignment="1">
      <alignment horizontal="center"/>
    </xf>
    <xf numFmtId="0" fontId="13" fillId="0" borderId="9" xfId="0" applyFont="1" applyFill="1" applyBorder="1"/>
    <xf numFmtId="0" fontId="8" fillId="0" borderId="18" xfId="0" applyFont="1" applyFill="1" applyBorder="1" applyAlignment="1"/>
    <xf numFmtId="0" fontId="8" fillId="0" borderId="12" xfId="0" applyFont="1" applyFill="1" applyBorder="1" applyAlignment="1"/>
    <xf numFmtId="0" fontId="8" fillId="0" borderId="9" xfId="0" applyFont="1" applyFill="1" applyBorder="1" applyAlignment="1">
      <alignment wrapText="1"/>
    </xf>
    <xf numFmtId="0" fontId="8" fillId="0" borderId="19" xfId="0" applyFont="1" applyFill="1" applyBorder="1" applyAlignment="1"/>
    <xf numFmtId="2" fontId="8" fillId="0" borderId="9" xfId="0" applyNumberFormat="1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7" xfId="0" applyFont="1" applyFill="1" applyBorder="1" applyAlignment="1"/>
    <xf numFmtId="0" fontId="8" fillId="3" borderId="0" xfId="0" applyFont="1" applyFill="1" applyBorder="1" applyAlignment="1"/>
    <xf numFmtId="0" fontId="8" fillId="4" borderId="9" xfId="0" applyFont="1" applyFill="1" applyBorder="1"/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7" borderId="0" xfId="0" applyFont="1" applyFill="1" applyBorder="1"/>
    <xf numFmtId="0" fontId="14" fillId="8" borderId="0" xfId="0" applyFont="1" applyFill="1" applyBorder="1"/>
    <xf numFmtId="0" fontId="14" fillId="8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8" borderId="0" xfId="0" applyFont="1" applyFill="1" applyBorder="1" applyAlignment="1"/>
    <xf numFmtId="2" fontId="8" fillId="0" borderId="0" xfId="0" applyNumberFormat="1" applyFont="1" applyFill="1" applyBorder="1"/>
    <xf numFmtId="0" fontId="11" fillId="0" borderId="9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9" xfId="0" applyFont="1" applyFill="1" applyBorder="1"/>
    <xf numFmtId="3" fontId="8" fillId="0" borderId="9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8" fillId="0" borderId="11" xfId="0" applyFont="1" applyFill="1" applyBorder="1" applyAlignment="1"/>
    <xf numFmtId="0" fontId="8" fillId="0" borderId="9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wrapText="1"/>
    </xf>
    <xf numFmtId="0" fontId="8" fillId="0" borderId="12" xfId="0" applyFont="1" applyFill="1" applyBorder="1"/>
    <xf numFmtId="0" fontId="13" fillId="0" borderId="16" xfId="0" applyFont="1" applyFill="1" applyBorder="1"/>
    <xf numFmtId="0" fontId="8" fillId="0" borderId="16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11" fillId="0" borderId="9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4" fontId="8" fillId="0" borderId="0" xfId="0" applyNumberFormat="1" applyFont="1" applyFill="1" applyBorder="1"/>
    <xf numFmtId="0" fontId="8" fillId="0" borderId="13" xfId="0" applyFont="1" applyFill="1" applyBorder="1" applyAlignment="1">
      <alignment horizontal="center"/>
    </xf>
    <xf numFmtId="4" fontId="8" fillId="0" borderId="9" xfId="0" applyNumberFormat="1" applyFont="1" applyFill="1" applyBorder="1"/>
    <xf numFmtId="3" fontId="8" fillId="0" borderId="9" xfId="0" applyNumberFormat="1" applyFont="1" applyFill="1" applyBorder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F-41A8-BAA5-D384DA1C9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F-41A8-BAA5-D384DA1C9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AF-41A8-BAA5-D384DA1C9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AF-41A8-BAA5-D384DA1C9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Anti_Cost_Anal!$T$16:$T$19</c:f>
              <c:strCache>
                <c:ptCount val="4"/>
                <c:pt idx="0">
                  <c:v>Annualized Capital Cost (CCAC) (M$)</c:v>
                </c:pt>
                <c:pt idx="1">
                  <c:v>Other Cost (CCOC) (M$)</c:v>
                </c:pt>
                <c:pt idx="2">
                  <c:v>Utility Cost (CCUC) (M$)</c:v>
                </c:pt>
                <c:pt idx="3">
                  <c:v>Consumables Cost (CCSC) (M$)</c:v>
                </c:pt>
              </c:strCache>
            </c:strRef>
          </c:cat>
          <c:val>
            <c:numRef>
              <c:f>Anti_Cost_Anal!$U$16:$U$19</c:f>
              <c:numCache>
                <c:formatCode>General</c:formatCode>
                <c:ptCount val="4"/>
                <c:pt idx="0">
                  <c:v>0.74503604736000006</c:v>
                </c:pt>
                <c:pt idx="1">
                  <c:v>2.6457815999999998</c:v>
                </c:pt>
                <c:pt idx="2">
                  <c:v>2.1038407374638393</c:v>
                </c:pt>
                <c:pt idx="3">
                  <c:v>0.12672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8-4132-AEC7-99F91160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cap="all" baseline="0">
                <a:solidFill>
                  <a:sysClr val="windowText" lastClr="000000"/>
                </a:solidFill>
                <a:effectLst/>
              </a:rPr>
              <a:t>Life Cycle </a:t>
            </a:r>
            <a:r>
              <a:rPr lang="en-US" sz="1200" baseline="0">
                <a:solidFill>
                  <a:schemeClr val="tx1"/>
                </a:solidFill>
              </a:rPr>
              <a:t>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Assessment(end)'!$S$33</c:f>
              <c:strCache>
                <c:ptCount val="1"/>
                <c:pt idx="0">
                  <c:v>Recovery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'Damage Assessment(end)'!$R$35</c:f>
              <c:strCache>
                <c:ptCount val="1"/>
                <c:pt idx="0">
                  <c:v>Ecosystem Quality (PDF*m^2*Y)</c:v>
                </c:pt>
              </c:strCache>
            </c:strRef>
          </c:cat>
          <c:val>
            <c:numRef>
              <c:f>'Damage Assessment(end)'!$S$35</c:f>
              <c:numCache>
                <c:formatCode>General</c:formatCode>
                <c:ptCount val="1"/>
                <c:pt idx="0">
                  <c:v>6559317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4-478F-8896-62596FEFA5E0}"/>
            </c:ext>
          </c:extLst>
        </c:ser>
        <c:ser>
          <c:idx val="1"/>
          <c:order val="1"/>
          <c:tx>
            <c:strRef>
              <c:f>'Damage Assessment(end)'!$T$33</c:f>
              <c:strCache>
                <c:ptCount val="1"/>
                <c:pt idx="0">
                  <c:v>Without Recovery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'Damage Assessment(end)'!$R$35</c:f>
              <c:strCache>
                <c:ptCount val="1"/>
                <c:pt idx="0">
                  <c:v>Ecosystem Quality (PDF*m^2*Y)</c:v>
                </c:pt>
              </c:strCache>
            </c:strRef>
          </c:cat>
          <c:val>
            <c:numRef>
              <c:f>'Damage Assessment(end)'!$T$35</c:f>
              <c:numCache>
                <c:formatCode>General</c:formatCode>
                <c:ptCount val="1"/>
                <c:pt idx="0">
                  <c:v>7711441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4-478F-8896-62596FEF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98784464"/>
        <c:axId val="1450697312"/>
      </c:barChart>
      <c:catAx>
        <c:axId val="12987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97312"/>
        <c:crosses val="autoZero"/>
        <c:auto val="1"/>
        <c:lblAlgn val="ctr"/>
        <c:lblOffset val="100"/>
        <c:noMultiLvlLbl val="0"/>
      </c:catAx>
      <c:valAx>
        <c:axId val="145069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cap="all" baseline="0">
                <a:solidFill>
                  <a:sysClr val="windowText" lastClr="000000"/>
                </a:solidFill>
                <a:effectLst/>
              </a:rPr>
              <a:t>Life Cycle </a:t>
            </a:r>
            <a:r>
              <a:rPr lang="en-US" sz="1200" baseline="0">
                <a:solidFill>
                  <a:schemeClr val="tx1"/>
                </a:solidFill>
              </a:rPr>
              <a:t>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Assessment(end)'!$S$33</c:f>
              <c:strCache>
                <c:ptCount val="1"/>
                <c:pt idx="0">
                  <c:v>Recovery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'Damage Assessment(end)'!$R$36</c:f>
              <c:strCache>
                <c:ptCount val="1"/>
                <c:pt idx="0">
                  <c:v>Climate Change (MT CO2-eq)</c:v>
                </c:pt>
              </c:strCache>
            </c:strRef>
          </c:cat>
          <c:val>
            <c:numRef>
              <c:f>'Damage Assessment(end)'!$S$36</c:f>
              <c:numCache>
                <c:formatCode>General</c:formatCode>
                <c:ptCount val="1"/>
                <c:pt idx="0">
                  <c:v>34639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4-499B-A7DF-759A63A4C39C}"/>
            </c:ext>
          </c:extLst>
        </c:ser>
        <c:ser>
          <c:idx val="1"/>
          <c:order val="1"/>
          <c:tx>
            <c:strRef>
              <c:f>'Damage Assessment(end)'!$T$33</c:f>
              <c:strCache>
                <c:ptCount val="1"/>
                <c:pt idx="0">
                  <c:v>Without Recovery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'Damage Assessment(end)'!$R$36</c:f>
              <c:strCache>
                <c:ptCount val="1"/>
                <c:pt idx="0">
                  <c:v>Climate Change (MT CO2-eq)</c:v>
                </c:pt>
              </c:strCache>
            </c:strRef>
          </c:cat>
          <c:val>
            <c:numRef>
              <c:f>'Damage Assessment(end)'!$T$36</c:f>
              <c:numCache>
                <c:formatCode>General</c:formatCode>
                <c:ptCount val="1"/>
                <c:pt idx="0">
                  <c:v>40875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4-499B-A7DF-759A63A4C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61487792"/>
        <c:axId val="970717952"/>
      </c:barChart>
      <c:catAx>
        <c:axId val="9614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17952"/>
        <c:crosses val="autoZero"/>
        <c:auto val="1"/>
        <c:lblAlgn val="ctr"/>
        <c:lblOffset val="100"/>
        <c:noMultiLvlLbl val="0"/>
      </c:catAx>
      <c:valAx>
        <c:axId val="97071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tx1"/>
                </a:solidFill>
              </a:rPr>
              <a:t>Life cycle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Assessment(end)'!$S$33</c:f>
              <c:strCache>
                <c:ptCount val="1"/>
                <c:pt idx="0">
                  <c:v>Recovery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'Damage Assessment(end)'!$R$37</c:f>
              <c:strCache>
                <c:ptCount val="1"/>
                <c:pt idx="0">
                  <c:v>Resource (MJ primary)</c:v>
                </c:pt>
              </c:strCache>
            </c:strRef>
          </c:cat>
          <c:val>
            <c:numRef>
              <c:f>'Damage Assessment(end)'!$S$37</c:f>
              <c:numCache>
                <c:formatCode>General</c:formatCode>
                <c:ptCount val="1"/>
                <c:pt idx="0">
                  <c:v>1197866144.5604615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0-4C11-8926-B9825F086E4E}"/>
            </c:ext>
          </c:extLst>
        </c:ser>
        <c:ser>
          <c:idx val="1"/>
          <c:order val="1"/>
          <c:tx>
            <c:strRef>
              <c:f>'Damage Assessment(end)'!$T$33</c:f>
              <c:strCache>
                <c:ptCount val="1"/>
                <c:pt idx="0">
                  <c:v>Without Recovery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'Damage Assessment(end)'!$R$37</c:f>
              <c:strCache>
                <c:ptCount val="1"/>
                <c:pt idx="0">
                  <c:v>Resource (MJ primary)</c:v>
                </c:pt>
              </c:strCache>
            </c:strRef>
          </c:cat>
          <c:val>
            <c:numRef>
              <c:f>'Damage Assessment(end)'!$T$37</c:f>
              <c:numCache>
                <c:formatCode>General</c:formatCode>
                <c:ptCount val="1"/>
                <c:pt idx="0">
                  <c:v>1450246164.7002366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0-4C11-8926-B9825F08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1468432"/>
        <c:axId val="1310990464"/>
      </c:barChart>
      <c:catAx>
        <c:axId val="17514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90464"/>
        <c:crosses val="autoZero"/>
        <c:auto val="1"/>
        <c:lblAlgn val="ctr"/>
        <c:lblOffset val="100"/>
        <c:noMultiLvlLbl val="0"/>
      </c:catAx>
      <c:valAx>
        <c:axId val="131099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Distribution</a:t>
            </a:r>
            <a:r>
              <a:rPr lang="en-US" baseline="0"/>
              <a:t> in technologies</a:t>
            </a:r>
          </a:p>
        </c:rich>
      </c:tx>
      <c:layout>
        <c:manualLayout>
          <c:xMode val="edge"/>
          <c:yMode val="edge"/>
          <c:x val="0.28171522309711289"/>
          <c:y val="3.2332563510392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Cooling Crys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Sheet5!$B$5:$B$10</c:f>
              <c:strCache>
                <c:ptCount val="6"/>
                <c:pt idx="0">
                  <c:v>Equipment Cost</c:v>
                </c:pt>
                <c:pt idx="1">
                  <c:v>Labor Cost</c:v>
                </c:pt>
                <c:pt idx="2">
                  <c:v>Raw Material Cost</c:v>
                </c:pt>
                <c:pt idx="3">
                  <c:v>Other Cost</c:v>
                </c:pt>
                <c:pt idx="4">
                  <c:v>Utility Cost</c:v>
                </c:pt>
                <c:pt idx="5">
                  <c:v>Consumables Cost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6"/>
                <c:pt idx="0">
                  <c:v>660033.48312000011</c:v>
                </c:pt>
                <c:pt idx="1">
                  <c:v>1474439.9999999998</c:v>
                </c:pt>
                <c:pt idx="2">
                  <c:v>208576</c:v>
                </c:pt>
                <c:pt idx="3">
                  <c:v>4098943.1999999988</c:v>
                </c:pt>
                <c:pt idx="4">
                  <c:v>4789037.537463841</c:v>
                </c:pt>
                <c:pt idx="5">
                  <c:v>253740.00000000003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ECC-BA7C-69A704C3F388}"/>
            </c:ext>
          </c:extLst>
        </c:ser>
        <c:ser>
          <c:idx val="1"/>
          <c:order val="1"/>
          <c:tx>
            <c:v>Antisolvent Crys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Sheet5!$B$5:$B$10</c:f>
              <c:strCache>
                <c:ptCount val="6"/>
                <c:pt idx="0">
                  <c:v>Equipment Cost</c:v>
                </c:pt>
                <c:pt idx="1">
                  <c:v>Labor Cost</c:v>
                </c:pt>
                <c:pt idx="2">
                  <c:v>Raw Material Cost</c:v>
                </c:pt>
                <c:pt idx="3">
                  <c:v>Other Cost</c:v>
                </c:pt>
                <c:pt idx="4">
                  <c:v>Utility Cost</c:v>
                </c:pt>
                <c:pt idx="5">
                  <c:v>Consumables Cost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6"/>
                <c:pt idx="0">
                  <c:v>610976.02103999991</c:v>
                </c:pt>
                <c:pt idx="1">
                  <c:v>1367519.9999999998</c:v>
                </c:pt>
                <c:pt idx="2">
                  <c:v>419144</c:v>
                </c:pt>
                <c:pt idx="3">
                  <c:v>3801705.5999999992</c:v>
                </c:pt>
                <c:pt idx="4">
                  <c:v>2113344.7374638394</c:v>
                </c:pt>
                <c:pt idx="5">
                  <c:v>253740.00000000003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ECC-BA7C-69A704C3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337776"/>
        <c:axId val="1063966224"/>
      </c:barChart>
      <c:catAx>
        <c:axId val="12513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66224"/>
        <c:crosses val="autoZero"/>
        <c:auto val="1"/>
        <c:lblAlgn val="ctr"/>
        <c:lblOffset val="100"/>
        <c:noMultiLvlLbl val="0"/>
      </c:catAx>
      <c:valAx>
        <c:axId val="10639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377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2222222222222223E-2"/>
                <c:y val="0.393025404157043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Millions,$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8-40F2-A239-BCAD7CDCBE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8-40F2-A239-BCAD7CDCBE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F8-40F2-A239-BCAD7CDCBE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F8-40F2-A239-BCAD7CDCB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'Anti_Cost_Anal (2)'!$T$16:$T$19</c:f>
              <c:strCache>
                <c:ptCount val="4"/>
                <c:pt idx="0">
                  <c:v>Annualized Capital Cost (CCAC) (M$)</c:v>
                </c:pt>
                <c:pt idx="1">
                  <c:v>Other Cost (CCOC) (M$)</c:v>
                </c:pt>
                <c:pt idx="2">
                  <c:v>Utility Cost (CCUC) (M$)</c:v>
                </c:pt>
                <c:pt idx="3">
                  <c:v>Consumables Cost (CCSC) (M$)</c:v>
                </c:pt>
              </c:strCache>
            </c:strRef>
          </c:cat>
          <c:val>
            <c:numRef>
              <c:f>'Anti_Cost_Anal (2)'!$U$16:$U$19</c:f>
              <c:numCache>
                <c:formatCode>General</c:formatCode>
                <c:ptCount val="4"/>
                <c:pt idx="0">
                  <c:v>0.68713873668000003</c:v>
                </c:pt>
                <c:pt idx="1">
                  <c:v>2.4476231999999993</c:v>
                </c:pt>
                <c:pt idx="2">
                  <c:v>2.102177537463839</c:v>
                </c:pt>
                <c:pt idx="3">
                  <c:v>0.12672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F8-40F2-A239-BCAD7CDC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'Anti_Cost_Anal (2)'!$W$16</c:f>
              <c:strCache>
                <c:ptCount val="1"/>
                <c:pt idx="0">
                  <c:v>Equipment Cost,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'Anti_Cost_Anal (2)'!$X$16</c:f>
              <c:numCache>
                <c:formatCode>General</c:formatCode>
                <c:ptCount val="1"/>
                <c:pt idx="0">
                  <c:v>687138.73667999997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4-4C8B-9B15-BE8B4F40C2F4}"/>
            </c:ext>
          </c:extLst>
        </c:ser>
        <c:ser>
          <c:idx val="1"/>
          <c:order val="1"/>
          <c:tx>
            <c:strRef>
              <c:f>'Anti_Cost_Anal (2)'!$W$20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'Anti_Cost_Anal (2)'!$X$20</c:f>
              <c:numCache>
                <c:formatCode>General</c:formatCode>
                <c:ptCount val="1"/>
                <c:pt idx="0">
                  <c:v>880440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4-4C8B-9B15-BE8B4F40C2F4}"/>
            </c:ext>
          </c:extLst>
        </c:ser>
        <c:ser>
          <c:idx val="2"/>
          <c:order val="2"/>
          <c:tx>
            <c:strRef>
              <c:f>'Anti_Cost_Anal (2)'!$W$21</c:f>
              <c:strCache>
                <c:ptCount val="1"/>
                <c:pt idx="0">
                  <c:v>Raw Material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'Anti_Cost_Anal (2)'!$X$21</c:f>
              <c:numCache>
                <c:formatCode>General</c:formatCode>
                <c:ptCount val="1"/>
                <c:pt idx="0">
                  <c:v>389063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4-4C8B-9B15-BE8B4F40C2F4}"/>
            </c:ext>
          </c:extLst>
        </c:ser>
        <c:ser>
          <c:idx val="3"/>
          <c:order val="3"/>
          <c:tx>
            <c:strRef>
              <c:f>'Anti_Cost_Anal (2)'!$W$17</c:f>
              <c:strCache>
                <c:ptCount val="1"/>
                <c:pt idx="0">
                  <c:v>Other Cost, 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'Anti_Cost_Anal (2)'!$X$17</c:f>
              <c:numCache>
                <c:formatCode>General</c:formatCode>
                <c:ptCount val="1"/>
                <c:pt idx="0">
                  <c:v>2447623.1999999993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4-4C8B-9B15-BE8B4F40C2F4}"/>
            </c:ext>
          </c:extLst>
        </c:ser>
        <c:ser>
          <c:idx val="4"/>
          <c:order val="4"/>
          <c:tx>
            <c:strRef>
              <c:f>'Anti_Cost_Anal (2)'!$W$18</c:f>
              <c:strCache>
                <c:ptCount val="1"/>
                <c:pt idx="0">
                  <c:v>Utility Cost, $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'Anti_Cost_Anal (2)'!$X$18</c:f>
              <c:numCache>
                <c:formatCode>General</c:formatCode>
                <c:ptCount val="1"/>
                <c:pt idx="0">
                  <c:v>2102177.5374638392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4-4C8B-9B15-BE8B4F40C2F4}"/>
            </c:ext>
          </c:extLst>
        </c:ser>
        <c:ser>
          <c:idx val="5"/>
          <c:order val="5"/>
          <c:tx>
            <c:strRef>
              <c:f>'Anti_Cost_Anal (2)'!$W$19</c:f>
              <c:strCache>
                <c:ptCount val="1"/>
                <c:pt idx="0">
                  <c:v>Consumables Cost, $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'Anti_Cost_Anal (2)'!$X$19</c:f>
              <c:numCache>
                <c:formatCode>General</c:formatCode>
                <c:ptCount val="1"/>
                <c:pt idx="0">
                  <c:v>126720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4-4C8B-9B15-BE8B4F40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58544"/>
        <c:axId val="438521968"/>
      </c:barChart>
      <c:catAx>
        <c:axId val="1169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1968"/>
        <c:crosses val="autoZero"/>
        <c:auto val="1"/>
        <c:lblAlgn val="ctr"/>
        <c:lblOffset val="100"/>
        <c:noMultiLvlLbl val="0"/>
      </c:catAx>
      <c:valAx>
        <c:axId val="438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Cost Distribution with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55882546869161"/>
          <c:y val="0.1914152217694417"/>
          <c:w val="0.76157212246422989"/>
          <c:h val="0.56077711549370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Anti_Cost_Anal!$W$16</c:f>
              <c:strCache>
                <c:ptCount val="1"/>
                <c:pt idx="0">
                  <c:v>Equipment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Anti_Cost_Anal!$X$16</c:f>
              <c:numCache>
                <c:formatCode>General</c:formatCode>
                <c:ptCount val="1"/>
                <c:pt idx="0">
                  <c:v>755584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9F6-B7C7-45B779D82D13}"/>
            </c:ext>
          </c:extLst>
        </c:ser>
        <c:ser>
          <c:idx val="1"/>
          <c:order val="1"/>
          <c:tx>
            <c:strRef>
              <c:f>Anti_Cost_Anal!$W$20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Anti_Cost_Anal!$X$20</c:f>
              <c:numCache>
                <c:formatCode>General</c:formatCode>
                <c:ptCount val="1"/>
                <c:pt idx="0">
                  <c:v>951720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D-49F6-B7C7-45B779D82D13}"/>
            </c:ext>
          </c:extLst>
        </c:ser>
        <c:ser>
          <c:idx val="2"/>
          <c:order val="2"/>
          <c:tx>
            <c:strRef>
              <c:f>Anti_Cost_Anal!$W$21</c:f>
              <c:strCache>
                <c:ptCount val="1"/>
                <c:pt idx="0">
                  <c:v>Raw Material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Anti_Cost_Anal!$X$21</c:f>
              <c:numCache>
                <c:formatCode>General</c:formatCode>
                <c:ptCount val="1"/>
                <c:pt idx="0">
                  <c:v>389063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D-49F6-B7C7-45B779D82D13}"/>
            </c:ext>
          </c:extLst>
        </c:ser>
        <c:ser>
          <c:idx val="3"/>
          <c:order val="3"/>
          <c:tx>
            <c:strRef>
              <c:f>Anti_Cost_Anal!$W$17</c:f>
              <c:strCache>
                <c:ptCount val="1"/>
                <c:pt idx="0">
                  <c:v>Other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Anti_Cost_Anal!$X$17</c:f>
              <c:numCache>
                <c:formatCode>General</c:formatCode>
                <c:ptCount val="1"/>
                <c:pt idx="0">
                  <c:v>2645781.5999999996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D-49F6-B7C7-45B779D82D13}"/>
            </c:ext>
          </c:extLst>
        </c:ser>
        <c:ser>
          <c:idx val="4"/>
          <c:order val="4"/>
          <c:tx>
            <c:strRef>
              <c:f>Anti_Cost_Anal!$W$18</c:f>
              <c:strCache>
                <c:ptCount val="1"/>
                <c:pt idx="0">
                  <c:v>Utility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Anti_Cost_Anal!$X$18</c:f>
              <c:numCache>
                <c:formatCode>General</c:formatCode>
                <c:ptCount val="1"/>
                <c:pt idx="0">
                  <c:v>2103840.7374638394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D-49F6-B7C7-45B779D82D13}"/>
            </c:ext>
          </c:extLst>
        </c:ser>
        <c:ser>
          <c:idx val="5"/>
          <c:order val="5"/>
          <c:tx>
            <c:strRef>
              <c:f>Anti_Cost_Anal!$W$19</c:f>
              <c:strCache>
                <c:ptCount val="1"/>
                <c:pt idx="0">
                  <c:v>Consumables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Anti_Cost_Anal!$X$19</c:f>
              <c:numCache>
                <c:formatCode>General</c:formatCode>
                <c:ptCount val="1"/>
                <c:pt idx="0">
                  <c:v>126720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9D-49F6-B7C7-45B779D8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58544"/>
        <c:axId val="438521968"/>
      </c:barChart>
      <c:catAx>
        <c:axId val="1169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1968"/>
        <c:crosses val="autoZero"/>
        <c:auto val="1"/>
        <c:lblAlgn val="ctr"/>
        <c:lblOffset val="100"/>
        <c:noMultiLvlLbl val="0"/>
      </c:catAx>
      <c:valAx>
        <c:axId val="438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Annual 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08661728829216E-2"/>
          <c:y val="0.87484862916950445"/>
          <c:w val="0.96015626717070701"/>
          <c:h val="0.12515137083049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Cost Distribution with no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55882546869161"/>
          <c:y val="0.1914152217694417"/>
          <c:w val="0.76157212246422989"/>
          <c:h val="0.56077711549370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Anti_Cost_Anal!$W$16</c:f>
              <c:strCache>
                <c:ptCount val="1"/>
                <c:pt idx="0">
                  <c:v>Equipment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Anti_Cost_Anal!$X$16</c:f>
              <c:numCache>
                <c:formatCode>General</c:formatCode>
                <c:ptCount val="1"/>
                <c:pt idx="0">
                  <c:v>755584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9F6-B7C7-45B779D82D13}"/>
            </c:ext>
          </c:extLst>
        </c:ser>
        <c:ser>
          <c:idx val="1"/>
          <c:order val="1"/>
          <c:tx>
            <c:strRef>
              <c:f>Anti_Cost_Anal!$W$20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Anti_Cost_Anal!$X$20</c:f>
              <c:numCache>
                <c:formatCode>General</c:formatCode>
                <c:ptCount val="1"/>
                <c:pt idx="0">
                  <c:v>951720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D-49F6-B7C7-45B779D82D13}"/>
            </c:ext>
          </c:extLst>
        </c:ser>
        <c:ser>
          <c:idx val="2"/>
          <c:order val="2"/>
          <c:tx>
            <c:strRef>
              <c:f>Anti_Cost_Anal!$W$21</c:f>
              <c:strCache>
                <c:ptCount val="1"/>
                <c:pt idx="0">
                  <c:v>Raw Material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Anti_Cost_Anal!$AC$30</c:f>
              <c:numCache>
                <c:formatCode>General</c:formatCode>
                <c:ptCount val="1"/>
                <c:pt idx="0">
                  <c:v>3818316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D-49F6-B7C7-45B779D82D13}"/>
            </c:ext>
          </c:extLst>
        </c:ser>
        <c:ser>
          <c:idx val="3"/>
          <c:order val="3"/>
          <c:tx>
            <c:strRef>
              <c:f>Anti_Cost_Anal!$W$17</c:f>
              <c:strCache>
                <c:ptCount val="1"/>
                <c:pt idx="0">
                  <c:v>Other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Anti_Cost_Anal!$X$17</c:f>
              <c:numCache>
                <c:formatCode>General</c:formatCode>
                <c:ptCount val="1"/>
                <c:pt idx="0">
                  <c:v>2645781.5999999996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D-49F6-B7C7-45B779D82D13}"/>
            </c:ext>
          </c:extLst>
        </c:ser>
        <c:ser>
          <c:idx val="4"/>
          <c:order val="4"/>
          <c:tx>
            <c:strRef>
              <c:f>Anti_Cost_Anal!$W$18</c:f>
              <c:strCache>
                <c:ptCount val="1"/>
                <c:pt idx="0">
                  <c:v>Utility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Anti_Cost_Anal!$X$18</c:f>
              <c:numCache>
                <c:formatCode>General</c:formatCode>
                <c:ptCount val="1"/>
                <c:pt idx="0">
                  <c:v>2103840.7374638394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D-49F6-B7C7-45B779D82D13}"/>
            </c:ext>
          </c:extLst>
        </c:ser>
        <c:ser>
          <c:idx val="5"/>
          <c:order val="5"/>
          <c:tx>
            <c:strRef>
              <c:f>Anti_Cost_Anal!$W$19</c:f>
              <c:strCache>
                <c:ptCount val="1"/>
                <c:pt idx="0">
                  <c:v>Consumables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Parameter</c:v>
              </c:pt>
            </c:strLit>
          </c:cat>
          <c:val>
            <c:numRef>
              <c:f>Anti_Cost_Anal!$X$19</c:f>
              <c:numCache>
                <c:formatCode>General</c:formatCode>
                <c:ptCount val="1"/>
                <c:pt idx="0">
                  <c:v>126720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9D-49F6-B7C7-45B779D8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58544"/>
        <c:axId val="438521968"/>
      </c:barChart>
      <c:catAx>
        <c:axId val="1169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1968"/>
        <c:crosses val="autoZero"/>
        <c:auto val="1"/>
        <c:lblAlgn val="ctr"/>
        <c:lblOffset val="100"/>
        <c:noMultiLvlLbl val="0"/>
      </c:catAx>
      <c:valAx>
        <c:axId val="438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Annual 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08661728829216E-2"/>
          <c:y val="0.87484862916950445"/>
          <c:w val="0.96015626717070701"/>
          <c:h val="0.12515137083049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Cost Estimation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Process with solvent recovery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Anti_Cost_Anal!$W$16:$W$21</c:f>
              <c:strCache>
                <c:ptCount val="6"/>
                <c:pt idx="0">
                  <c:v>Equipment Cost</c:v>
                </c:pt>
                <c:pt idx="1">
                  <c:v>Other Cost</c:v>
                </c:pt>
                <c:pt idx="2">
                  <c:v>Utility Cost</c:v>
                </c:pt>
                <c:pt idx="3">
                  <c:v>Consumables Cost</c:v>
                </c:pt>
                <c:pt idx="4">
                  <c:v>Labor Cost</c:v>
                </c:pt>
                <c:pt idx="5">
                  <c:v>Raw Material Cost</c:v>
                </c:pt>
              </c:strCache>
            </c:strRef>
          </c:cat>
          <c:val>
            <c:numRef>
              <c:f>Anti_Cost_Anal!$X$16:$X$21</c:f>
              <c:numCache>
                <c:formatCode>General</c:formatCode>
                <c:ptCount val="6"/>
                <c:pt idx="0">
                  <c:v>755584</c:v>
                </c:pt>
                <c:pt idx="1">
                  <c:v>2645781.5999999996</c:v>
                </c:pt>
                <c:pt idx="2">
                  <c:v>2103840.7374638394</c:v>
                </c:pt>
                <c:pt idx="3">
                  <c:v>126720</c:v>
                </c:pt>
                <c:pt idx="4">
                  <c:v>951720</c:v>
                </c:pt>
                <c:pt idx="5">
                  <c:v>389063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D-4612-AA56-344BB90F9980}"/>
            </c:ext>
          </c:extLst>
        </c:ser>
        <c:ser>
          <c:idx val="1"/>
          <c:order val="1"/>
          <c:tx>
            <c:v>Process without recovery of solvent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Anti_Cost_Anal!$W$16:$W$21</c:f>
              <c:strCache>
                <c:ptCount val="6"/>
                <c:pt idx="0">
                  <c:v>Equipment Cost</c:v>
                </c:pt>
                <c:pt idx="1">
                  <c:v>Other Cost</c:v>
                </c:pt>
                <c:pt idx="2">
                  <c:v>Utility Cost</c:v>
                </c:pt>
                <c:pt idx="3">
                  <c:v>Consumables Cost</c:v>
                </c:pt>
                <c:pt idx="4">
                  <c:v>Labor Cost</c:v>
                </c:pt>
                <c:pt idx="5">
                  <c:v>Raw Material Cost</c:v>
                </c:pt>
              </c:strCache>
            </c:strRef>
          </c:cat>
          <c:val>
            <c:numRef>
              <c:f>Anti_Cost_Anal!$Y$16:$Y$21</c:f>
              <c:numCache>
                <c:formatCode>General</c:formatCode>
                <c:ptCount val="6"/>
                <c:pt idx="0">
                  <c:v>687138.73667999997</c:v>
                </c:pt>
                <c:pt idx="1">
                  <c:v>2513675.9999999995</c:v>
                </c:pt>
                <c:pt idx="2">
                  <c:v>2102177.5374638392</c:v>
                </c:pt>
                <c:pt idx="3">
                  <c:v>126720</c:v>
                </c:pt>
                <c:pt idx="4">
                  <c:v>904200</c:v>
                </c:pt>
                <c:pt idx="5">
                  <c:v>3818316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D-4612-AA56-344BB90F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4198832"/>
        <c:axId val="1658739520"/>
      </c:barChart>
      <c:catAx>
        <c:axId val="174419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39520"/>
        <c:crosses val="autoZero"/>
        <c:auto val="1"/>
        <c:lblAlgn val="ctr"/>
        <c:lblOffset val="100"/>
        <c:noMultiLvlLbl val="0"/>
      </c:catAx>
      <c:valAx>
        <c:axId val="16587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  <a:r>
              <a:rPr lang="en-US" baseline="0"/>
              <a:t> </a:t>
            </a:r>
            <a:r>
              <a:rPr lang="en-US"/>
              <a:t>Damage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Sodium Chloride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'Damage Assessment(end)'!$E$15</c:f>
              <c:numCache>
                <c:formatCode>0.00E+00</c:formatCode>
                <c:ptCount val="1"/>
                <c:pt idx="0">
                  <c:v>1.4121971E-7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0-4F58-9598-016AA6AE1220}"/>
            </c:ext>
          </c:extLst>
        </c:ser>
        <c:ser>
          <c:idx val="1"/>
          <c:order val="1"/>
          <c:tx>
            <c:v>sodium sulfate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'Damage Assessment(end)'!$F$15</c:f>
              <c:numCache>
                <c:formatCode>0.00E+00</c:formatCode>
                <c:ptCount val="1"/>
                <c:pt idx="0">
                  <c:v>6.1410603000000004E-7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0-4F58-9598-016AA6AE1220}"/>
            </c:ext>
          </c:extLst>
        </c:ser>
        <c:ser>
          <c:idx val="2"/>
          <c:order val="2"/>
          <c:tx>
            <c:v>water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'Damage Assessment(end)'!$G$15</c:f>
              <c:numCache>
                <c:formatCode>0.00E+00</c:formatCode>
                <c:ptCount val="1"/>
                <c:pt idx="0">
                  <c:v>2.2196244E-9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0-4F58-9598-016AA6AE1220}"/>
            </c:ext>
          </c:extLst>
        </c:ser>
        <c:ser>
          <c:idx val="3"/>
          <c:order val="3"/>
          <c:tx>
            <c:v>ethanol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'Damage Assessment(end)'!$H$15</c:f>
              <c:numCache>
                <c:formatCode>0.00E+00</c:formatCode>
                <c:ptCount val="1"/>
                <c:pt idx="0">
                  <c:v>1.275755E-6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0-4F58-9598-016AA6AE1220}"/>
            </c:ext>
          </c:extLst>
        </c:ser>
        <c:ser>
          <c:idx val="4"/>
          <c:order val="4"/>
          <c:tx>
            <c:v>Utility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'Damage Assessment(end)'!$I$15</c:f>
              <c:numCache>
                <c:formatCode>0.00E+00</c:formatCode>
                <c:ptCount val="1"/>
                <c:pt idx="0">
                  <c:v>1.5826733E-6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20-4F58-9598-016AA6AE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677536"/>
        <c:axId val="1001126560"/>
      </c:barChart>
      <c:catAx>
        <c:axId val="96167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1126560"/>
        <c:crosses val="autoZero"/>
        <c:auto val="1"/>
        <c:lblAlgn val="ctr"/>
        <c:lblOffset val="100"/>
        <c:noMultiLvlLbl val="0"/>
      </c:catAx>
      <c:valAx>
        <c:axId val="1001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Human Health, DALY/kg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Climate</a:t>
            </a:r>
            <a:r>
              <a:rPr lang="en-US" baseline="0"/>
              <a:t> Change Damage Category</a:t>
            </a:r>
            <a:endParaRPr lang="en-US"/>
          </a:p>
        </c:rich>
      </c:tx>
      <c:layout>
        <c:manualLayout>
          <c:xMode val="edge"/>
          <c:yMode val="edge"/>
          <c:x val="0.22731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Assessment(end)'!$E$14</c:f>
              <c:strCache>
                <c:ptCount val="1"/>
                <c:pt idx="0">
                  <c:v>Sodium chloride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'Damage Assessment(end)'!$E$17</c:f>
              <c:numCache>
                <c:formatCode>General</c:formatCode>
                <c:ptCount val="1"/>
                <c:pt idx="0">
                  <c:v>9.9304656000000005E-2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F-4E5A-B9C7-85B8E86050A4}"/>
            </c:ext>
          </c:extLst>
        </c:ser>
        <c:ser>
          <c:idx val="1"/>
          <c:order val="1"/>
          <c:tx>
            <c:strRef>
              <c:f>'Damage Assessment(end)'!$F$14</c:f>
              <c:strCache>
                <c:ptCount val="1"/>
                <c:pt idx="0">
                  <c:v>Sodium Sulfate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'Damage Assessment(end)'!$F$17</c:f>
              <c:numCache>
                <c:formatCode>General</c:formatCode>
                <c:ptCount val="1"/>
                <c:pt idx="0">
                  <c:v>0.38892611999999999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F-4E5A-B9C7-85B8E86050A4}"/>
            </c:ext>
          </c:extLst>
        </c:ser>
        <c:ser>
          <c:idx val="2"/>
          <c:order val="2"/>
          <c:tx>
            <c:strRef>
              <c:f>'Damage Assessment(end)'!$G$14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'Damage Assessment(end)'!$G$17</c:f>
              <c:numCache>
                <c:formatCode>General</c:formatCode>
                <c:ptCount val="1"/>
                <c:pt idx="0">
                  <c:v>1.4371620000000001E-3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F-4E5A-B9C7-85B8E86050A4}"/>
            </c:ext>
          </c:extLst>
        </c:ser>
        <c:ser>
          <c:idx val="3"/>
          <c:order val="3"/>
          <c:tx>
            <c:strRef>
              <c:f>'Damage Assessment(end)'!$H$14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'Damage Assessment(end)'!$H$17</c:f>
              <c:numCache>
                <c:formatCode>General</c:formatCode>
                <c:ptCount val="1"/>
                <c:pt idx="0">
                  <c:v>1.6372819000000001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F-4E5A-B9C7-85B8E86050A4}"/>
            </c:ext>
          </c:extLst>
        </c:ser>
        <c:ser>
          <c:idx val="4"/>
          <c:order val="4"/>
          <c:tx>
            <c:v>Utility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'Damage Assessment(end)'!$I$17</c:f>
              <c:numCache>
                <c:formatCode>General</c:formatCode>
                <c:ptCount val="1"/>
                <c:pt idx="0">
                  <c:v>1.8432527000000001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F-4E5A-B9C7-85B8E860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983552"/>
        <c:axId val="968097984"/>
      </c:barChart>
      <c:catAx>
        <c:axId val="101298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8097984"/>
        <c:crosses val="autoZero"/>
        <c:auto val="1"/>
        <c:lblAlgn val="ctr"/>
        <c:lblOffset val="100"/>
        <c:noMultiLvlLbl val="0"/>
      </c:catAx>
      <c:valAx>
        <c:axId val="9680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Climate Change, kg CO2 eq/kg product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442362933799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Ecosystem Damage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Assessment(end)'!$E$14</c:f>
              <c:strCache>
                <c:ptCount val="1"/>
                <c:pt idx="0">
                  <c:v>Sodium chloride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'Damage Assessment(end)'!$E$16</c:f>
              <c:numCache>
                <c:formatCode>General</c:formatCode>
                <c:ptCount val="1"/>
                <c:pt idx="0">
                  <c:v>6.1457007000000001E-2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24-B490-9E7CB1118765}"/>
            </c:ext>
          </c:extLst>
        </c:ser>
        <c:ser>
          <c:idx val="1"/>
          <c:order val="1"/>
          <c:tx>
            <c:strRef>
              <c:f>'Damage Assessment(end)'!$F$14</c:f>
              <c:strCache>
                <c:ptCount val="1"/>
                <c:pt idx="0">
                  <c:v>Sodium Sulfate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'Damage Assessment(end)'!$F$16</c:f>
              <c:numCache>
                <c:formatCode>General</c:formatCode>
                <c:ptCount val="1"/>
                <c:pt idx="0">
                  <c:v>0.26834555999999998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1-4224-B490-9E7CB1118765}"/>
            </c:ext>
          </c:extLst>
        </c:ser>
        <c:ser>
          <c:idx val="2"/>
          <c:order val="2"/>
          <c:tx>
            <c:strRef>
              <c:f>'Damage Assessment(end)'!$G$14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'Damage Assessment(end)'!$G$16</c:f>
              <c:numCache>
                <c:formatCode>General</c:formatCode>
                <c:ptCount val="1"/>
                <c:pt idx="0">
                  <c:v>4.8980086999999997E-4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1-4224-B490-9E7CB1118765}"/>
            </c:ext>
          </c:extLst>
        </c:ser>
        <c:ser>
          <c:idx val="3"/>
          <c:order val="3"/>
          <c:tx>
            <c:strRef>
              <c:f>'Damage Assessment(end)'!$H$14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'Damage Assessment(end)'!$H$16</c:f>
              <c:numCache>
                <c:formatCode>General</c:formatCode>
                <c:ptCount val="1"/>
                <c:pt idx="0">
                  <c:v>0.30247230000000003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1-4224-B490-9E7CB1118765}"/>
            </c:ext>
          </c:extLst>
        </c:ser>
        <c:ser>
          <c:idx val="4"/>
          <c:order val="4"/>
          <c:tx>
            <c:v>Utility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'Damage Assessment(end)'!$I$16</c:f>
              <c:numCache>
                <c:formatCode>General</c:formatCode>
                <c:ptCount val="1"/>
                <c:pt idx="0">
                  <c:v>0.32796821999999998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1-4224-B490-9E7CB111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656464"/>
        <c:axId val="1304843552"/>
      </c:barChart>
      <c:catAx>
        <c:axId val="91665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4843552"/>
        <c:crosses val="autoZero"/>
        <c:auto val="1"/>
        <c:lblAlgn val="ctr"/>
        <c:lblOffset val="100"/>
        <c:noMultiLvlLbl val="0"/>
      </c:catAx>
      <c:valAx>
        <c:axId val="1304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Ecosystem Qualkity PDF*m2*yr/kg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tx1"/>
                </a:solidFill>
              </a:rPr>
              <a:t>LIfe cycle Assessment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Assessment(end)'!$S$33</c:f>
              <c:strCache>
                <c:ptCount val="1"/>
                <c:pt idx="0">
                  <c:v>Recovery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'Damage Assessment(end)'!$R$34:$R$37</c:f>
              <c:strCache>
                <c:ptCount val="4"/>
                <c:pt idx="0">
                  <c:v>Human Health (DALY/y)</c:v>
                </c:pt>
                <c:pt idx="1">
                  <c:v>Ecosystem Quality (PDF*m^2*Y)</c:v>
                </c:pt>
                <c:pt idx="2">
                  <c:v>Climate Change (MT CO2-eq)</c:v>
                </c:pt>
                <c:pt idx="3">
                  <c:v>Resource (MJ primary)</c:v>
                </c:pt>
              </c:strCache>
            </c:strRef>
          </c:cat>
          <c:val>
            <c:numRef>
              <c:f>'Damage Assessment(end)'!$S$34:$S$37</c:f>
              <c:numCache>
                <c:formatCode>General</c:formatCode>
                <c:ptCount val="4"/>
                <c:pt idx="0" formatCode="0.00E+00">
                  <c:v>30.3</c:v>
                </c:pt>
                <c:pt idx="1">
                  <c:v>6559317</c:v>
                </c:pt>
                <c:pt idx="2">
                  <c:v>34639</c:v>
                </c:pt>
                <c:pt idx="3">
                  <c:v>1197866144.5604615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9A9-B5E2-C4C8D8D80E5E}"/>
            </c:ext>
          </c:extLst>
        </c:ser>
        <c:ser>
          <c:idx val="1"/>
          <c:order val="1"/>
          <c:tx>
            <c:strRef>
              <c:f>'Damage Assessment(end)'!$T$33</c:f>
              <c:strCache>
                <c:ptCount val="1"/>
                <c:pt idx="0">
                  <c:v>Without Recovery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'Damage Assessment(end)'!$R$34:$R$37</c:f>
              <c:strCache>
                <c:ptCount val="4"/>
                <c:pt idx="0">
                  <c:v>Human Health (DALY/y)</c:v>
                </c:pt>
                <c:pt idx="1">
                  <c:v>Ecosystem Quality (PDF*m^2*Y)</c:v>
                </c:pt>
                <c:pt idx="2">
                  <c:v>Climate Change (MT CO2-eq)</c:v>
                </c:pt>
                <c:pt idx="3">
                  <c:v>Resource (MJ primary)</c:v>
                </c:pt>
              </c:strCache>
            </c:strRef>
          </c:cat>
          <c:val>
            <c:numRef>
              <c:f>'Damage Assessment(end)'!$T$34:$T$37</c:f>
              <c:numCache>
                <c:formatCode>General</c:formatCode>
                <c:ptCount val="4"/>
                <c:pt idx="0" formatCode="0.00E+00">
                  <c:v>35.12848542359113</c:v>
                </c:pt>
                <c:pt idx="1">
                  <c:v>7711441</c:v>
                </c:pt>
                <c:pt idx="2">
                  <c:v>40875</c:v>
                </c:pt>
                <c:pt idx="3">
                  <c:v>1450246164.7002366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9A9-B5E2-C4C8D8D8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43457792"/>
        <c:axId val="1286974592"/>
      </c:barChart>
      <c:catAx>
        <c:axId val="1443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74592"/>
        <c:crossesAt val="0"/>
        <c:auto val="1"/>
        <c:lblAlgn val="ctr"/>
        <c:lblOffset val="100"/>
        <c:noMultiLvlLbl val="0"/>
      </c:catAx>
      <c:valAx>
        <c:axId val="128697459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tx1"/>
                </a:solidFill>
              </a:rPr>
              <a:t>Life Cycle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Assessment(end)'!$S$33</c:f>
              <c:strCache>
                <c:ptCount val="1"/>
                <c:pt idx="0">
                  <c:v>Recovery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'Damage Assessment(end)'!$R$34</c:f>
              <c:strCache>
                <c:ptCount val="1"/>
                <c:pt idx="0">
                  <c:v>Human Health (DALY/y)</c:v>
                </c:pt>
              </c:strCache>
            </c:strRef>
          </c:cat>
          <c:val>
            <c:numRef>
              <c:f>'Damage Assessment(end)'!$S$34</c:f>
              <c:numCache>
                <c:formatCode>0.00E+00</c:formatCode>
                <c:ptCount val="1"/>
                <c:pt idx="0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7-4D6A-8424-F24F7299477F}"/>
            </c:ext>
          </c:extLst>
        </c:ser>
        <c:ser>
          <c:idx val="1"/>
          <c:order val="1"/>
          <c:tx>
            <c:strRef>
              <c:f>'Damage Assessment(end)'!$T$33</c:f>
              <c:strCache>
                <c:ptCount val="1"/>
                <c:pt idx="0">
                  <c:v>Without Recovery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'Damage Assessment(end)'!$R$34</c:f>
              <c:strCache>
                <c:ptCount val="1"/>
                <c:pt idx="0">
                  <c:v>Human Health (DALY/y)</c:v>
                </c:pt>
              </c:strCache>
            </c:strRef>
          </c:cat>
          <c:val>
            <c:numRef>
              <c:f>'Damage Assessment(end)'!$T$34</c:f>
              <c:numCache>
                <c:formatCode>0.00E+00</c:formatCode>
                <c:ptCount val="1"/>
                <c:pt idx="0">
                  <c:v>35.12848542359113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7-4D6A-8424-F24F7299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53990128"/>
        <c:axId val="1310963424"/>
      </c:barChart>
      <c:catAx>
        <c:axId val="14539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63424"/>
        <c:crosses val="autoZero"/>
        <c:auto val="1"/>
        <c:lblAlgn val="ctr"/>
        <c:lblOffset val="100"/>
        <c:noMultiLvlLbl val="0"/>
      </c:catAx>
      <c:valAx>
        <c:axId val="131096342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220133</xdr:colOff>
      <xdr:row>0</xdr:row>
      <xdr:rowOff>116416</xdr:rowOff>
    </xdr:from>
    <xdr:to>
      <xdr:col>29</xdr:col>
      <xdr:colOff>550268</xdr:colOff>
      <xdr:row>26</xdr:row>
      <xdr:rowOff>64911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BE46488-3CE5-4B3F-B668-D1DF83CC7C63}"/>
            </a:ext>
          </a:extLst>
        </xdr:cNvPr>
        <xdr:cNvGrpSpPr/>
      </xdr:nvGrpSpPr>
      <xdr:grpSpPr>
        <a:xfrm>
          <a:off x="14602883" y="116416"/>
          <a:ext cx="9617010" cy="4958645"/>
          <a:chOff x="5709356" y="2190750"/>
          <a:chExt cx="8218246" cy="472510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E3AC0FB-8B5D-4ACB-8661-328D2D8441D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6797" t="24328" r="23565" b="24981"/>
          <a:stretch/>
        </xdr:blipFill>
        <xdr:spPr>
          <a:xfrm>
            <a:off x="5709356" y="2190750"/>
            <a:ext cx="8218246" cy="4725106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3D4CE96-E25C-490C-8915-EAD0FA86CF59}"/>
              </a:ext>
            </a:extLst>
          </xdr:cNvPr>
          <xdr:cNvSpPr txBox="1"/>
        </xdr:nvSpPr>
        <xdr:spPr>
          <a:xfrm>
            <a:off x="6068483" y="4309533"/>
            <a:ext cx="190500" cy="18979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9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4E7D68A-3C43-4919-9ED3-D956077F69A5}"/>
              </a:ext>
            </a:extLst>
          </xdr:cNvPr>
          <xdr:cNvSpPr txBox="1"/>
        </xdr:nvSpPr>
        <xdr:spPr>
          <a:xfrm>
            <a:off x="6608233" y="4258733"/>
            <a:ext cx="174978" cy="20249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CC1D3D1-56FA-4514-B537-E31609868938}"/>
              </a:ext>
            </a:extLst>
          </xdr:cNvPr>
          <xdr:cNvSpPr txBox="1"/>
        </xdr:nvSpPr>
        <xdr:spPr>
          <a:xfrm>
            <a:off x="7907867" y="3127022"/>
            <a:ext cx="209550" cy="22083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0D67F38-3D93-4627-8955-5AAC000909BA}"/>
              </a:ext>
            </a:extLst>
          </xdr:cNvPr>
          <xdr:cNvSpPr txBox="1"/>
        </xdr:nvSpPr>
        <xdr:spPr>
          <a:xfrm>
            <a:off x="7351889" y="4746272"/>
            <a:ext cx="222250" cy="20884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E3D2B3D-FB6E-45A2-B0BC-9C173840A034}"/>
              </a:ext>
            </a:extLst>
          </xdr:cNvPr>
          <xdr:cNvSpPr txBox="1"/>
        </xdr:nvSpPr>
        <xdr:spPr>
          <a:xfrm>
            <a:off x="8174567" y="4904317"/>
            <a:ext cx="222250" cy="202494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6F0924E-C719-4D67-9D14-B4F6C4978B2D}"/>
              </a:ext>
            </a:extLst>
          </xdr:cNvPr>
          <xdr:cNvSpPr txBox="1"/>
        </xdr:nvSpPr>
        <xdr:spPr>
          <a:xfrm>
            <a:off x="9028994" y="5049661"/>
            <a:ext cx="194028" cy="19614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6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CAA0F1C-A444-4848-B3F7-CB5F6FDA8EAC}"/>
              </a:ext>
            </a:extLst>
          </xdr:cNvPr>
          <xdr:cNvSpPr txBox="1"/>
        </xdr:nvSpPr>
        <xdr:spPr>
          <a:xfrm>
            <a:off x="9203972" y="4214989"/>
            <a:ext cx="222250" cy="20178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7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9C613F00-B789-4190-9C95-BE13B7BAF6EB}"/>
              </a:ext>
            </a:extLst>
          </xdr:cNvPr>
          <xdr:cNvSpPr txBox="1"/>
        </xdr:nvSpPr>
        <xdr:spPr>
          <a:xfrm>
            <a:off x="9759950" y="5188656"/>
            <a:ext cx="215900" cy="215194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8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F873BC2-9D78-4DBD-85B7-7A747598A987}"/>
              </a:ext>
            </a:extLst>
          </xdr:cNvPr>
          <xdr:cNvSpPr txBox="1"/>
        </xdr:nvSpPr>
        <xdr:spPr>
          <a:xfrm>
            <a:off x="10884606" y="5441950"/>
            <a:ext cx="330200" cy="234244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10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E3A2F5B1-1185-470D-8127-C375930B845E}"/>
              </a:ext>
            </a:extLst>
          </xdr:cNvPr>
          <xdr:cNvSpPr txBox="1"/>
        </xdr:nvSpPr>
        <xdr:spPr>
          <a:xfrm>
            <a:off x="10236200" y="4942417"/>
            <a:ext cx="213078" cy="246239"/>
          </a:xfrm>
          <a:prstGeom prst="rect">
            <a:avLst/>
          </a:prstGeom>
          <a:noFill/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9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2FECC844-2300-4E07-BFBD-98704BA47D3B}"/>
              </a:ext>
            </a:extLst>
          </xdr:cNvPr>
          <xdr:cNvSpPr txBox="1"/>
        </xdr:nvSpPr>
        <xdr:spPr>
          <a:xfrm>
            <a:off x="11815233" y="6175728"/>
            <a:ext cx="340078" cy="227894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11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AA2630C-B234-4864-AD82-7B307E034B97}"/>
              </a:ext>
            </a:extLst>
          </xdr:cNvPr>
          <xdr:cNvSpPr txBox="1"/>
        </xdr:nvSpPr>
        <xdr:spPr>
          <a:xfrm>
            <a:off x="10474678" y="3727450"/>
            <a:ext cx="311150" cy="215194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12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1337A12-6AC6-4E0B-8C0E-7117B5209C03}"/>
              </a:ext>
            </a:extLst>
          </xdr:cNvPr>
          <xdr:cNvSpPr txBox="1"/>
        </xdr:nvSpPr>
        <xdr:spPr>
          <a:xfrm>
            <a:off x="11592983" y="4746272"/>
            <a:ext cx="311150" cy="21519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13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C9FEC9E-F673-4768-B4F5-2E4D64870D80}"/>
              </a:ext>
            </a:extLst>
          </xdr:cNvPr>
          <xdr:cNvSpPr txBox="1"/>
        </xdr:nvSpPr>
        <xdr:spPr>
          <a:xfrm>
            <a:off x="10804878" y="2784828"/>
            <a:ext cx="335844" cy="18556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14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22F52203-D12C-4EF2-BA78-C31658E60E36}"/>
              </a:ext>
            </a:extLst>
          </xdr:cNvPr>
          <xdr:cNvSpPr txBox="1"/>
        </xdr:nvSpPr>
        <xdr:spPr>
          <a:xfrm>
            <a:off x="9483372" y="2791178"/>
            <a:ext cx="415572" cy="200378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15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B151DFD8-D93D-42A3-AB41-BE46454D6B35}"/>
              </a:ext>
            </a:extLst>
          </xdr:cNvPr>
          <xdr:cNvSpPr txBox="1"/>
        </xdr:nvSpPr>
        <xdr:spPr>
          <a:xfrm>
            <a:off x="8800393" y="2551289"/>
            <a:ext cx="322439" cy="17215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I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16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152400</xdr:rowOff>
    </xdr:from>
    <xdr:to>
      <xdr:col>33</xdr:col>
      <xdr:colOff>5442</xdr:colOff>
      <xdr:row>27</xdr:row>
      <xdr:rowOff>30096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EE706B-473C-487F-BCE5-FA9217A813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099" t="27516" r="15664" b="10923"/>
        <a:stretch/>
      </xdr:blipFill>
      <xdr:spPr>
        <a:xfrm>
          <a:off x="13477875" y="152400"/>
          <a:ext cx="9130392" cy="50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406400</xdr:rowOff>
    </xdr:from>
    <xdr:to>
      <xdr:col>0</xdr:col>
      <xdr:colOff>1619250</xdr:colOff>
      <xdr:row>7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B10639-E4DC-4C71-9A61-6695D0D4FA12}"/>
            </a:ext>
          </a:extLst>
        </xdr:cNvPr>
        <xdr:cNvSpPr txBox="1"/>
      </xdr:nvSpPr>
      <xdr:spPr>
        <a:xfrm>
          <a:off x="101600" y="406400"/>
          <a:ext cx="1517650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sintered filters</a:t>
          </a:r>
        </a:p>
        <a:p>
          <a:endParaRPr lang="en-US" sz="1100"/>
        </a:p>
        <a:p>
          <a:r>
            <a:rPr lang="en-US">
              <a:hlinkClick xmlns:r="http://schemas.openxmlformats.org/officeDocument/2006/relationships" r:id=""/>
            </a:rPr>
            <a:t>High Quality Customized Sintered Titanium And Stainless Steel Filter - Buy Sinter Metal Powder Filter,Water Treatment,Indufil Filter Product on Alibaba.com</a:t>
          </a:r>
          <a:endParaRPr lang="LID4096" sz="1100"/>
        </a:p>
      </xdr:txBody>
    </xdr:sp>
    <xdr:clientData/>
  </xdr:twoCellAnchor>
  <xdr:twoCellAnchor>
    <xdr:from>
      <xdr:col>8</xdr:col>
      <xdr:colOff>228600</xdr:colOff>
      <xdr:row>14</xdr:row>
      <xdr:rowOff>0</xdr:rowOff>
    </xdr:from>
    <xdr:to>
      <xdr:col>10</xdr:col>
      <xdr:colOff>808318</xdr:colOff>
      <xdr:row>16</xdr:row>
      <xdr:rowOff>163792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E26B78-6843-4C37-8ABE-02A6E8687F45}"/>
                </a:ext>
              </a:extLst>
            </xdr:cNvPr>
            <xdr:cNvSpPr txBox="1"/>
          </xdr:nvSpPr>
          <xdr:spPr>
            <a:xfrm>
              <a:off x="10115550" y="3219450"/>
              <a:ext cx="2837143" cy="5447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𝑃𝐿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𝑃𝐿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r>
                <a:rPr lang="en-US" sz="1100"/>
                <a:t>int = 0.1</a:t>
              </a:r>
            </a:p>
            <a:p>
              <a:r>
                <a:rPr lang="en-US" sz="1100"/>
                <a:t>PL = 25</a:t>
              </a:r>
              <a:endParaRPr lang="LID4096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E26B78-6843-4C37-8ABE-02A6E8687F45}"/>
                </a:ext>
              </a:extLst>
            </xdr:cNvPr>
            <xdr:cNvSpPr txBox="1"/>
          </xdr:nvSpPr>
          <xdr:spPr>
            <a:xfrm>
              <a:off x="10115550" y="3219450"/>
              <a:ext cx="2837143" cy="5447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𝑖𝑛𝑡∗〖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(1+𝑖𝑛𝑡)〗^</a:t>
              </a:r>
              <a:r>
                <a:rPr lang="en-US" sz="1100" b="0" i="0">
                  <a:latin typeface="Cambria Math" panose="02040503050406030204" pitchFamily="18" charset="0"/>
                </a:rPr>
                <a:t>𝑃𝐿)/(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〖(1+𝑖𝑛𝑡)〗^𝑃𝐿−1)</a:t>
              </a:r>
              <a:endParaRPr lang="en-US" sz="1100"/>
            </a:p>
            <a:p>
              <a:r>
                <a:rPr lang="en-US" sz="1100"/>
                <a:t>int = 0.1</a:t>
              </a:r>
            </a:p>
            <a:p>
              <a:r>
                <a:rPr lang="en-US" sz="1100"/>
                <a:t>PL = 25</a:t>
              </a:r>
              <a:endParaRPr lang="LID4096" sz="1100"/>
            </a:p>
          </xdr:txBody>
        </xdr:sp>
      </mc:Fallback>
    </mc:AlternateContent>
    <xdr:clientData/>
  </xdr:twoCellAnchor>
  <xdr:twoCellAnchor>
    <xdr:from>
      <xdr:col>8</xdr:col>
      <xdr:colOff>276225</xdr:colOff>
      <xdr:row>20</xdr:row>
      <xdr:rowOff>57150</xdr:rowOff>
    </xdr:from>
    <xdr:to>
      <xdr:col>10</xdr:col>
      <xdr:colOff>849966</xdr:colOff>
      <xdr:row>26</xdr:row>
      <xdr:rowOff>173317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14D7071-F8FE-4630-89CC-6747D10A6D01}"/>
                </a:ext>
              </a:extLst>
            </xdr:cNvPr>
            <xdr:cNvSpPr txBox="1"/>
          </xdr:nvSpPr>
          <xdr:spPr>
            <a:xfrm>
              <a:off x="10163175" y="4419600"/>
              <a:ext cx="2831166" cy="12591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1.66∗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𝐶𝑅𝐹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𝐵𝑀𝐶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𝑠𝑡𝑔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𝐶𝑐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𝑁𝑠𝑡𝑔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 b="1"/>
                <a:t>BMC</a:t>
              </a:r>
              <a:r>
                <a:rPr lang="en-US" sz="1100"/>
                <a:t> (Base</a:t>
              </a:r>
              <a:r>
                <a:rPr lang="en-US" sz="1100" baseline="0"/>
                <a:t> multiplier cost)</a:t>
              </a:r>
              <a:r>
                <a:rPr lang="en-US" sz="1100"/>
                <a:t> = 5.4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14D7071-F8FE-4630-89CC-6747D10A6D01}"/>
                </a:ext>
              </a:extLst>
            </xdr:cNvPr>
            <xdr:cNvSpPr txBox="1"/>
          </xdr:nvSpPr>
          <xdr:spPr>
            <a:xfrm>
              <a:off x="10163175" y="4419600"/>
              <a:ext cx="2831166" cy="12591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1.66∗𝐶𝑅𝐹∗𝐵𝑀𝐶∗∑_𝑁𝑠𝑡𝑔▒〖𝐶𝑐〗_𝑁𝑠𝑡𝑔 </a:t>
              </a:r>
              <a:endParaRPr lang="en-US" sz="1100"/>
            </a:p>
            <a:p>
              <a:endParaRPr lang="en-US" sz="1100"/>
            </a:p>
            <a:p>
              <a:r>
                <a:rPr lang="en-US" sz="1100" b="1"/>
                <a:t>BMC</a:t>
              </a:r>
              <a:r>
                <a:rPr lang="en-US" sz="1100"/>
                <a:t> (Base</a:t>
              </a:r>
              <a:r>
                <a:rPr lang="en-US" sz="1100" baseline="0"/>
                <a:t> multiplier cost)</a:t>
              </a:r>
              <a:r>
                <a:rPr lang="en-US" sz="1100"/>
                <a:t> = 5.4</a:t>
              </a:r>
            </a:p>
          </xdr:txBody>
        </xdr:sp>
      </mc:Fallback>
    </mc:AlternateContent>
    <xdr:clientData/>
  </xdr:twoCellAnchor>
  <xdr:twoCellAnchor>
    <xdr:from>
      <xdr:col>8</xdr:col>
      <xdr:colOff>254000</xdr:colOff>
      <xdr:row>30</xdr:row>
      <xdr:rowOff>57151</xdr:rowOff>
    </xdr:from>
    <xdr:to>
      <xdr:col>10</xdr:col>
      <xdr:colOff>723900</xdr:colOff>
      <xdr:row>33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859D8E-6AC6-4007-8F15-F44849546A43}"/>
                </a:ext>
              </a:extLst>
            </xdr:cNvPr>
            <xdr:cNvSpPr txBox="1"/>
          </xdr:nvSpPr>
          <xdr:spPr>
            <a:xfrm>
              <a:off x="10140950" y="6324601"/>
              <a:ext cx="2727325" cy="657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𝑙𝑏𝑟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𝑇𝑎𝑛𝑛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𝑠𝑡𝑔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𝑁𝑙𝑏𝑟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𝑁𝑠𝑡𝑔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859D8E-6AC6-4007-8F15-F44849546A43}"/>
                </a:ext>
              </a:extLst>
            </xdr:cNvPr>
            <xdr:cNvSpPr txBox="1"/>
          </xdr:nvSpPr>
          <xdr:spPr>
            <a:xfrm>
              <a:off x="10140950" y="6324601"/>
              <a:ext cx="2727325" cy="657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(𝐶_𝑙𝑏𝑟∗𝑇𝑎𝑛𝑛∗∑_𝑁𝑠𝑡𝑔▒〖〖𝑁𝑙𝑏𝑟〗_𝑁𝑠𝑡𝑔)〗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238125</xdr:colOff>
      <xdr:row>37</xdr:row>
      <xdr:rowOff>38100</xdr:rowOff>
    </xdr:from>
    <xdr:to>
      <xdr:col>10</xdr:col>
      <xdr:colOff>821018</xdr:colOff>
      <xdr:row>41</xdr:row>
      <xdr:rowOff>150159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3BEDDE-8A8B-4B9F-B5A4-006E02C30DB2}"/>
                </a:ext>
              </a:extLst>
            </xdr:cNvPr>
            <xdr:cNvSpPr txBox="1"/>
          </xdr:nvSpPr>
          <xdr:spPr>
            <a:xfrm>
              <a:off x="10125075" y="7639050"/>
              <a:ext cx="2840318" cy="8740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𝑇𝑎𝑛𝑛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𝑠𝑡𝑔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𝐶𝑅𝑀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𝑁𝑠𝑡𝑔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3BEDDE-8A8B-4B9F-B5A4-006E02C30DB2}"/>
                </a:ext>
              </a:extLst>
            </xdr:cNvPr>
            <xdr:cNvSpPr txBox="1"/>
          </xdr:nvSpPr>
          <xdr:spPr>
            <a:xfrm>
              <a:off x="10125075" y="7639050"/>
              <a:ext cx="2840318" cy="8740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(𝑇𝑎𝑛𝑛∗∑_𝑁𝑠𝑡𝑔▒〖〖𝐶𝑅𝑀〗_𝑁𝑠𝑡𝑔)〗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657225</xdr:colOff>
      <xdr:row>45</xdr:row>
      <xdr:rowOff>28575</xdr:rowOff>
    </xdr:from>
    <xdr:to>
      <xdr:col>10</xdr:col>
      <xdr:colOff>571500</xdr:colOff>
      <xdr:row>46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F85262-20E2-4DB1-849D-661206842E3C}"/>
                </a:ext>
              </a:extLst>
            </xdr:cNvPr>
            <xdr:cNvSpPr txBox="1"/>
          </xdr:nvSpPr>
          <xdr:spPr>
            <a:xfrm>
              <a:off x="10544175" y="9153525"/>
              <a:ext cx="2171700" cy="333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.78∗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𝐶𝐶𝐿𝐵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F85262-20E2-4DB1-849D-661206842E3C}"/>
                </a:ext>
              </a:extLst>
            </xdr:cNvPr>
            <xdr:cNvSpPr txBox="1"/>
          </xdr:nvSpPr>
          <xdr:spPr>
            <a:xfrm>
              <a:off x="10544175" y="9153525"/>
              <a:ext cx="2171700" cy="333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.78∗𝐶𝐶𝐿𝐵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876300</xdr:colOff>
      <xdr:row>50</xdr:row>
      <xdr:rowOff>34925</xdr:rowOff>
    </xdr:from>
    <xdr:to>
      <xdr:col>10</xdr:col>
      <xdr:colOff>916665</xdr:colOff>
      <xdr:row>52</xdr:row>
      <xdr:rowOff>83251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ED5DA73-F4D4-4244-ABC8-5D255A37DC61}"/>
            </a:ext>
          </a:extLst>
        </xdr:cNvPr>
        <xdr:cNvSpPr txBox="1"/>
      </xdr:nvSpPr>
      <xdr:spPr>
        <a:xfrm>
          <a:off x="8096250" y="10112375"/>
          <a:ext cx="4964790" cy="429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   </a:t>
          </a:r>
          <a:r>
            <a:rPr lang="en-GH"/>
            <a:t>∑𝑁𝑠𝑡𝑔 𝑃𝑊𝑁𝑠𝑡𝑔 ∗ 𝐶𝑒𝑙𝑒𝑐 + ∑𝑁𝑠𝑡𝑔 𝑀𝑠𝑡𝑚𝑁𝑠𝑡𝑔 ∗ 𝐶𝑠𝑡𝑚) ∗ 𝑇𝑎𝑛</a:t>
          </a:r>
          <a:endParaRPr lang="en-US" sz="1100"/>
        </a:p>
      </xdr:txBody>
    </xdr:sp>
    <xdr:clientData/>
  </xdr:twoCellAnchor>
  <xdr:twoCellAnchor>
    <xdr:from>
      <xdr:col>8</xdr:col>
      <xdr:colOff>342899</xdr:colOff>
      <xdr:row>55</xdr:row>
      <xdr:rowOff>85725</xdr:rowOff>
    </xdr:from>
    <xdr:to>
      <xdr:col>10</xdr:col>
      <xdr:colOff>733425</xdr:colOff>
      <xdr:row>59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C36749-DDFB-4D30-A6FC-996E8963C5D9}"/>
                </a:ext>
              </a:extLst>
            </xdr:cNvPr>
            <xdr:cNvSpPr txBox="1"/>
          </xdr:nvSpPr>
          <xdr:spPr>
            <a:xfrm>
              <a:off x="10229849" y="11115675"/>
              <a:ext cx="2647951" cy="704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𝑇𝑎𝑛𝑛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nary>
                    <m:naryPr>
                      <m:chr m:val="∑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7"/>
                        </m:r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𝑠𝑡𝑔</m:t>
                      </m:r>
                    </m:sub>
                    <m:sup/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𝐶𝑅𝑀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𝑁𝑠𝑡𝑔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</m:oMath>
              </a14:m>
              <a:r>
                <a:rPr lang="en-US" sz="1100"/>
                <a:t>/Rept</a:t>
              </a:r>
            </a:p>
            <a:p>
              <a:endParaRPr lang="en-US" sz="1100"/>
            </a:p>
            <a:p>
              <a:r>
                <a:rPr lang="en-US" sz="1100"/>
                <a:t>Rept = replacement time</a:t>
              </a:r>
            </a:p>
            <a:p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C36749-DDFB-4D30-A6FC-996E8963C5D9}"/>
                </a:ext>
              </a:extLst>
            </xdr:cNvPr>
            <xdr:cNvSpPr txBox="1"/>
          </xdr:nvSpPr>
          <xdr:spPr>
            <a:xfrm>
              <a:off x="10229849" y="11115675"/>
              <a:ext cx="2647951" cy="704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(𝑇𝑎𝑛𝑛∗∑_𝑁𝑠𝑡𝑔▒〖〖𝐶𝑅𝑀〗_𝑁𝑠𝑡𝑔)〗</a:t>
              </a:r>
              <a:r>
                <a:rPr lang="en-US" sz="1100"/>
                <a:t>/Rept</a:t>
              </a:r>
            </a:p>
            <a:p>
              <a:endParaRPr lang="en-US" sz="1100"/>
            </a:p>
            <a:p>
              <a:r>
                <a:rPr lang="en-US" sz="1100"/>
                <a:t>Rept = replacement time</a:t>
              </a:r>
            </a:p>
            <a:p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7</xdr:col>
      <xdr:colOff>628650</xdr:colOff>
      <xdr:row>62</xdr:row>
      <xdr:rowOff>53975</xdr:rowOff>
    </xdr:from>
    <xdr:to>
      <xdr:col>10</xdr:col>
      <xdr:colOff>906742</xdr:colOff>
      <xdr:row>64</xdr:row>
      <xdr:rowOff>27642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E53DFA7-8B61-47A4-AF67-C0D5C977D43B}"/>
                </a:ext>
              </a:extLst>
            </xdr:cNvPr>
            <xdr:cNvSpPr txBox="1"/>
          </xdr:nvSpPr>
          <xdr:spPr>
            <a:xfrm>
              <a:off x="9229725" y="12417425"/>
              <a:ext cx="3821392" cy="3546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𝐶𝐴𝐶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𝐶𝐶𝑈𝐶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𝐶𝐶𝑅𝑀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𝐶𝐶𝑂𝐶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𝐶𝐶𝐿𝐵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E53DFA7-8B61-47A4-AF67-C0D5C977D43B}"/>
                </a:ext>
              </a:extLst>
            </xdr:cNvPr>
            <xdr:cNvSpPr txBox="1"/>
          </xdr:nvSpPr>
          <xdr:spPr>
            <a:xfrm>
              <a:off x="9229725" y="12417425"/>
              <a:ext cx="3821392" cy="3546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𝐶𝐴𝐶+𝐶𝐶𝑈𝐶+𝐶𝐶𝑅𝑀+𝐶𝐶𝑂𝐶+𝐶𝐶𝐿𝐵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32</xdr:col>
      <xdr:colOff>333375</xdr:colOff>
      <xdr:row>14</xdr:row>
      <xdr:rowOff>0</xdr:rowOff>
    </xdr:from>
    <xdr:to>
      <xdr:col>40</xdr:col>
      <xdr:colOff>0</xdr:colOff>
      <xdr:row>31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694F79-EF4D-48E5-ADE7-F82B295D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487362</xdr:colOff>
      <xdr:row>14</xdr:row>
      <xdr:rowOff>74612</xdr:rowOff>
    </xdr:from>
    <xdr:to>
      <xdr:col>31</xdr:col>
      <xdr:colOff>484187</xdr:colOff>
      <xdr:row>27</xdr:row>
      <xdr:rowOff>115887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086990-8AAD-4853-8F2B-7AF0B3AC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981074</xdr:colOff>
      <xdr:row>66</xdr:row>
      <xdr:rowOff>114299</xdr:rowOff>
    </xdr:from>
    <xdr:to>
      <xdr:col>17</xdr:col>
      <xdr:colOff>228600</xdr:colOff>
      <xdr:row>96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37343F-F0A2-48B8-805A-50DC13171A73}"/>
            </a:ext>
          </a:extLst>
        </xdr:cNvPr>
        <xdr:cNvSpPr txBox="1"/>
      </xdr:nvSpPr>
      <xdr:spPr>
        <a:xfrm>
          <a:off x="14963774" y="13239749"/>
          <a:ext cx="2981326" cy="5753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Factory price industry</a:t>
          </a:r>
          <a:r>
            <a:rPr lang="en-US" sz="1100" baseline="0"/>
            <a:t> grade rock salt</a:t>
          </a:r>
        </a:p>
        <a:p>
          <a:r>
            <a:rPr lang="en-US" sz="1100" baseline="0"/>
            <a:t>Rs  30/kg</a:t>
          </a:r>
        </a:p>
        <a:p>
          <a:r>
            <a:rPr lang="en-US" sz="1100" baseline="0"/>
            <a:t>$0.36/kg</a:t>
          </a:r>
        </a:p>
        <a:p>
          <a:endParaRPr lang="en-US" sz="1100" baseline="0"/>
        </a:p>
        <a:p>
          <a:r>
            <a:rPr lang="en-US" sz="1100" baseline="0"/>
            <a:t>CAS No. 7647-14-5</a:t>
          </a:r>
        </a:p>
        <a:p>
          <a:r>
            <a:rPr lang="en-US" sz="1100" baseline="0"/>
            <a:t>Appearance: crystals</a:t>
          </a:r>
        </a:p>
        <a:p>
          <a:r>
            <a:rPr lang="en-US" sz="1100" baseline="0"/>
            <a:t>link: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https://www.indiamart.com/proddetail/sodium-chloride-11029669630.html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https://m.indiamart.com/proddetail/sodium-chloride-11029669630.html</a:t>
          </a:r>
          <a:endParaRPr lang="en-US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Factory price industry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grade na2s04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$2.2-20/kg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pick: (mean) = $2.2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 No. 7647-14-5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Appearance: crystals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Superior Quality CAS 7647-14-5 Salt Sodium Chloride - China Salt Sodium Chloride and Superior Quality (made-in-china.com)</a:t>
          </a:r>
          <a:endParaRPr lang="en-GH">
            <a:effectLst/>
          </a:endParaRPr>
        </a:p>
        <a:p>
          <a:endParaRPr lang="en-US"/>
        </a:p>
        <a:p>
          <a:endParaRPr lang="en-US"/>
        </a:p>
        <a:p>
          <a:r>
            <a:rPr lang="en-US"/>
            <a:t>Market price ending 2022</a:t>
          </a:r>
        </a:p>
        <a:p>
          <a:r>
            <a:rPr lang="en-US"/>
            <a:t>rock salt</a:t>
          </a:r>
        </a:p>
        <a:p>
          <a:r>
            <a:rPr lang="en-US"/>
            <a:t>$80-100/t</a:t>
          </a:r>
        </a:p>
        <a:p>
          <a:r>
            <a:rPr lang="en-US"/>
            <a:t>$90/t</a:t>
          </a:r>
        </a:p>
        <a:p>
          <a:endParaRPr lang="en-US" sz="1100" baseline="0"/>
        </a:p>
        <a:p>
          <a:r>
            <a:rPr lang="en-US" sz="1100" baseline="0"/>
            <a:t>Market price of Sodium sulphate</a:t>
          </a:r>
        </a:p>
        <a:p>
          <a:r>
            <a:rPr lang="en-US" sz="1100" baseline="0"/>
            <a:t>$125/t for quarter ending Dec 2022</a:t>
          </a:r>
        </a:p>
        <a:p>
          <a:endParaRPr lang="en-US" sz="1100" baseline="0"/>
        </a:p>
        <a:p>
          <a:r>
            <a:rPr lang="en-US" sz="1100" baseline="0"/>
            <a:t>link:</a:t>
          </a:r>
          <a:r>
            <a:rPr lang="en-US">
              <a:hlinkClick xmlns:r="http://schemas.openxmlformats.org/officeDocument/2006/relationships" r:id=""/>
            </a:rPr>
            <a:t>Sodium Sulphate Prices, Price, Pricing, News, Monitor | ChemAnalyst</a:t>
          </a:r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link:Salt prices U.S. by type 2022 | Statista</a:t>
          </a:r>
          <a:endParaRPr lang="en-GH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102395</xdr:colOff>
      <xdr:row>30</xdr:row>
      <xdr:rowOff>164305</xdr:rowOff>
    </xdr:from>
    <xdr:to>
      <xdr:col>11</xdr:col>
      <xdr:colOff>41161</xdr:colOff>
      <xdr:row>57</xdr:row>
      <xdr:rowOff>101532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2147AB2-1B11-4A05-AC71-6C3ECBDA6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099" t="27516" r="15664" b="10923"/>
        <a:stretch/>
      </xdr:blipFill>
      <xdr:spPr>
        <a:xfrm>
          <a:off x="781051" y="5950743"/>
          <a:ext cx="9094673" cy="5080727"/>
        </a:xfrm>
        <a:prstGeom prst="rect">
          <a:avLst/>
        </a:prstGeom>
      </xdr:spPr>
    </xdr:pic>
    <xdr:clientData/>
  </xdr:twoCellAnchor>
  <xdr:twoCellAnchor editAs="oneCell">
    <xdr:from>
      <xdr:col>19</xdr:col>
      <xdr:colOff>250031</xdr:colOff>
      <xdr:row>8</xdr:row>
      <xdr:rowOff>-1</xdr:rowOff>
    </xdr:from>
    <xdr:to>
      <xdr:col>34</xdr:col>
      <xdr:colOff>42863</xdr:colOff>
      <xdr:row>30</xdr:row>
      <xdr:rowOff>107155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BA25A0D-97EF-4474-8440-7ED9D274450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0" y="1547812"/>
          <a:ext cx="8901113" cy="4345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215526</xdr:colOff>
      <xdr:row>0</xdr:row>
      <xdr:rowOff>29134</xdr:rowOff>
    </xdr:from>
    <xdr:to>
      <xdr:col>7</xdr:col>
      <xdr:colOff>374276</xdr:colOff>
      <xdr:row>10</xdr:row>
      <xdr:rowOff>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C74588-FEBC-400F-8D78-354A92FD160C}"/>
            </a:ext>
          </a:extLst>
        </xdr:cNvPr>
        <xdr:cNvSpPr txBox="1"/>
      </xdr:nvSpPr>
      <xdr:spPr>
        <a:xfrm>
          <a:off x="3111126" y="29134"/>
          <a:ext cx="3263900" cy="2647951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#1. Solvent holding tank, T1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#2. Pre-concentration vessel, PC1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#3. Crystallizer, CR1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 allowable vessel/working volume = 90%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Height/ Diameter =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Design Pressure = 1.52 bar</a:t>
          </a:r>
          <a:endParaRPr kumimoji="0" lang="LID4096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600075</xdr:colOff>
      <xdr:row>0</xdr:row>
      <xdr:rowOff>85725</xdr:rowOff>
    </xdr:from>
    <xdr:to>
      <xdr:col>11</xdr:col>
      <xdr:colOff>428625</xdr:colOff>
      <xdr:row>4</xdr:row>
      <xdr:rowOff>149225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E94DB7-9F45-4CEA-8C80-A6C9A1745684}"/>
            </a:ext>
          </a:extLst>
        </xdr:cNvPr>
        <xdr:cNvSpPr txBox="1"/>
      </xdr:nvSpPr>
      <xdr:spPr>
        <a:xfrm>
          <a:off x="7562850" y="85725"/>
          <a:ext cx="2533650" cy="14160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Raw Materials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NaCl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Na2SO4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Water</a:t>
          </a: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Ethanol</a:t>
          </a: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  <a:endParaRPr kumimoji="0" lang="LID4096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1045882</xdr:colOff>
      <xdr:row>27</xdr:row>
      <xdr:rowOff>691030</xdr:rowOff>
    </xdr:from>
    <xdr:to>
      <xdr:col>4</xdr:col>
      <xdr:colOff>103094</xdr:colOff>
      <xdr:row>37</xdr:row>
      <xdr:rowOff>67796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7746CA4-5EC9-4A63-B82F-BEE74F28FC39}"/>
            </a:ext>
          </a:extLst>
        </xdr:cNvPr>
        <xdr:cNvSpPr txBox="1"/>
      </xdr:nvSpPr>
      <xdr:spPr>
        <a:xfrm>
          <a:off x="1045882" y="6577480"/>
          <a:ext cx="1952812" cy="1758016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Conveyor belt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from: Ultimation Industries, LLC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price: $4,448.00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Link:</a:t>
          </a: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  <a:hlinkClick xmlns:r="http://schemas.openxmlformats.org/officeDocument/2006/relationships" r:id=""/>
            </a:rPr>
            <a:t>Discount Belt Conveyor | 16" W x 16' L | 12" W Belt | Ultimation (ultimationinc.com)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40</xdr:row>
      <xdr:rowOff>17160</xdr:rowOff>
    </xdr:from>
    <xdr:to>
      <xdr:col>2</xdr:col>
      <xdr:colOff>154460</xdr:colOff>
      <xdr:row>53</xdr:row>
      <xdr:rowOff>34324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0D0353E-0F0D-4A14-82A2-D7EB86CD4214}"/>
            </a:ext>
          </a:extLst>
        </xdr:cNvPr>
        <xdr:cNvSpPr txBox="1"/>
      </xdr:nvSpPr>
      <xdr:spPr>
        <a:xfrm>
          <a:off x="0" y="8856360"/>
          <a:ext cx="1830860" cy="268416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#NaCl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Site: TradeWheel.com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fob: 90-100$/t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used: 95$/t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CAS No. : </a:t>
          </a:r>
          <a:r>
            <a:rPr kumimoji="0" lang="en-G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7647-14-5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Purity: 98%min, 98%-99%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link:</a:t>
          </a: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  <a:hlinkClick xmlns:r="http://schemas.openxmlformats.org/officeDocument/2006/relationships" r:id=""/>
            </a:rPr>
            <a:t>Buy Industrial Grade Sodium Chloride Price Industrial Grade Salt For Hot Compress And Foot Bath Use 25kg Bag Factory Price from Shouguang Dinghao Trading Co., Ltd., China | Tradewheel.com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53</xdr:row>
      <xdr:rowOff>94393</xdr:rowOff>
    </xdr:from>
    <xdr:to>
      <xdr:col>2</xdr:col>
      <xdr:colOff>154460</xdr:colOff>
      <xdr:row>67</xdr:row>
      <xdr:rowOff>102973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2D9F979-01EC-49AC-A7B6-33A4B8CEF236}"/>
            </a:ext>
          </a:extLst>
        </xdr:cNvPr>
        <xdr:cNvSpPr txBox="1"/>
      </xdr:nvSpPr>
      <xdr:spPr>
        <a:xfrm>
          <a:off x="0" y="11600593"/>
          <a:ext cx="1830860" cy="286608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#Na2SO4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Site: TradeWheel.com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fob: 80-100$/t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used: 90$/t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CAS No. : </a:t>
          </a:r>
          <a:r>
            <a:rPr kumimoji="0" lang="en-G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7757-82-6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Purity: </a:t>
          </a:r>
          <a:r>
            <a:rPr kumimoji="0" lang="en-G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99%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link: </a:t>
          </a: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  <a:hlinkClick xmlns:r="http://schemas.openxmlformats.org/officeDocument/2006/relationships" r:id=""/>
            </a:rPr>
            <a:t>Buy Manufacturer Sodium Sulphate Anhydrous 99% Na2so4 For Sodium Sulfide, Pulp, Glass, Water Glass, Enamel Production from Weifang Changs Chemical Industry Co., Ltd., China | Tradewheel.com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514866</xdr:colOff>
      <xdr:row>53</xdr:row>
      <xdr:rowOff>111554</xdr:rowOff>
    </xdr:from>
    <xdr:to>
      <xdr:col>5</xdr:col>
      <xdr:colOff>566352</xdr:colOff>
      <xdr:row>67</xdr:row>
      <xdr:rowOff>120134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35356D4-F9AE-482C-9144-56B98AC04A2C}"/>
            </a:ext>
          </a:extLst>
        </xdr:cNvPr>
        <xdr:cNvSpPr txBox="1"/>
      </xdr:nvSpPr>
      <xdr:spPr>
        <a:xfrm>
          <a:off x="2191266" y="11617754"/>
          <a:ext cx="1880286" cy="286608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#EtOH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Site: TradeWheel.com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fob: 1000-1100$/t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used: 1050$/t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CAS No. : </a:t>
          </a:r>
          <a:r>
            <a:rPr kumimoji="0" lang="en-G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64-17-5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Purity: </a:t>
          </a:r>
          <a:r>
            <a:rPr kumimoji="0" lang="en-G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99.97%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link: </a:t>
          </a: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  <a:hlinkClick xmlns:r="http://schemas.openxmlformats.org/officeDocument/2006/relationships" r:id=""/>
            </a:rPr>
            <a:t>Buy Wholesale Ethanol Price High Quality Ethyl Alcohol Ethanol 95% 96% 99.9% Food Grade from Shanghai Zhongrong Technology Co., Ltd., China | Tradewheel.com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277811</xdr:colOff>
      <xdr:row>69</xdr:row>
      <xdr:rowOff>175419</xdr:rowOff>
    </xdr:from>
    <xdr:to>
      <xdr:col>2</xdr:col>
      <xdr:colOff>425342</xdr:colOff>
      <xdr:row>85</xdr:row>
      <xdr:rowOff>21677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AFB76E1-B237-4285-AA26-0704CD6478F9}"/>
            </a:ext>
          </a:extLst>
        </xdr:cNvPr>
        <xdr:cNvSpPr txBox="1"/>
      </xdr:nvSpPr>
      <xdr:spPr>
        <a:xfrm>
          <a:off x="277811" y="14920119"/>
          <a:ext cx="1823931" cy="289425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#water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fob: $2.50 per100 CCF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link: danvilleutilities.com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alt/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link:  https://njbiz.com/new-jersey-american-water-to-raise-rates-slightly/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$0.012/gal-month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$0.142/gal yearly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406400</xdr:rowOff>
    </xdr:from>
    <xdr:to>
      <xdr:col>0</xdr:col>
      <xdr:colOff>1619250</xdr:colOff>
      <xdr:row>7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C479C5-42DA-45AE-B398-7C79708EBB61}"/>
            </a:ext>
          </a:extLst>
        </xdr:cNvPr>
        <xdr:cNvSpPr txBox="1"/>
      </xdr:nvSpPr>
      <xdr:spPr>
        <a:xfrm>
          <a:off x="101600" y="406400"/>
          <a:ext cx="1517650" cy="213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sintered filters</a:t>
          </a:r>
        </a:p>
        <a:p>
          <a:endParaRPr lang="en-US" sz="1100"/>
        </a:p>
        <a:p>
          <a:r>
            <a:rPr lang="en-US">
              <a:hlinkClick xmlns:r="http://schemas.openxmlformats.org/officeDocument/2006/relationships" r:id=""/>
            </a:rPr>
            <a:t>High Quality Customized Sintered Titanium And Stainless Steel Filter - Buy Sinter Metal Powder Filter,Water Treatment,Indufil Filter Product on Alibaba.com</a:t>
          </a:r>
          <a:endParaRPr lang="LID4096" sz="1100"/>
        </a:p>
      </xdr:txBody>
    </xdr:sp>
    <xdr:clientData/>
  </xdr:twoCellAnchor>
  <xdr:twoCellAnchor>
    <xdr:from>
      <xdr:col>8</xdr:col>
      <xdr:colOff>228600</xdr:colOff>
      <xdr:row>14</xdr:row>
      <xdr:rowOff>0</xdr:rowOff>
    </xdr:from>
    <xdr:to>
      <xdr:col>10</xdr:col>
      <xdr:colOff>808318</xdr:colOff>
      <xdr:row>16</xdr:row>
      <xdr:rowOff>163792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D83A28E-A282-41EB-BAB4-B86890531825}"/>
                </a:ext>
              </a:extLst>
            </xdr:cNvPr>
            <xdr:cNvSpPr txBox="1"/>
          </xdr:nvSpPr>
          <xdr:spPr>
            <a:xfrm>
              <a:off x="8001000" y="3902075"/>
              <a:ext cx="2637118" cy="9861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𝑃𝐿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𝑃𝐿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r>
                <a:rPr lang="en-US" sz="1100"/>
                <a:t>int = 0.1</a:t>
              </a:r>
            </a:p>
            <a:p>
              <a:r>
                <a:rPr lang="en-US" sz="1100"/>
                <a:t>PL = 25</a:t>
              </a:r>
              <a:endParaRPr lang="LID4096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D83A28E-A282-41EB-BAB4-B86890531825}"/>
                </a:ext>
              </a:extLst>
            </xdr:cNvPr>
            <xdr:cNvSpPr txBox="1"/>
          </xdr:nvSpPr>
          <xdr:spPr>
            <a:xfrm>
              <a:off x="8001000" y="3902075"/>
              <a:ext cx="2637118" cy="9861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𝑖𝑛𝑡∗〖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(1+𝑖𝑛𝑡)〗^</a:t>
              </a:r>
              <a:r>
                <a:rPr lang="en-US" sz="1100" b="0" i="0">
                  <a:latin typeface="Cambria Math" panose="02040503050406030204" pitchFamily="18" charset="0"/>
                </a:rPr>
                <a:t>𝑃𝐿)/(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〖(1+𝑖𝑛𝑡)〗^𝑃𝐿−1)</a:t>
              </a:r>
              <a:endParaRPr lang="en-US" sz="1100"/>
            </a:p>
            <a:p>
              <a:r>
                <a:rPr lang="en-US" sz="1100"/>
                <a:t>int = 0.1</a:t>
              </a:r>
            </a:p>
            <a:p>
              <a:r>
                <a:rPr lang="en-US" sz="1100"/>
                <a:t>PL = 25</a:t>
              </a:r>
              <a:endParaRPr lang="LID4096" sz="1100"/>
            </a:p>
          </xdr:txBody>
        </xdr:sp>
      </mc:Fallback>
    </mc:AlternateContent>
    <xdr:clientData/>
  </xdr:twoCellAnchor>
  <xdr:twoCellAnchor>
    <xdr:from>
      <xdr:col>8</xdr:col>
      <xdr:colOff>276225</xdr:colOff>
      <xdr:row>20</xdr:row>
      <xdr:rowOff>57150</xdr:rowOff>
    </xdr:from>
    <xdr:to>
      <xdr:col>10</xdr:col>
      <xdr:colOff>849966</xdr:colOff>
      <xdr:row>26</xdr:row>
      <xdr:rowOff>173317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1DFF4F-85A3-4870-8725-D16E93BB8B78}"/>
                </a:ext>
              </a:extLst>
            </xdr:cNvPr>
            <xdr:cNvSpPr txBox="1"/>
          </xdr:nvSpPr>
          <xdr:spPr>
            <a:xfrm>
              <a:off x="8048625" y="5505450"/>
              <a:ext cx="2631141" cy="12020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1.66∗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𝐶𝑅𝐹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𝐵𝑀𝐶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𝑠𝑡𝑔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𝐶𝑐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𝑁𝑠𝑡𝑔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 b="1"/>
                <a:t>BMC</a:t>
              </a:r>
              <a:r>
                <a:rPr lang="en-US" sz="1100"/>
                <a:t> (Base</a:t>
              </a:r>
              <a:r>
                <a:rPr lang="en-US" sz="1100" baseline="0"/>
                <a:t> multiplier cost)</a:t>
              </a:r>
              <a:r>
                <a:rPr lang="en-US" sz="1100"/>
                <a:t> = 5.4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1DFF4F-85A3-4870-8725-D16E93BB8B78}"/>
                </a:ext>
              </a:extLst>
            </xdr:cNvPr>
            <xdr:cNvSpPr txBox="1"/>
          </xdr:nvSpPr>
          <xdr:spPr>
            <a:xfrm>
              <a:off x="8048625" y="5505450"/>
              <a:ext cx="2631141" cy="12020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1.66∗𝐶𝑅𝐹∗𝐵𝑀𝐶∗∑_𝑁𝑠𝑡𝑔▒〖𝐶𝑐〗_𝑁𝑠𝑡𝑔 </a:t>
              </a:r>
              <a:endParaRPr lang="en-US" sz="1100"/>
            </a:p>
            <a:p>
              <a:endParaRPr lang="en-US" sz="1100"/>
            </a:p>
            <a:p>
              <a:r>
                <a:rPr lang="en-US" sz="1100" b="1"/>
                <a:t>BMC</a:t>
              </a:r>
              <a:r>
                <a:rPr lang="en-US" sz="1100"/>
                <a:t> (Base</a:t>
              </a:r>
              <a:r>
                <a:rPr lang="en-US" sz="1100" baseline="0"/>
                <a:t> multiplier cost)</a:t>
              </a:r>
              <a:r>
                <a:rPr lang="en-US" sz="1100"/>
                <a:t> = 5.4</a:t>
              </a:r>
            </a:p>
          </xdr:txBody>
        </xdr:sp>
      </mc:Fallback>
    </mc:AlternateContent>
    <xdr:clientData/>
  </xdr:twoCellAnchor>
  <xdr:twoCellAnchor>
    <xdr:from>
      <xdr:col>8</xdr:col>
      <xdr:colOff>254000</xdr:colOff>
      <xdr:row>30</xdr:row>
      <xdr:rowOff>57151</xdr:rowOff>
    </xdr:from>
    <xdr:to>
      <xdr:col>10</xdr:col>
      <xdr:colOff>723900</xdr:colOff>
      <xdr:row>33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5DB6A32-EE98-45E0-A241-98354CD8A766}"/>
                </a:ext>
              </a:extLst>
            </xdr:cNvPr>
            <xdr:cNvSpPr txBox="1"/>
          </xdr:nvSpPr>
          <xdr:spPr>
            <a:xfrm>
              <a:off x="8026400" y="7315201"/>
              <a:ext cx="2527300" cy="628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𝑙𝑏𝑟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𝑇𝑎𝑛𝑛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𝑠𝑡𝑔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𝑁𝑙𝑏𝑟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𝑁𝑠𝑡𝑔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5DB6A32-EE98-45E0-A241-98354CD8A766}"/>
                </a:ext>
              </a:extLst>
            </xdr:cNvPr>
            <xdr:cNvSpPr txBox="1"/>
          </xdr:nvSpPr>
          <xdr:spPr>
            <a:xfrm>
              <a:off x="8026400" y="7315201"/>
              <a:ext cx="2527300" cy="628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(𝐶_𝑙𝑏𝑟∗𝑇𝑎𝑛𝑛∗∑_𝑁𝑠𝑡𝑔▒〖〖𝑁𝑙𝑏𝑟〗_𝑁𝑠𝑡𝑔)〗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238125</xdr:colOff>
      <xdr:row>37</xdr:row>
      <xdr:rowOff>38100</xdr:rowOff>
    </xdr:from>
    <xdr:to>
      <xdr:col>10</xdr:col>
      <xdr:colOff>821018</xdr:colOff>
      <xdr:row>41</xdr:row>
      <xdr:rowOff>150159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F5EAEB-8B94-4979-BD8C-552F3839ED39}"/>
                </a:ext>
              </a:extLst>
            </xdr:cNvPr>
            <xdr:cNvSpPr txBox="1"/>
          </xdr:nvSpPr>
          <xdr:spPr>
            <a:xfrm>
              <a:off x="8010525" y="8562975"/>
              <a:ext cx="2640293" cy="8359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𝑇𝑎𝑛𝑛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𝑠𝑡𝑔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𝐶𝑅𝑀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𝑁𝑠𝑡𝑔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F5EAEB-8B94-4979-BD8C-552F3839ED39}"/>
                </a:ext>
              </a:extLst>
            </xdr:cNvPr>
            <xdr:cNvSpPr txBox="1"/>
          </xdr:nvSpPr>
          <xdr:spPr>
            <a:xfrm>
              <a:off x="8010525" y="8562975"/>
              <a:ext cx="2640293" cy="8359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(𝑇𝑎𝑛𝑛∗∑_𝑁𝑠𝑡𝑔▒〖〖𝐶𝑅𝑀〗_𝑁𝑠𝑡𝑔)〗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657225</xdr:colOff>
      <xdr:row>45</xdr:row>
      <xdr:rowOff>28575</xdr:rowOff>
    </xdr:from>
    <xdr:to>
      <xdr:col>10</xdr:col>
      <xdr:colOff>571500</xdr:colOff>
      <xdr:row>46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9CCC9BE-EFB6-47F4-A6C2-1820281F7226}"/>
                </a:ext>
              </a:extLst>
            </xdr:cNvPr>
            <xdr:cNvSpPr txBox="1"/>
          </xdr:nvSpPr>
          <xdr:spPr>
            <a:xfrm>
              <a:off x="8429625" y="10001250"/>
              <a:ext cx="1971675" cy="323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.78∗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𝐶𝐶𝐿𝐵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9CCC9BE-EFB6-47F4-A6C2-1820281F7226}"/>
                </a:ext>
              </a:extLst>
            </xdr:cNvPr>
            <xdr:cNvSpPr txBox="1"/>
          </xdr:nvSpPr>
          <xdr:spPr>
            <a:xfrm>
              <a:off x="8429625" y="10001250"/>
              <a:ext cx="1971675" cy="323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.78∗𝐶𝐶𝐿𝐵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876300</xdr:colOff>
      <xdr:row>50</xdr:row>
      <xdr:rowOff>34925</xdr:rowOff>
    </xdr:from>
    <xdr:to>
      <xdr:col>10</xdr:col>
      <xdr:colOff>916665</xdr:colOff>
      <xdr:row>52</xdr:row>
      <xdr:rowOff>83251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92E26B-7518-471D-8508-EA80946B9DF3}"/>
            </a:ext>
          </a:extLst>
        </xdr:cNvPr>
        <xdr:cNvSpPr txBox="1"/>
      </xdr:nvSpPr>
      <xdr:spPr>
        <a:xfrm>
          <a:off x="6743700" y="10912475"/>
          <a:ext cx="4002765" cy="410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   </a:t>
          </a:r>
          <a:r>
            <a:rPr lang="en-GH"/>
            <a:t>∑𝑁𝑠𝑡𝑔 𝑃𝑊𝑁𝑠𝑡𝑔 ∗ 𝐶𝑒𝑙𝑒𝑐 + ∑𝑁𝑠𝑡𝑔 𝑀𝑠𝑡𝑚𝑁𝑠𝑡𝑔 ∗ 𝐶𝑠𝑡𝑚) ∗ 𝑇𝑎𝑛</a:t>
          </a:r>
          <a:endParaRPr lang="en-US" sz="1100"/>
        </a:p>
      </xdr:txBody>
    </xdr:sp>
    <xdr:clientData/>
  </xdr:twoCellAnchor>
  <xdr:twoCellAnchor>
    <xdr:from>
      <xdr:col>8</xdr:col>
      <xdr:colOff>342899</xdr:colOff>
      <xdr:row>55</xdr:row>
      <xdr:rowOff>85725</xdr:rowOff>
    </xdr:from>
    <xdr:to>
      <xdr:col>10</xdr:col>
      <xdr:colOff>733425</xdr:colOff>
      <xdr:row>59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6B1C6D4-4DF9-434C-BF2F-FCFD1002C912}"/>
                </a:ext>
              </a:extLst>
            </xdr:cNvPr>
            <xdr:cNvSpPr txBox="1"/>
          </xdr:nvSpPr>
          <xdr:spPr>
            <a:xfrm>
              <a:off x="8115299" y="11868150"/>
              <a:ext cx="2447926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𝑇𝑎𝑛𝑛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nary>
                    <m:naryPr>
                      <m:chr m:val="∑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7"/>
                        </m:r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𝑠𝑡𝑔</m:t>
                      </m:r>
                    </m:sub>
                    <m:sup/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𝐶𝑅𝑀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𝑁𝑠𝑡𝑔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</m:oMath>
              </a14:m>
              <a:r>
                <a:rPr lang="en-US" sz="1100"/>
                <a:t>/Rept</a:t>
              </a:r>
            </a:p>
            <a:p>
              <a:endParaRPr lang="en-US" sz="1100"/>
            </a:p>
            <a:p>
              <a:r>
                <a:rPr lang="en-US" sz="1100"/>
                <a:t>Rept = replacement time</a:t>
              </a:r>
            </a:p>
            <a:p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6B1C6D4-4DF9-434C-BF2F-FCFD1002C912}"/>
                </a:ext>
              </a:extLst>
            </xdr:cNvPr>
            <xdr:cNvSpPr txBox="1"/>
          </xdr:nvSpPr>
          <xdr:spPr>
            <a:xfrm>
              <a:off x="8115299" y="11868150"/>
              <a:ext cx="2447926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(𝑇𝑎𝑛𝑛∗∑_𝑁𝑠𝑡𝑔▒〖〖𝐶𝑅𝑀〗_𝑁𝑠𝑡𝑔)〗</a:t>
              </a:r>
              <a:r>
                <a:rPr lang="en-US" sz="1100"/>
                <a:t>/Rept</a:t>
              </a:r>
            </a:p>
            <a:p>
              <a:pPr/>
              <a:endParaRPr lang="en-US" sz="1100"/>
            </a:p>
            <a:p>
              <a:pPr/>
              <a:r>
                <a:rPr lang="en-US" sz="1100"/>
                <a:t>Rept = replacement time</a:t>
              </a:r>
            </a:p>
            <a:p>
              <a:pPr/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7</xdr:col>
      <xdr:colOff>628650</xdr:colOff>
      <xdr:row>62</xdr:row>
      <xdr:rowOff>53975</xdr:rowOff>
    </xdr:from>
    <xdr:to>
      <xdr:col>10</xdr:col>
      <xdr:colOff>906742</xdr:colOff>
      <xdr:row>64</xdr:row>
      <xdr:rowOff>27642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12715F-5D1E-4998-A42F-F4E30BE3D1FD}"/>
                </a:ext>
              </a:extLst>
            </xdr:cNvPr>
            <xdr:cNvSpPr txBox="1"/>
          </xdr:nvSpPr>
          <xdr:spPr>
            <a:xfrm>
              <a:off x="7467600" y="13103225"/>
              <a:ext cx="3268942" cy="3356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𝐶𝐴𝐶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𝐶𝐶𝑈𝐶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𝐶𝐶𝑅𝑀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𝐶𝐶𝑂𝐶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𝐶𝐶𝐿𝐵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12715F-5D1E-4998-A42F-F4E30BE3D1FD}"/>
                </a:ext>
              </a:extLst>
            </xdr:cNvPr>
            <xdr:cNvSpPr txBox="1"/>
          </xdr:nvSpPr>
          <xdr:spPr>
            <a:xfrm>
              <a:off x="7467600" y="13103225"/>
              <a:ext cx="3268942" cy="3356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𝐶𝐴𝐶+𝐶𝐶𝑈𝐶+𝐶𝐶𝑅𝑀+𝐶𝐶𝑂𝐶+𝐶𝐶𝐿𝐵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32</xdr:col>
      <xdr:colOff>333375</xdr:colOff>
      <xdr:row>14</xdr:row>
      <xdr:rowOff>0</xdr:rowOff>
    </xdr:from>
    <xdr:to>
      <xdr:col>40</xdr:col>
      <xdr:colOff>0</xdr:colOff>
      <xdr:row>31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4E2DCA-B9D4-4725-9AFC-3BD3E56BA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650178</xdr:colOff>
      <xdr:row>24</xdr:row>
      <xdr:rowOff>74925</xdr:rowOff>
    </xdr:from>
    <xdr:to>
      <xdr:col>20</xdr:col>
      <xdr:colOff>579906</xdr:colOff>
      <xdr:row>37</xdr:row>
      <xdr:rowOff>116200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306A72-AFBB-4559-80C1-DC33BBB5E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981074</xdr:colOff>
      <xdr:row>66</xdr:row>
      <xdr:rowOff>114299</xdr:rowOff>
    </xdr:from>
    <xdr:to>
      <xdr:col>17</xdr:col>
      <xdr:colOff>228600</xdr:colOff>
      <xdr:row>96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8767F46-6698-4A01-B4CE-19A71FF792F8}"/>
            </a:ext>
          </a:extLst>
        </xdr:cNvPr>
        <xdr:cNvSpPr txBox="1"/>
      </xdr:nvSpPr>
      <xdr:spPr>
        <a:xfrm>
          <a:off x="13573124" y="13887449"/>
          <a:ext cx="3057526" cy="5467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Factory price industry</a:t>
          </a:r>
          <a:r>
            <a:rPr lang="en-US" sz="1100" baseline="0"/>
            <a:t> grade rock salt</a:t>
          </a:r>
        </a:p>
        <a:p>
          <a:r>
            <a:rPr lang="en-US" sz="1100" baseline="0"/>
            <a:t>Rs  30/kg</a:t>
          </a:r>
        </a:p>
        <a:p>
          <a:r>
            <a:rPr lang="en-US" sz="1100" baseline="0"/>
            <a:t>$0.36/kg</a:t>
          </a:r>
        </a:p>
        <a:p>
          <a:endParaRPr lang="en-US" sz="1100" baseline="0"/>
        </a:p>
        <a:p>
          <a:r>
            <a:rPr lang="en-US" sz="1100" baseline="0"/>
            <a:t>CAS No. 7647-14-5</a:t>
          </a:r>
        </a:p>
        <a:p>
          <a:r>
            <a:rPr lang="en-US" sz="1100" baseline="0"/>
            <a:t>Appearance: crystals</a:t>
          </a:r>
        </a:p>
        <a:p>
          <a:r>
            <a:rPr lang="en-US" sz="1100" baseline="0"/>
            <a:t>link: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https://www.indiamart.com/proddetail/sodium-chloride-11029669630.html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https://m.indiamart.com/proddetail/sodium-chloride-11029669630.html</a:t>
          </a:r>
          <a:endParaRPr lang="en-US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Factory price industry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grade na2s04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$2.2-20/kg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pick: (mean) = $2.2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 No. 7647-14-5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Appearance: crystals</a:t>
          </a:r>
          <a:endParaRPr lang="en-GH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Superior Quality CAS 7647-14-5 Salt Sodium Chloride - China Salt Sodium Chloride and Superior Quality (made-in-china.com)</a:t>
          </a:r>
          <a:endParaRPr lang="en-GH">
            <a:effectLst/>
          </a:endParaRPr>
        </a:p>
        <a:p>
          <a:endParaRPr lang="en-US"/>
        </a:p>
        <a:p>
          <a:endParaRPr lang="en-US"/>
        </a:p>
        <a:p>
          <a:r>
            <a:rPr lang="en-US"/>
            <a:t>Market price ending 2022</a:t>
          </a:r>
        </a:p>
        <a:p>
          <a:r>
            <a:rPr lang="en-US"/>
            <a:t>rock salt</a:t>
          </a:r>
        </a:p>
        <a:p>
          <a:r>
            <a:rPr lang="en-US"/>
            <a:t>$80-100/t</a:t>
          </a:r>
        </a:p>
        <a:p>
          <a:r>
            <a:rPr lang="en-US"/>
            <a:t>$90/t</a:t>
          </a:r>
        </a:p>
        <a:p>
          <a:endParaRPr lang="en-US" sz="1100" baseline="0"/>
        </a:p>
        <a:p>
          <a:r>
            <a:rPr lang="en-US" sz="1100" baseline="0"/>
            <a:t>Market price of Sodium sulphate</a:t>
          </a:r>
        </a:p>
        <a:p>
          <a:r>
            <a:rPr lang="en-US" sz="1100" baseline="0"/>
            <a:t>$125/t for quarter ending Dec 2022</a:t>
          </a:r>
        </a:p>
        <a:p>
          <a:endParaRPr lang="en-US" sz="1100" baseline="0"/>
        </a:p>
        <a:p>
          <a:r>
            <a:rPr lang="en-US" sz="1100" baseline="0"/>
            <a:t>link:</a:t>
          </a:r>
          <a:r>
            <a:rPr lang="en-US">
              <a:hlinkClick xmlns:r="http://schemas.openxmlformats.org/officeDocument/2006/relationships" r:id=""/>
            </a:rPr>
            <a:t>Sodium Sulphate Prices, Price, Pricing, News, Monitor | ChemAnalyst</a:t>
          </a:r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link:Salt prices U.S. by type 2022 | Statista</a:t>
          </a:r>
          <a:endParaRPr lang="en-GH">
            <a:effectLst/>
          </a:endParaRPr>
        </a:p>
        <a:p>
          <a:endParaRPr lang="en-US" sz="1100" baseline="0"/>
        </a:p>
      </xdr:txBody>
    </xdr:sp>
    <xdr:clientData/>
  </xdr:twoCellAnchor>
  <xdr:twoCellAnchor>
    <xdr:from>
      <xdr:col>21</xdr:col>
      <xdr:colOff>58095</xdr:colOff>
      <xdr:row>24</xdr:row>
      <xdr:rowOff>63101</xdr:rowOff>
    </xdr:from>
    <xdr:to>
      <xdr:col>25</xdr:col>
      <xdr:colOff>436702</xdr:colOff>
      <xdr:row>37</xdr:row>
      <xdr:rowOff>104376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84E62F-F1BB-492D-AA28-2F275987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734368</xdr:colOff>
      <xdr:row>32</xdr:row>
      <xdr:rowOff>65775</xdr:rowOff>
    </xdr:from>
    <xdr:to>
      <xdr:col>32</xdr:col>
      <xdr:colOff>288144</xdr:colOff>
      <xdr:row>47</xdr:row>
      <xdr:rowOff>13990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604244-B8D4-4803-8613-2AC8BC18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425450</xdr:colOff>
      <xdr:row>7</xdr:row>
      <xdr:rowOff>82550</xdr:rowOff>
    </xdr:from>
    <xdr:ext cx="6216650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B31033-DFF3-455D-8333-6267020314AC}"/>
                </a:ext>
              </a:extLst>
            </xdr:cNvPr>
            <xdr:cNvSpPr txBox="1"/>
          </xdr:nvSpPr>
          <xdr:spPr>
            <a:xfrm>
              <a:off x="1644650" y="1974850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𝑟𝑒𝑐𝑜𝑣𝑒𝑟𝑦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B31033-DFF3-455D-8333-6267020314AC}"/>
                </a:ext>
              </a:extLst>
            </xdr:cNvPr>
            <xdr:cNvSpPr txBox="1"/>
          </xdr:nvSpPr>
          <xdr:spPr>
            <a:xfrm>
              <a:off x="1644650" y="1974850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𝐿𝐶𝐼 = 𝑚_𝑖∗〖𝐿𝐶𝐴〗_𝑖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+𝑚_𝑗∗〖𝐿𝐶𝐴〗_𝑗+𝑄_𝑘∗〖𝐿𝐶𝐴〗_𝑘+𝑚_𝑙∗(1−𝑥_𝑟𝑒𝑐𝑜𝑣𝑒𝑟𝑦 )∗〖𝐿𝐶𝐴〗_𝑙</a:t>
              </a:r>
              <a:r>
                <a:rPr lang="en-US" sz="1100" b="0" i="0">
                  <a:latin typeface="Cambria Math" panose="02040503050406030204" pitchFamily="18" charset="0"/>
                </a:rPr>
                <a:t>+𝑚_𝑚∗〖𝐿𝐶𝐴〗_𝑚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104775</xdr:rowOff>
    </xdr:from>
    <xdr:to>
      <xdr:col>19</xdr:col>
      <xdr:colOff>142875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B18F8-4E4C-4D6B-9C23-25DA6581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549275</xdr:colOff>
      <xdr:row>11</xdr:row>
      <xdr:rowOff>111125</xdr:rowOff>
    </xdr:from>
    <xdr:to>
      <xdr:col>27</xdr:col>
      <xdr:colOff>244475</xdr:colOff>
      <xdr:row>24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FF70D-3B61-444A-ABBB-F61EAE654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574675</xdr:colOff>
      <xdr:row>11</xdr:row>
      <xdr:rowOff>98425</xdr:rowOff>
    </xdr:from>
    <xdr:to>
      <xdr:col>35</xdr:col>
      <xdr:colOff>269875</xdr:colOff>
      <xdr:row>24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9750E-9F3E-49FA-841D-3417A6285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525796</xdr:colOff>
      <xdr:row>27</xdr:row>
      <xdr:rowOff>161472</xdr:rowOff>
    </xdr:from>
    <xdr:to>
      <xdr:col>32</xdr:col>
      <xdr:colOff>237603</xdr:colOff>
      <xdr:row>43</xdr:row>
      <xdr:rowOff>1815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E1A434-2718-4F24-92A6-A3BCD4F4B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591039</xdr:colOff>
      <xdr:row>43</xdr:row>
      <xdr:rowOff>69362</xdr:rowOff>
    </xdr:from>
    <xdr:to>
      <xdr:col>19</xdr:col>
      <xdr:colOff>708270</xdr:colOff>
      <xdr:row>58</xdr:row>
      <xdr:rowOff>28331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EC24F-60CE-409B-BAEB-58437EE1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63501</xdr:colOff>
      <xdr:row>43</xdr:row>
      <xdr:rowOff>88900</xdr:rowOff>
    </xdr:from>
    <xdr:to>
      <xdr:col>27</xdr:col>
      <xdr:colOff>395655</xdr:colOff>
      <xdr:row>58</xdr:row>
      <xdr:rowOff>47869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BE0761-7EFF-4817-B7F1-DAF1955B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512884</xdr:colOff>
      <xdr:row>44</xdr:row>
      <xdr:rowOff>20514</xdr:rowOff>
    </xdr:from>
    <xdr:to>
      <xdr:col>36</xdr:col>
      <xdr:colOff>239346</xdr:colOff>
      <xdr:row>58</xdr:row>
      <xdr:rowOff>165099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08064D-A00E-4E97-A146-D271556A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317500</xdr:colOff>
      <xdr:row>44</xdr:row>
      <xdr:rowOff>10746</xdr:rowOff>
    </xdr:from>
    <xdr:to>
      <xdr:col>45</xdr:col>
      <xdr:colOff>43961</xdr:colOff>
      <xdr:row>58</xdr:row>
      <xdr:rowOff>155331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C55FF2-0577-4C76-9170-96E9736C9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0</xdr:colOff>
      <xdr:row>67</xdr:row>
      <xdr:rowOff>0</xdr:rowOff>
    </xdr:from>
    <xdr:ext cx="6216650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7B3793-8FA1-4594-A0DE-2C2925490AAE}"/>
                </a:ext>
              </a:extLst>
            </xdr:cNvPr>
            <xdr:cNvSpPr txBox="1"/>
          </xdr:nvSpPr>
          <xdr:spPr>
            <a:xfrm>
              <a:off x="3435350" y="12706350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𝑟𝑒𝑐𝑜𝑣𝑒𝑟𝑦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7B3793-8FA1-4594-A0DE-2C2925490AAE}"/>
                </a:ext>
              </a:extLst>
            </xdr:cNvPr>
            <xdr:cNvSpPr txBox="1"/>
          </xdr:nvSpPr>
          <xdr:spPr>
            <a:xfrm>
              <a:off x="3435350" y="12706350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𝐿𝐶𝐼 = 𝑚_𝑖∗〖𝐿𝐶𝐴〗_𝑖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+𝑚_𝑗∗〖𝐿𝐶𝐴〗_𝑗+𝑄_𝑘∗〖𝐿𝐶𝐴〗_𝑘+𝑚_𝑙∗(1−𝑥_𝑟𝑒𝑐𝑜𝑣𝑒𝑟𝑦 )∗〖𝐿𝐶𝐴〗_𝑙</a:t>
              </a:r>
              <a:r>
                <a:rPr lang="en-US" sz="1100" b="0" i="0">
                  <a:latin typeface="Cambria Math" panose="02040503050406030204" pitchFamily="18" charset="0"/>
                </a:rPr>
                <a:t>+𝑚_𝑚∗〖𝐿𝐶𝐴〗_𝑚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8</xdr:row>
      <xdr:rowOff>69850</xdr:rowOff>
    </xdr:from>
    <xdr:ext cx="6216650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C44C0B-8A31-4905-B685-B436A5BD17C9}"/>
                </a:ext>
              </a:extLst>
            </xdr:cNvPr>
            <xdr:cNvSpPr txBox="1"/>
          </xdr:nvSpPr>
          <xdr:spPr>
            <a:xfrm>
              <a:off x="18764250" y="1543050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𝑟𝑒𝑐𝑜𝑣𝑒𝑟𝑦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C44C0B-8A31-4905-B685-B436A5BD17C9}"/>
                </a:ext>
              </a:extLst>
            </xdr:cNvPr>
            <xdr:cNvSpPr txBox="1"/>
          </xdr:nvSpPr>
          <xdr:spPr>
            <a:xfrm>
              <a:off x="18764250" y="1543050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𝐿𝐶𝐼 = 𝑚_𝑖∗〖𝐿𝐶𝐴〗_𝑖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+𝑚_𝑗∗〖𝐿𝐶𝐴〗_𝑗+𝑄_𝑘∗〖𝐿𝐶𝐴〗_𝑘+𝑚_𝑙∗(1−𝑥_𝑟𝑒𝑐𝑜𝑣𝑒𝑟𝑦 )∗〖𝐿𝐶𝐴〗_𝑙</a:t>
              </a:r>
              <a:r>
                <a:rPr lang="en-US" sz="1100" b="0" i="0">
                  <a:latin typeface="Cambria Math" panose="02040503050406030204" pitchFamily="18" charset="0"/>
                </a:rPr>
                <a:t>+𝑚_𝑚∗〖𝐿𝐶𝐴〗_𝑚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181428</xdr:colOff>
      <xdr:row>8</xdr:row>
      <xdr:rowOff>22678</xdr:rowOff>
    </xdr:from>
    <xdr:ext cx="6216650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D65950-93B8-4227-AAAC-7DF0CF142BDD}"/>
                </a:ext>
              </a:extLst>
            </xdr:cNvPr>
            <xdr:cNvSpPr txBox="1"/>
          </xdr:nvSpPr>
          <xdr:spPr>
            <a:xfrm>
              <a:off x="13187589" y="1474107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𝑟𝑒𝑐𝑜𝑣𝑒𝑟𝑦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𝐿𝐶𝐴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D65950-93B8-4227-AAAC-7DF0CF142BDD}"/>
                </a:ext>
              </a:extLst>
            </xdr:cNvPr>
            <xdr:cNvSpPr txBox="1"/>
          </xdr:nvSpPr>
          <xdr:spPr>
            <a:xfrm>
              <a:off x="13187589" y="1474107"/>
              <a:ext cx="6216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𝐿𝐶𝐼 = 𝑚_𝑖∗〖𝐿𝐶𝐴〗_𝑖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+𝑚_𝑗∗〖𝐿𝐶𝐴〗_𝑗+𝑄_𝑘∗〖𝐿𝐶𝐴〗_𝑘+𝑚_𝑙∗(1−𝑥_𝑟𝑒𝑐𝑜𝑣𝑒𝑟𝑦 )∗〖𝐿𝐶𝐴〗_𝑙</a:t>
              </a:r>
              <a:r>
                <a:rPr lang="en-US" sz="1100" b="0" i="0">
                  <a:latin typeface="Cambria Math" panose="02040503050406030204" pitchFamily="18" charset="0"/>
                </a:rPr>
                <a:t>+𝑚_𝑚∗〖𝐿𝐶𝐴〗_𝑚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434975</xdr:colOff>
      <xdr:row>1</xdr:row>
      <xdr:rowOff>134937</xdr:rowOff>
    </xdr:from>
    <xdr:to>
      <xdr:col>14</xdr:col>
      <xdr:colOff>130175</xdr:colOff>
      <xdr:row>16</xdr:row>
      <xdr:rowOff>169862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0ED57-85D1-4E26-A51C-C0FCBEA9C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obar13\OneDrive%20-%20Rowan%20University\Separation%20Plant\NaCl_Na2SO4_Water_ASC%20material%20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balance (2)"/>
      <sheetName val="Material balance"/>
      <sheetName val="Energy"/>
      <sheetName val="Cost Analysis"/>
      <sheetName val="Profitability"/>
      <sheetName val="Sensitivity"/>
    </sheetNames>
    <sheetDataSet>
      <sheetData sheetId="0"/>
      <sheetData sheetId="1">
        <row r="3">
          <cell r="L3">
            <v>2170</v>
          </cell>
          <cell r="M3">
            <v>2680</v>
          </cell>
          <cell r="N3">
            <v>1000</v>
          </cell>
          <cell r="O3">
            <v>790</v>
          </cell>
        </row>
        <row r="4">
          <cell r="D4">
            <v>31.5</v>
          </cell>
          <cell r="F4">
            <v>10</v>
          </cell>
          <cell r="G4">
            <v>16.738955823293171</v>
          </cell>
          <cell r="H4">
            <v>73.261044176706832</v>
          </cell>
        </row>
        <row r="6">
          <cell r="I6">
            <v>100</v>
          </cell>
        </row>
        <row r="14">
          <cell r="D14">
            <v>5.0259713285060235</v>
          </cell>
          <cell r="G14">
            <v>96.5</v>
          </cell>
        </row>
        <row r="19">
          <cell r="D19">
            <v>0.60770036144578299</v>
          </cell>
        </row>
      </sheetData>
      <sheetData sheetId="2"/>
      <sheetData sheetId="3">
        <row r="32">
          <cell r="AO32" t="str">
            <v>Cost, M$/yr</v>
          </cell>
        </row>
        <row r="33">
          <cell r="AN33" t="str">
            <v>Utility</v>
          </cell>
          <cell r="AO33">
            <v>2113423.9374638395</v>
          </cell>
        </row>
        <row r="34">
          <cell r="AN34" t="str">
            <v>Labor cost</v>
          </cell>
          <cell r="AO34">
            <v>1367519.9999999998</v>
          </cell>
        </row>
        <row r="35">
          <cell r="AN35" t="str">
            <v>Raw material</v>
          </cell>
          <cell r="AO35">
            <v>465922</v>
          </cell>
        </row>
        <row r="36">
          <cell r="AN36" t="str">
            <v>Equipment cost</v>
          </cell>
          <cell r="AO36">
            <v>619625.99999999988</v>
          </cell>
        </row>
        <row r="72">
          <cell r="G72">
            <v>4.8500623320083127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F80F-0926-4CE6-A4CF-3D81C22D443E}">
  <dimension ref="A1:AG101"/>
  <sheetViews>
    <sheetView topLeftCell="X1" workbookViewId="0">
      <selection activeCell="A100" sqref="A100"/>
    </sheetView>
  </sheetViews>
  <sheetFormatPr defaultRowHeight="15" x14ac:dyDescent="0.25"/>
  <cols>
    <col min="1" max="1" width="13.140625" style="92" customWidth="1"/>
    <col min="2" max="2" width="22.85546875" style="92" bestFit="1" customWidth="1"/>
    <col min="3" max="3" width="11.85546875" style="92" bestFit="1" customWidth="1"/>
    <col min="4" max="4" width="13.140625" style="92" bestFit="1" customWidth="1"/>
    <col min="5" max="6" width="12.140625" style="92" bestFit="1" customWidth="1"/>
    <col min="7" max="7" width="10" style="92" customWidth="1"/>
    <col min="8" max="8" width="11" style="92" customWidth="1"/>
    <col min="9" max="9" width="10" style="92" customWidth="1"/>
    <col min="10" max="10" width="9.140625" style="92"/>
    <col min="11" max="11" width="37.28515625" style="92" customWidth="1"/>
    <col min="12" max="12" width="16.42578125" style="92" customWidth="1"/>
    <col min="13" max="13" width="9.140625" style="92" bestFit="1"/>
    <col min="14" max="16" width="9.140625" style="92"/>
    <col min="17" max="17" width="10.85546875" style="92" customWidth="1"/>
    <col min="18" max="20" width="9.140625" style="92"/>
    <col min="21" max="21" width="12.140625" style="92" bestFit="1" customWidth="1"/>
    <col min="22" max="23" width="9.140625" style="92"/>
    <col min="24" max="24" width="10.5703125" style="92" customWidth="1"/>
    <col min="25" max="25" width="10" style="92" customWidth="1"/>
    <col min="26" max="26" width="8.85546875" style="92" bestFit="1" customWidth="1"/>
    <col min="27" max="29" width="13.7109375" style="92" bestFit="1" customWidth="1"/>
    <col min="30" max="30" width="11.5703125" style="92" customWidth="1"/>
    <col min="31" max="31" width="11.85546875" style="92" customWidth="1"/>
    <col min="32" max="32" width="8.85546875" style="92" bestFit="1" customWidth="1"/>
    <col min="33" max="33" width="10.85546875" style="92" customWidth="1"/>
    <col min="34" max="16384" width="9.140625" style="92"/>
  </cols>
  <sheetData>
    <row r="1" spans="1:16" ht="15.75" thickBot="1" x14ac:dyDescent="0.3">
      <c r="A1" s="91"/>
      <c r="B1" s="91"/>
      <c r="C1" s="91"/>
      <c r="D1" s="91"/>
      <c r="E1" s="91"/>
      <c r="F1" s="91"/>
      <c r="G1" s="91"/>
      <c r="H1" s="91"/>
      <c r="I1" s="91"/>
      <c r="J1" s="91"/>
    </row>
    <row r="2" spans="1:16" x14ac:dyDescent="0.25">
      <c r="A2" s="93" t="s">
        <v>0</v>
      </c>
      <c r="B2" s="94" t="s">
        <v>1</v>
      </c>
      <c r="C2" s="94" t="s">
        <v>2</v>
      </c>
      <c r="D2" s="94" t="s">
        <v>3</v>
      </c>
      <c r="E2" s="94" t="s">
        <v>4</v>
      </c>
      <c r="F2" s="94" t="s">
        <v>5</v>
      </c>
      <c r="G2" s="94" t="s">
        <v>6</v>
      </c>
      <c r="H2" s="94" t="s">
        <v>7</v>
      </c>
      <c r="I2" s="95" t="s">
        <v>8</v>
      </c>
      <c r="J2" s="96"/>
      <c r="K2" s="97" t="s">
        <v>9</v>
      </c>
      <c r="L2" s="98" t="s">
        <v>5</v>
      </c>
      <c r="M2" s="98" t="s">
        <v>6</v>
      </c>
      <c r="N2" s="98" t="s">
        <v>10</v>
      </c>
      <c r="O2" s="98" t="s">
        <v>11</v>
      </c>
      <c r="P2" s="99" t="s">
        <v>12</v>
      </c>
    </row>
    <row r="3" spans="1:16" x14ac:dyDescent="0.25">
      <c r="A3" s="100"/>
      <c r="B3" s="96"/>
      <c r="C3" s="96"/>
      <c r="D3" s="96" t="s">
        <v>13</v>
      </c>
      <c r="E3" s="96"/>
      <c r="F3" s="96" t="s">
        <v>14</v>
      </c>
      <c r="G3" s="96" t="s">
        <v>14</v>
      </c>
      <c r="H3" s="96" t="s">
        <v>14</v>
      </c>
      <c r="I3" s="101" t="s">
        <v>14</v>
      </c>
      <c r="J3" s="96"/>
      <c r="K3" s="102" t="s">
        <v>15</v>
      </c>
      <c r="L3" s="103">
        <v>2170</v>
      </c>
      <c r="M3" s="103">
        <v>2680</v>
      </c>
      <c r="N3" s="103">
        <v>1000</v>
      </c>
      <c r="O3" s="103">
        <v>790</v>
      </c>
      <c r="P3" s="104">
        <v>1110</v>
      </c>
    </row>
    <row r="4" spans="1:16" ht="15.75" thickBot="1" x14ac:dyDescent="0.3">
      <c r="A4" s="105">
        <v>1</v>
      </c>
      <c r="B4" s="106" t="s">
        <v>16</v>
      </c>
      <c r="C4" s="106" t="s">
        <v>17</v>
      </c>
      <c r="D4" s="106">
        <v>31.5</v>
      </c>
      <c r="E4" s="106">
        <v>1.2450000000000001</v>
      </c>
      <c r="F4" s="106">
        <v>10</v>
      </c>
      <c r="G4" s="107">
        <f>208.4*100/1245</f>
        <v>16.738955823293171</v>
      </c>
      <c r="H4" s="107">
        <f>100-F4-G4</f>
        <v>73.261044176706832</v>
      </c>
      <c r="I4" s="108">
        <f>0</f>
        <v>0</v>
      </c>
      <c r="J4" s="109"/>
      <c r="K4" s="110" t="s">
        <v>18</v>
      </c>
      <c r="L4" s="111">
        <v>58.44</v>
      </c>
      <c r="M4" s="111">
        <v>142.04</v>
      </c>
      <c r="N4" s="111">
        <v>18.010000000000002</v>
      </c>
      <c r="O4" s="111">
        <v>46.07</v>
      </c>
      <c r="P4" s="112">
        <v>78.14</v>
      </c>
    </row>
    <row r="5" spans="1:16" ht="15.75" thickBot="1" x14ac:dyDescent="0.3">
      <c r="A5" s="105">
        <v>2</v>
      </c>
      <c r="B5" s="106" t="s">
        <v>19</v>
      </c>
      <c r="C5" s="106" t="s">
        <v>17</v>
      </c>
      <c r="D5" s="106">
        <f t="shared" ref="D5:I5" si="0">D4</f>
        <v>31.5</v>
      </c>
      <c r="E5" s="113">
        <f>E4</f>
        <v>1.2450000000000001</v>
      </c>
      <c r="F5" s="106">
        <f t="shared" si="0"/>
        <v>10</v>
      </c>
      <c r="G5" s="107">
        <f t="shared" si="0"/>
        <v>16.738955823293171</v>
      </c>
      <c r="H5" s="107">
        <f t="shared" si="0"/>
        <v>73.261044176706832</v>
      </c>
      <c r="I5" s="108">
        <f t="shared" si="0"/>
        <v>0</v>
      </c>
      <c r="J5" s="109"/>
      <c r="K5" s="114"/>
      <c r="L5" s="114"/>
      <c r="M5" s="114"/>
      <c r="N5" s="114"/>
      <c r="O5" s="114"/>
      <c r="P5" s="114"/>
    </row>
    <row r="6" spans="1:16" x14ac:dyDescent="0.25">
      <c r="A6" s="105">
        <v>3</v>
      </c>
      <c r="B6" s="106" t="s">
        <v>20</v>
      </c>
      <c r="C6" s="106" t="s">
        <v>8</v>
      </c>
      <c r="D6" s="107">
        <f>(D5*(H5/100)*L7*O3)/((1-L7)*1000)</f>
        <v>12.154007228915667</v>
      </c>
      <c r="E6" s="106">
        <f>O3/1000</f>
        <v>0.79</v>
      </c>
      <c r="F6" s="107">
        <v>0</v>
      </c>
      <c r="G6" s="106">
        <v>0</v>
      </c>
      <c r="H6" s="107">
        <v>0</v>
      </c>
      <c r="I6" s="108">
        <v>100</v>
      </c>
      <c r="J6" s="109"/>
      <c r="K6" s="115" t="s">
        <v>8</v>
      </c>
      <c r="L6" s="116" t="s">
        <v>11</v>
      </c>
      <c r="M6" s="117"/>
      <c r="N6" s="114"/>
      <c r="O6" s="114"/>
      <c r="P6" s="114"/>
    </row>
    <row r="7" spans="1:16" x14ac:dyDescent="0.25">
      <c r="A7" s="105">
        <v>4</v>
      </c>
      <c r="B7" s="106" t="s">
        <v>21</v>
      </c>
      <c r="C7" s="106" t="s">
        <v>22</v>
      </c>
      <c r="D7" s="107">
        <f>D5+D6</f>
        <v>43.654007228915667</v>
      </c>
      <c r="E7" s="107">
        <f>(E5*D5/(D5+D6))+(E6*D6/(D5+D6))</f>
        <v>1.1183203744582331</v>
      </c>
      <c r="F7" s="107">
        <f>F4*$D$4/($D$4+$D$6)</f>
        <v>7.2158324056754495</v>
      </c>
      <c r="G7" s="107">
        <f>G4*$D$4/($D$4+$D$6)</f>
        <v>12.078549986688863</v>
      </c>
      <c r="H7" s="107">
        <f>H4*$D$4/($D$4+$D$6)</f>
        <v>52.86394166439019</v>
      </c>
      <c r="I7" s="118">
        <f>D6*100/(D4+D6)</f>
        <v>27.841675943245502</v>
      </c>
      <c r="J7" s="107"/>
      <c r="K7" s="119" t="s">
        <v>23</v>
      </c>
      <c r="L7" s="120">
        <f>K23</f>
        <v>0.4</v>
      </c>
      <c r="M7" s="121"/>
    </row>
    <row r="8" spans="1:16" x14ac:dyDescent="0.25">
      <c r="A8" s="105">
        <v>5</v>
      </c>
      <c r="B8" s="106" t="s">
        <v>24</v>
      </c>
      <c r="C8" s="106" t="s">
        <v>22</v>
      </c>
      <c r="D8" s="107">
        <f t="shared" ref="D8:I10" si="1">D7</f>
        <v>43.654007228915667</v>
      </c>
      <c r="E8" s="107">
        <f t="shared" si="1"/>
        <v>1.1183203744582331</v>
      </c>
      <c r="F8" s="107">
        <f t="shared" si="1"/>
        <v>7.2158324056754495</v>
      </c>
      <c r="G8" s="107">
        <f t="shared" si="1"/>
        <v>12.078549986688863</v>
      </c>
      <c r="H8" s="107">
        <f t="shared" si="1"/>
        <v>52.86394166439019</v>
      </c>
      <c r="I8" s="122">
        <f t="shared" si="1"/>
        <v>27.841675943245502</v>
      </c>
      <c r="J8" s="123"/>
      <c r="K8" s="119" t="s">
        <v>25</v>
      </c>
      <c r="L8" s="120">
        <f>L23</f>
        <v>90</v>
      </c>
      <c r="M8" s="121"/>
    </row>
    <row r="9" spans="1:16" x14ac:dyDescent="0.25">
      <c r="A9" s="124">
        <v>6</v>
      </c>
      <c r="B9" s="106" t="s">
        <v>910</v>
      </c>
      <c r="C9" s="109" t="s">
        <v>22</v>
      </c>
      <c r="D9" s="123">
        <f t="shared" si="1"/>
        <v>43.654007228915667</v>
      </c>
      <c r="E9" s="123">
        <f t="shared" si="1"/>
        <v>1.1183203744582331</v>
      </c>
      <c r="F9" s="123">
        <f t="shared" si="1"/>
        <v>7.2158324056754495</v>
      </c>
      <c r="G9" s="123">
        <f t="shared" si="1"/>
        <v>12.078549986688863</v>
      </c>
      <c r="H9" s="123">
        <f t="shared" si="1"/>
        <v>52.86394166439019</v>
      </c>
      <c r="I9" s="122">
        <f t="shared" si="1"/>
        <v>27.841675943245502</v>
      </c>
      <c r="J9" s="123"/>
      <c r="K9" s="119" t="s">
        <v>26</v>
      </c>
      <c r="L9" s="120">
        <f>M23</f>
        <v>22.3</v>
      </c>
      <c r="M9" s="121"/>
    </row>
    <row r="10" spans="1:16" x14ac:dyDescent="0.25">
      <c r="A10" s="124">
        <v>7</v>
      </c>
      <c r="B10" s="109" t="s">
        <v>911</v>
      </c>
      <c r="C10" s="109" t="s">
        <v>22</v>
      </c>
      <c r="D10" s="123">
        <f t="shared" si="1"/>
        <v>43.654007228915667</v>
      </c>
      <c r="E10" s="123">
        <f t="shared" si="1"/>
        <v>1.1183203744582331</v>
      </c>
      <c r="F10" s="123">
        <f t="shared" si="1"/>
        <v>7.2158324056754495</v>
      </c>
      <c r="G10" s="123">
        <f t="shared" si="1"/>
        <v>12.078549986688863</v>
      </c>
      <c r="H10" s="123">
        <f t="shared" si="1"/>
        <v>52.86394166439019</v>
      </c>
      <c r="I10" s="122">
        <f t="shared" si="1"/>
        <v>27.841675943245502</v>
      </c>
      <c r="J10" s="123"/>
      <c r="K10" s="125" t="s">
        <v>27</v>
      </c>
      <c r="L10" s="126">
        <f>G4*D4/100</f>
        <v>5.2727710843373483</v>
      </c>
      <c r="M10" s="121"/>
    </row>
    <row r="11" spans="1:16" x14ac:dyDescent="0.25">
      <c r="A11" s="124">
        <v>8</v>
      </c>
      <c r="B11" s="106" t="s">
        <v>28</v>
      </c>
      <c r="C11" s="127" t="s">
        <v>29</v>
      </c>
      <c r="D11" s="123">
        <f>(L11+L13)*(100+I11)/100</f>
        <v>5.0767387156626498</v>
      </c>
      <c r="E11" s="109" t="s">
        <v>30</v>
      </c>
      <c r="F11" s="128">
        <f>100-I11-G11</f>
        <v>3.4650000000000034</v>
      </c>
      <c r="G11" s="128">
        <f>L14*0.99</f>
        <v>95.534999999999997</v>
      </c>
      <c r="H11" s="109">
        <v>0</v>
      </c>
      <c r="I11" s="108">
        <v>1</v>
      </c>
      <c r="J11" s="109"/>
      <c r="K11" s="119" t="s">
        <v>31</v>
      </c>
      <c r="L11" s="120">
        <f>L10*L8/100</f>
        <v>4.7454939759036137</v>
      </c>
      <c r="M11" s="121"/>
    </row>
    <row r="12" spans="1:16" x14ac:dyDescent="0.25">
      <c r="A12" s="124">
        <v>9</v>
      </c>
      <c r="B12" s="109" t="s">
        <v>32</v>
      </c>
      <c r="C12" s="109" t="s">
        <v>17</v>
      </c>
      <c r="D12" s="123">
        <f>D10-D11</f>
        <v>38.577268513253017</v>
      </c>
      <c r="E12" s="123">
        <f>E10</f>
        <v>1.1183203744582331</v>
      </c>
      <c r="F12" s="123">
        <f>(D10*F10-D11*F11)/D12</f>
        <v>7.7094390508248551</v>
      </c>
      <c r="G12" s="123">
        <f>(G10*D10-G11*D11)/D12</f>
        <v>1.0957456777527337</v>
      </c>
      <c r="H12" s="123">
        <f>(D10*H10-D11*H11)/D12</f>
        <v>59.820795522976425</v>
      </c>
      <c r="I12" s="122">
        <f>(D10*I10-D11*I11)/D12</f>
        <v>31.374019748445992</v>
      </c>
      <c r="J12" s="123"/>
      <c r="K12" s="125" t="s">
        <v>33</v>
      </c>
      <c r="L12" s="126">
        <f>F4*D4/100</f>
        <v>3.15</v>
      </c>
      <c r="M12" s="121"/>
    </row>
    <row r="13" spans="1:16" x14ac:dyDescent="0.25">
      <c r="A13" s="124">
        <v>10</v>
      </c>
      <c r="B13" s="109" t="s">
        <v>34</v>
      </c>
      <c r="C13" s="109" t="s">
        <v>29</v>
      </c>
      <c r="D13" s="123">
        <f>D11*(100-I11)/100</f>
        <v>5.0259713285060235</v>
      </c>
      <c r="E13" s="109" t="s">
        <v>30</v>
      </c>
      <c r="F13" s="128">
        <f>F11</f>
        <v>3.4650000000000034</v>
      </c>
      <c r="G13" s="128">
        <f>G11</f>
        <v>95.534999999999997</v>
      </c>
      <c r="H13" s="109">
        <f>H11</f>
        <v>0</v>
      </c>
      <c r="I13" s="108">
        <f>I11</f>
        <v>1</v>
      </c>
      <c r="J13" s="109"/>
      <c r="K13" s="119" t="s">
        <v>35</v>
      </c>
      <c r="L13" s="120">
        <f>L12*L9*10/(25*100)</f>
        <v>0.28098000000000001</v>
      </c>
      <c r="M13" s="121"/>
    </row>
    <row r="14" spans="1:16" x14ac:dyDescent="0.25">
      <c r="A14" s="124">
        <v>11</v>
      </c>
      <c r="B14" s="109" t="s">
        <v>36</v>
      </c>
      <c r="C14" s="114" t="s">
        <v>29</v>
      </c>
      <c r="D14" s="129">
        <f>D13</f>
        <v>5.0259713285060235</v>
      </c>
      <c r="E14" s="114" t="s">
        <v>30</v>
      </c>
      <c r="F14" s="114">
        <f>100-L14</f>
        <v>3.5</v>
      </c>
      <c r="G14" s="114">
        <f>L14</f>
        <v>96.5</v>
      </c>
      <c r="H14" s="114">
        <v>0</v>
      </c>
      <c r="I14" s="130">
        <v>0</v>
      </c>
      <c r="J14" s="114"/>
      <c r="K14" s="119" t="s">
        <v>37</v>
      </c>
      <c r="L14" s="120">
        <v>96.5</v>
      </c>
      <c r="M14" s="121"/>
      <c r="O14" s="92" t="s">
        <v>16</v>
      </c>
    </row>
    <row r="15" spans="1:16" x14ac:dyDescent="0.25">
      <c r="A15" s="124">
        <v>12</v>
      </c>
      <c r="B15" s="109" t="s">
        <v>912</v>
      </c>
      <c r="C15" s="114" t="s">
        <v>17</v>
      </c>
      <c r="D15" s="129">
        <f t="shared" ref="D15:I15" si="2">D12</f>
        <v>38.577268513253017</v>
      </c>
      <c r="E15" s="129">
        <f t="shared" si="2"/>
        <v>1.1183203744582331</v>
      </c>
      <c r="F15" s="129">
        <f t="shared" si="2"/>
        <v>7.7094390508248551</v>
      </c>
      <c r="G15" s="129">
        <f t="shared" si="2"/>
        <v>1.0957456777527337</v>
      </c>
      <c r="H15" s="129">
        <f t="shared" si="2"/>
        <v>59.820795522976425</v>
      </c>
      <c r="I15" s="131">
        <f t="shared" si="2"/>
        <v>31.374019748445992</v>
      </c>
      <c r="J15" s="129"/>
      <c r="K15" s="125" t="s">
        <v>38</v>
      </c>
      <c r="L15" s="126">
        <v>1</v>
      </c>
      <c r="M15" s="121"/>
    </row>
    <row r="16" spans="1:16" x14ac:dyDescent="0.25">
      <c r="A16" s="124">
        <v>13</v>
      </c>
      <c r="B16" s="109" t="s">
        <v>39</v>
      </c>
      <c r="C16" s="114" t="s">
        <v>17</v>
      </c>
      <c r="D16" s="129">
        <f>D15-D17</f>
        <v>27.030961645783133</v>
      </c>
      <c r="E16" s="129">
        <f>(E5+E15)/2</f>
        <v>1.1816601872291166</v>
      </c>
      <c r="F16" s="129">
        <f>D15*F15/D16</f>
        <v>11.002534954083853</v>
      </c>
      <c r="G16" s="129">
        <f>D15*G15/D16</f>
        <v>1.5637947249833761</v>
      </c>
      <c r="H16" s="129">
        <f>D15*H15/D16</f>
        <v>85.373318263957259</v>
      </c>
      <c r="I16" s="131">
        <f>100-F16-G16-H16</f>
        <v>2.0603520569755034</v>
      </c>
      <c r="J16" s="129"/>
      <c r="K16" s="125" t="s">
        <v>40</v>
      </c>
      <c r="L16" s="126">
        <v>95</v>
      </c>
      <c r="M16" s="121"/>
    </row>
    <row r="17" spans="1:16" ht="15.75" thickBot="1" x14ac:dyDescent="0.3">
      <c r="A17" s="124">
        <v>14</v>
      </c>
      <c r="B17" s="109" t="s">
        <v>41</v>
      </c>
      <c r="C17" s="114" t="s">
        <v>8</v>
      </c>
      <c r="D17" s="129">
        <f>D6*L16/100</f>
        <v>11.546306867469884</v>
      </c>
      <c r="E17" s="114">
        <f>E6</f>
        <v>0.79</v>
      </c>
      <c r="F17" s="114">
        <v>0</v>
      </c>
      <c r="G17" s="114">
        <v>0</v>
      </c>
      <c r="H17" s="114">
        <v>0</v>
      </c>
      <c r="I17" s="130">
        <v>100</v>
      </c>
      <c r="J17" s="114"/>
      <c r="K17" s="132"/>
      <c r="L17" s="133"/>
      <c r="M17" s="134"/>
    </row>
    <row r="18" spans="1:16" ht="15.75" thickBot="1" x14ac:dyDescent="0.3">
      <c r="A18" s="124">
        <v>15</v>
      </c>
      <c r="B18" s="109" t="s">
        <v>42</v>
      </c>
      <c r="C18" s="114" t="s">
        <v>8</v>
      </c>
      <c r="D18" s="129">
        <f t="shared" ref="D18:I18" si="3">D17</f>
        <v>11.546306867469884</v>
      </c>
      <c r="E18" s="114">
        <f t="shared" si="3"/>
        <v>0.79</v>
      </c>
      <c r="F18" s="114">
        <f t="shared" si="3"/>
        <v>0</v>
      </c>
      <c r="G18" s="114">
        <f t="shared" si="3"/>
        <v>0</v>
      </c>
      <c r="H18" s="114">
        <f t="shared" si="3"/>
        <v>0</v>
      </c>
      <c r="I18" s="130">
        <f t="shared" si="3"/>
        <v>100</v>
      </c>
      <c r="J18" s="114"/>
    </row>
    <row r="19" spans="1:16" ht="15.75" thickBot="1" x14ac:dyDescent="0.3">
      <c r="A19" s="135">
        <v>16</v>
      </c>
      <c r="B19" s="136" t="s">
        <v>43</v>
      </c>
      <c r="C19" s="137" t="s">
        <v>8</v>
      </c>
      <c r="D19" s="138">
        <f>D6-D18</f>
        <v>0.60770036144578299</v>
      </c>
      <c r="E19" s="137">
        <f>E18</f>
        <v>0.79</v>
      </c>
      <c r="F19" s="137">
        <f>F18</f>
        <v>0</v>
      </c>
      <c r="G19" s="137">
        <f>G18</f>
        <v>0</v>
      </c>
      <c r="H19" s="137">
        <f>H18</f>
        <v>0</v>
      </c>
      <c r="I19" s="139">
        <f>I18</f>
        <v>100</v>
      </c>
      <c r="J19" s="114"/>
      <c r="K19" s="94"/>
      <c r="L19" s="140" t="s">
        <v>6</v>
      </c>
      <c r="M19" s="140" t="s">
        <v>5</v>
      </c>
      <c r="N19" s="140" t="s">
        <v>6</v>
      </c>
      <c r="O19" s="140" t="s">
        <v>5</v>
      </c>
      <c r="P19" s="141" t="s">
        <v>5</v>
      </c>
    </row>
    <row r="20" spans="1:16" x14ac:dyDescent="0.25">
      <c r="K20" s="142" t="s">
        <v>23</v>
      </c>
      <c r="L20" s="96" t="s">
        <v>11</v>
      </c>
      <c r="M20" s="96" t="s">
        <v>11</v>
      </c>
      <c r="N20" s="96" t="s">
        <v>44</v>
      </c>
      <c r="O20" s="96" t="s">
        <v>44</v>
      </c>
      <c r="P20" s="101" t="s">
        <v>12</v>
      </c>
    </row>
    <row r="21" spans="1:16" x14ac:dyDescent="0.25">
      <c r="K21" s="142">
        <v>0.2</v>
      </c>
      <c r="L21" s="96">
        <v>57.2</v>
      </c>
      <c r="M21" s="96">
        <v>11.1</v>
      </c>
      <c r="N21" s="96">
        <v>50</v>
      </c>
      <c r="O21" s="96">
        <v>13.5</v>
      </c>
      <c r="P21" s="101">
        <v>6</v>
      </c>
    </row>
    <row r="22" spans="1:16" x14ac:dyDescent="0.25">
      <c r="K22" s="142">
        <v>0.3</v>
      </c>
      <c r="L22" s="96">
        <v>76</v>
      </c>
      <c r="M22" s="96">
        <v>14.1</v>
      </c>
      <c r="N22" s="96">
        <v>67.5</v>
      </c>
      <c r="O22" s="96">
        <v>20.100000000000001</v>
      </c>
      <c r="P22" s="101">
        <v>10.9</v>
      </c>
    </row>
    <row r="23" spans="1:16" x14ac:dyDescent="0.25">
      <c r="E23" s="92">
        <f>1/((1/(L3+M3+N3))+(1/O3))</f>
        <v>696.00903614457832</v>
      </c>
      <c r="K23" s="143">
        <v>0.4</v>
      </c>
      <c r="L23" s="144">
        <v>90</v>
      </c>
      <c r="M23" s="144">
        <v>22.3</v>
      </c>
      <c r="N23" s="144">
        <v>80.2</v>
      </c>
      <c r="O23" s="144">
        <v>26.5</v>
      </c>
      <c r="P23" s="145">
        <v>16.899999999999999</v>
      </c>
    </row>
    <row r="24" spans="1:16" x14ac:dyDescent="0.25">
      <c r="B24" s="126" t="s">
        <v>913</v>
      </c>
      <c r="K24" s="142">
        <v>0.5</v>
      </c>
      <c r="L24" s="96">
        <v>96.4</v>
      </c>
      <c r="M24" s="96">
        <v>35.200000000000003</v>
      </c>
      <c r="N24" s="96">
        <v>88.2</v>
      </c>
      <c r="O24" s="96">
        <v>32.700000000000003</v>
      </c>
      <c r="P24" s="101">
        <v>23.8</v>
      </c>
    </row>
    <row r="25" spans="1:16" x14ac:dyDescent="0.25">
      <c r="K25" s="142">
        <v>0.6</v>
      </c>
      <c r="L25" s="96">
        <v>99.1</v>
      </c>
      <c r="M25" s="96">
        <v>45.2</v>
      </c>
      <c r="N25" s="96">
        <v>91.5</v>
      </c>
      <c r="O25" s="96">
        <v>38.5</v>
      </c>
      <c r="P25" s="101">
        <v>31.4</v>
      </c>
    </row>
    <row r="26" spans="1:16" x14ac:dyDescent="0.25">
      <c r="B26" s="120" t="s">
        <v>914</v>
      </c>
      <c r="K26" s="100">
        <v>0.7</v>
      </c>
      <c r="L26" s="96">
        <v>99.4</v>
      </c>
      <c r="M26" s="96">
        <v>56.4</v>
      </c>
      <c r="N26" s="96">
        <v>93</v>
      </c>
      <c r="O26" s="96">
        <v>43.6</v>
      </c>
      <c r="P26" s="101">
        <v>38.700000000000003</v>
      </c>
    </row>
    <row r="27" spans="1:16" x14ac:dyDescent="0.25">
      <c r="K27" s="146"/>
      <c r="L27" s="147" t="s">
        <v>5</v>
      </c>
      <c r="M27" s="147" t="s">
        <v>6</v>
      </c>
      <c r="N27" s="147" t="s">
        <v>7</v>
      </c>
      <c r="O27" s="114"/>
      <c r="P27" s="130"/>
    </row>
    <row r="28" spans="1:16" x14ac:dyDescent="0.25">
      <c r="B28" s="148" t="s">
        <v>915</v>
      </c>
      <c r="K28" s="149"/>
      <c r="L28" s="147"/>
      <c r="M28" s="147"/>
      <c r="N28" s="147"/>
      <c r="O28" s="114"/>
      <c r="P28" s="130"/>
    </row>
    <row r="29" spans="1:16" ht="15.75" thickBot="1" x14ac:dyDescent="0.3">
      <c r="K29" s="150"/>
      <c r="L29" s="151"/>
      <c r="M29" s="151"/>
      <c r="N29" s="151"/>
      <c r="O29" s="137"/>
      <c r="P29" s="139"/>
    </row>
    <row r="30" spans="1:16" x14ac:dyDescent="0.25">
      <c r="B30" s="92" t="s">
        <v>916</v>
      </c>
      <c r="K30" s="114"/>
      <c r="L30" s="114"/>
      <c r="M30" s="114"/>
      <c r="N30" s="114"/>
      <c r="O30" s="114"/>
      <c r="P30" s="114"/>
    </row>
    <row r="38" spans="2:14" x14ac:dyDescent="0.25">
      <c r="B38" s="152"/>
      <c r="C38" s="152"/>
      <c r="D38" s="153"/>
      <c r="E38" s="152"/>
      <c r="F38" s="152"/>
      <c r="G38" s="152"/>
      <c r="H38" s="152"/>
      <c r="I38" s="152"/>
    </row>
    <row r="39" spans="2:14" x14ac:dyDescent="0.25">
      <c r="B39" s="153"/>
      <c r="C39" s="153"/>
      <c r="D39" s="153"/>
      <c r="E39" s="153"/>
      <c r="F39" s="153"/>
      <c r="G39" s="153"/>
      <c r="H39" s="153"/>
      <c r="I39" s="153"/>
    </row>
    <row r="40" spans="2:14" x14ac:dyDescent="0.25">
      <c r="B40" s="153"/>
      <c r="C40" s="153"/>
      <c r="D40" s="153"/>
      <c r="E40" s="153"/>
      <c r="F40" s="153"/>
      <c r="G40" s="153"/>
      <c r="H40" s="153"/>
      <c r="I40" s="153"/>
    </row>
    <row r="41" spans="2:14" x14ac:dyDescent="0.25">
      <c r="B41" s="153"/>
      <c r="C41" s="153"/>
      <c r="D41" s="153"/>
      <c r="E41" s="153"/>
      <c r="F41" s="153"/>
      <c r="G41" s="153"/>
      <c r="H41" s="153"/>
      <c r="I41" s="153"/>
    </row>
    <row r="42" spans="2:14" x14ac:dyDescent="0.25">
      <c r="B42" s="153"/>
      <c r="C42" s="153"/>
      <c r="D42" s="153"/>
      <c r="E42" s="153"/>
      <c r="F42" s="153"/>
      <c r="G42" s="153"/>
      <c r="H42" s="153"/>
      <c r="I42" s="153"/>
    </row>
    <row r="45" spans="2:14" x14ac:dyDescent="0.25">
      <c r="G45" s="154"/>
      <c r="H45" s="154"/>
    </row>
    <row r="46" spans="2:14" x14ac:dyDescent="0.25">
      <c r="B46" s="152" t="s">
        <v>917</v>
      </c>
      <c r="C46" s="152"/>
      <c r="E46" s="152" t="s">
        <v>918</v>
      </c>
      <c r="F46" s="152"/>
      <c r="G46" s="155"/>
      <c r="H46" s="155"/>
      <c r="I46" s="152" t="s">
        <v>919</v>
      </c>
      <c r="J46" s="152"/>
      <c r="M46" s="152" t="s">
        <v>920</v>
      </c>
      <c r="N46" s="152"/>
    </row>
    <row r="47" spans="2:14" x14ac:dyDescent="0.25">
      <c r="B47" s="153" t="s">
        <v>921</v>
      </c>
      <c r="C47" s="153">
        <v>60.389899999999997</v>
      </c>
      <c r="E47" s="153" t="s">
        <v>45</v>
      </c>
      <c r="F47" s="153">
        <v>0.999</v>
      </c>
      <c r="G47" s="153" t="s">
        <v>922</v>
      </c>
      <c r="I47" s="153" t="s">
        <v>923</v>
      </c>
      <c r="J47" s="153">
        <v>7.7100000000000002E-2</v>
      </c>
      <c r="L47" s="92" t="s">
        <v>924</v>
      </c>
      <c r="M47" s="153" t="s">
        <v>5</v>
      </c>
      <c r="N47" s="153">
        <v>3.2000000000000001E-2</v>
      </c>
    </row>
    <row r="48" spans="2:14" x14ac:dyDescent="0.25">
      <c r="B48" s="153" t="s">
        <v>925</v>
      </c>
      <c r="C48" s="153">
        <v>1</v>
      </c>
      <c r="E48" s="153" t="s">
        <v>10</v>
      </c>
      <c r="F48" s="153">
        <v>0.99</v>
      </c>
      <c r="G48" s="153" t="s">
        <v>926</v>
      </c>
      <c r="I48" s="153" t="s">
        <v>45</v>
      </c>
      <c r="J48" s="153">
        <v>0.31369999999999998</v>
      </c>
      <c r="L48" s="92" t="s">
        <v>927</v>
      </c>
      <c r="M48" s="153" t="s">
        <v>45</v>
      </c>
      <c r="N48" s="153">
        <v>0.16400000000000001</v>
      </c>
    </row>
    <row r="49" spans="1:14" x14ac:dyDescent="0.25">
      <c r="I49" s="153" t="s">
        <v>277</v>
      </c>
      <c r="J49" s="153">
        <v>0.59819999999999995</v>
      </c>
      <c r="L49" s="92" t="s">
        <v>928</v>
      </c>
      <c r="M49" s="153" t="s">
        <v>277</v>
      </c>
      <c r="N49" s="153">
        <v>0.80200000000000005</v>
      </c>
    </row>
    <row r="50" spans="1:14" x14ac:dyDescent="0.25">
      <c r="I50" s="153" t="s">
        <v>6</v>
      </c>
      <c r="J50" s="153">
        <v>1.0999999999999999E-2</v>
      </c>
      <c r="L50" s="92" t="s">
        <v>929</v>
      </c>
      <c r="M50" s="153" t="s">
        <v>6</v>
      </c>
      <c r="N50" s="153">
        <v>2E-3</v>
      </c>
    </row>
    <row r="51" spans="1:14" x14ac:dyDescent="0.25">
      <c r="I51" s="156" t="s">
        <v>46</v>
      </c>
      <c r="J51" s="92">
        <f>SUM(J47:J50)</f>
        <v>0.99999999999999989</v>
      </c>
      <c r="M51" s="156" t="s">
        <v>46</v>
      </c>
      <c r="N51" s="92">
        <f>SUM(N47:N50)</f>
        <v>1</v>
      </c>
    </row>
    <row r="53" spans="1:14" x14ac:dyDescent="0.25">
      <c r="B53" s="157" t="s">
        <v>930</v>
      </c>
      <c r="C53" s="153"/>
      <c r="E53" s="152" t="s">
        <v>931</v>
      </c>
      <c r="F53" s="152"/>
      <c r="G53" s="153"/>
    </row>
    <row r="54" spans="1:14" x14ac:dyDescent="0.25">
      <c r="B54" s="157" t="s">
        <v>932</v>
      </c>
      <c r="C54" s="153"/>
      <c r="E54" s="152" t="s">
        <v>933</v>
      </c>
      <c r="F54" s="152"/>
      <c r="G54" s="153"/>
    </row>
    <row r="55" spans="1:14" x14ac:dyDescent="0.25">
      <c r="B55" s="158" t="s">
        <v>934</v>
      </c>
      <c r="C55" s="159"/>
      <c r="E55" s="158" t="s">
        <v>935</v>
      </c>
      <c r="F55" s="160"/>
      <c r="G55" s="159"/>
    </row>
    <row r="56" spans="1:14" x14ac:dyDescent="0.25">
      <c r="B56" s="153" t="s">
        <v>936</v>
      </c>
      <c r="C56" s="153">
        <f>C47*N48</f>
        <v>9.9039435999999998</v>
      </c>
      <c r="E56" s="161" t="s">
        <v>937</v>
      </c>
      <c r="F56" s="161">
        <f>C47*N49</f>
        <v>48.432699800000002</v>
      </c>
    </row>
    <row r="57" spans="1:14" x14ac:dyDescent="0.25">
      <c r="B57" s="153" t="s">
        <v>938</v>
      </c>
      <c r="C57" s="153">
        <f>C56*F47</f>
        <v>9.8940396564000004</v>
      </c>
      <c r="E57" s="153" t="s">
        <v>939</v>
      </c>
      <c r="F57" s="153">
        <f>F56-F58</f>
        <v>0.48432699800000023</v>
      </c>
    </row>
    <row r="58" spans="1:14" x14ac:dyDescent="0.25">
      <c r="B58" s="153" t="s">
        <v>940</v>
      </c>
      <c r="C58" s="153">
        <f>C56-C57</f>
        <v>9.9039435999994652E-3</v>
      </c>
      <c r="E58" s="153" t="s">
        <v>941</v>
      </c>
      <c r="F58" s="153">
        <f>F56*F48</f>
        <v>47.948372802000002</v>
      </c>
    </row>
    <row r="61" spans="1:14" x14ac:dyDescent="0.25">
      <c r="B61" s="152" t="s">
        <v>942</v>
      </c>
      <c r="C61" s="152" t="s">
        <v>943</v>
      </c>
      <c r="D61" s="152"/>
      <c r="E61" s="152" t="s">
        <v>944</v>
      </c>
      <c r="F61" s="152"/>
      <c r="G61" s="152" t="s">
        <v>945</v>
      </c>
      <c r="H61" s="152"/>
      <c r="K61" s="92" t="s">
        <v>946</v>
      </c>
    </row>
    <row r="62" spans="1:14" x14ac:dyDescent="0.25">
      <c r="B62" s="152"/>
      <c r="C62" s="153" t="s">
        <v>947</v>
      </c>
      <c r="D62" s="153" t="s">
        <v>948</v>
      </c>
      <c r="E62" s="153" t="s">
        <v>949</v>
      </c>
      <c r="F62" s="153" t="s">
        <v>950</v>
      </c>
      <c r="G62" s="153" t="s">
        <v>951</v>
      </c>
      <c r="H62" s="153" t="s">
        <v>952</v>
      </c>
      <c r="K62" s="92" t="s">
        <v>953</v>
      </c>
    </row>
    <row r="63" spans="1:14" x14ac:dyDescent="0.25">
      <c r="A63" s="153" t="s">
        <v>924</v>
      </c>
      <c r="B63" s="153" t="s">
        <v>5</v>
      </c>
      <c r="C63" s="153">
        <f>N47</f>
        <v>3.2000000000000001E-2</v>
      </c>
      <c r="D63" s="153">
        <f>C63*C47</f>
        <v>1.9324767999999999</v>
      </c>
      <c r="E63" s="153">
        <f>0</f>
        <v>0</v>
      </c>
      <c r="F63" s="153">
        <f>0</f>
        <v>0</v>
      </c>
      <c r="G63" s="153">
        <f>0.11</f>
        <v>0.11</v>
      </c>
      <c r="H63" s="153">
        <f>G63*H67</f>
        <v>5.5012686680160003</v>
      </c>
    </row>
    <row r="64" spans="1:14" x14ac:dyDescent="0.25">
      <c r="A64" s="153" t="s">
        <v>927</v>
      </c>
      <c r="B64" s="153" t="s">
        <v>45</v>
      </c>
      <c r="C64" s="153">
        <f t="shared" ref="C64" si="4">D64/$D$67</f>
        <v>0.16399999999999998</v>
      </c>
      <c r="D64" s="153">
        <f>C56</f>
        <v>9.9039435999999998</v>
      </c>
      <c r="E64" s="153">
        <f>F64/$F$67</f>
        <v>0.95333302299599665</v>
      </c>
      <c r="F64" s="153">
        <f>C57</f>
        <v>9.8940396564000004</v>
      </c>
      <c r="G64" s="153">
        <f>H64/$H$67</f>
        <v>1.980331922950491E-4</v>
      </c>
      <c r="H64" s="153">
        <f>C58</f>
        <v>9.9039435999994652E-3</v>
      </c>
    </row>
    <row r="65" spans="1:29" x14ac:dyDescent="0.25">
      <c r="A65" s="153" t="s">
        <v>928</v>
      </c>
      <c r="B65" s="153" t="s">
        <v>277</v>
      </c>
      <c r="C65" s="153">
        <f>D65/$D$67</f>
        <v>0.80199999999999994</v>
      </c>
      <c r="D65" s="153">
        <f>F56</f>
        <v>48.432699800000002</v>
      </c>
      <c r="E65" s="153">
        <f>F65/$F$67</f>
        <v>4.6666977004003372E-2</v>
      </c>
      <c r="F65" s="153">
        <f>F57</f>
        <v>0.48432699800000023</v>
      </c>
      <c r="G65" s="153">
        <f>H65/$H$67</f>
        <v>0.95874630499043645</v>
      </c>
      <c r="H65" s="153">
        <f>F58</f>
        <v>47.948372802000002</v>
      </c>
    </row>
    <row r="66" spans="1:29" x14ac:dyDescent="0.25">
      <c r="A66" s="153" t="s">
        <v>929</v>
      </c>
      <c r="B66" s="153" t="s">
        <v>6</v>
      </c>
      <c r="C66" s="153">
        <f>N50</f>
        <v>2E-3</v>
      </c>
      <c r="D66" s="153">
        <f>C66*C47</f>
        <v>0.12077979999999999</v>
      </c>
      <c r="E66" s="153">
        <f>0</f>
        <v>0</v>
      </c>
      <c r="F66" s="153">
        <f>0</f>
        <v>0</v>
      </c>
      <c r="G66" s="153">
        <v>1.5599999999999999E-2</v>
      </c>
      <c r="H66" s="153">
        <f>G66*H67</f>
        <v>0.78017992019135995</v>
      </c>
    </row>
    <row r="67" spans="1:29" x14ac:dyDescent="0.25">
      <c r="B67" s="153" t="s">
        <v>273</v>
      </c>
      <c r="C67" s="153">
        <f>SUM(C63:C66)</f>
        <v>0.99999999999999989</v>
      </c>
      <c r="D67" s="153">
        <f t="shared" ref="D67:G67" si="5">SUM(D63:D66)</f>
        <v>60.389900000000004</v>
      </c>
      <c r="E67" s="153">
        <f t="shared" si="5"/>
        <v>1</v>
      </c>
      <c r="F67" s="153">
        <f t="shared" si="5"/>
        <v>10.378366654400001</v>
      </c>
      <c r="G67" s="153">
        <f t="shared" si="5"/>
        <v>1.0845443381827315</v>
      </c>
      <c r="H67" s="153">
        <f>D67-F67</f>
        <v>50.0115333456</v>
      </c>
    </row>
    <row r="69" spans="1:29" x14ac:dyDescent="0.25">
      <c r="T69" s="152" t="s">
        <v>954</v>
      </c>
      <c r="U69" s="152"/>
      <c r="X69" s="154" t="s">
        <v>955</v>
      </c>
      <c r="Y69" s="154"/>
    </row>
    <row r="70" spans="1:29" x14ac:dyDescent="0.25">
      <c r="T70" s="153" t="s">
        <v>956</v>
      </c>
      <c r="U70" s="153">
        <f>E75</f>
        <v>7.6718841763810907E-6</v>
      </c>
    </row>
    <row r="71" spans="1:29" x14ac:dyDescent="0.25">
      <c r="B71" s="152" t="s">
        <v>957</v>
      </c>
      <c r="C71" s="152"/>
      <c r="D71" s="153"/>
      <c r="E71" s="153"/>
      <c r="F71" s="153"/>
      <c r="G71" s="153"/>
      <c r="I71" s="162" t="s">
        <v>958</v>
      </c>
      <c r="J71" s="163">
        <v>76.862270427634584</v>
      </c>
      <c r="K71" s="164" t="s">
        <v>928</v>
      </c>
      <c r="L71" s="153" t="s">
        <v>959</v>
      </c>
      <c r="M71" s="153" t="s">
        <v>924</v>
      </c>
      <c r="N71" s="153" t="s">
        <v>927</v>
      </c>
      <c r="O71" s="153" t="s">
        <v>928</v>
      </c>
      <c r="P71" s="153" t="s">
        <v>960</v>
      </c>
      <c r="Q71" s="153" t="s">
        <v>961</v>
      </c>
      <c r="T71" s="153" t="s">
        <v>962</v>
      </c>
      <c r="U71" s="153">
        <f>E86</f>
        <v>1.2285221342163287E-5</v>
      </c>
      <c r="X71" s="152" t="s">
        <v>963</v>
      </c>
      <c r="Y71" s="152"/>
    </row>
    <row r="72" spans="1:29" x14ac:dyDescent="0.25">
      <c r="B72" s="157"/>
      <c r="C72" s="157"/>
      <c r="D72" s="153"/>
      <c r="E72" s="153"/>
      <c r="F72" s="153"/>
      <c r="G72" s="153"/>
      <c r="I72" s="162"/>
      <c r="J72" s="163"/>
      <c r="K72" s="164"/>
      <c r="L72" s="153"/>
      <c r="M72" s="153"/>
      <c r="N72" s="153"/>
      <c r="O72" s="153"/>
      <c r="P72" s="153"/>
      <c r="Q72" s="153"/>
      <c r="T72" s="153" t="s">
        <v>964</v>
      </c>
      <c r="U72" s="153">
        <f>SQRT(U70*U71)</f>
        <v>9.7082848752126029E-6</v>
      </c>
      <c r="X72" s="153" t="s">
        <v>965</v>
      </c>
      <c r="Y72" s="153">
        <f>J71</f>
        <v>76.862270427634584</v>
      </c>
      <c r="Z72" s="165" t="s">
        <v>928</v>
      </c>
    </row>
    <row r="73" spans="1:29" x14ac:dyDescent="0.25">
      <c r="B73" s="153" t="s">
        <v>966</v>
      </c>
      <c r="C73" s="153" t="s">
        <v>949</v>
      </c>
      <c r="D73" s="153" t="s">
        <v>967</v>
      </c>
      <c r="E73" s="166" t="s">
        <v>968</v>
      </c>
      <c r="F73" s="153" t="s">
        <v>969</v>
      </c>
      <c r="G73" s="153" t="s">
        <v>970</v>
      </c>
      <c r="I73" s="162"/>
      <c r="J73" s="153">
        <f>J71+273</f>
        <v>349.8622704276346</v>
      </c>
      <c r="K73" s="164" t="s">
        <v>971</v>
      </c>
      <c r="L73" s="153" t="s">
        <v>45</v>
      </c>
      <c r="M73" s="153">
        <v>5.3722899999999996</v>
      </c>
      <c r="N73" s="153">
        <v>1670.4090000000001</v>
      </c>
      <c r="O73" s="153">
        <v>-40.191000000000003</v>
      </c>
      <c r="P73" s="153">
        <f>10^($M73-(N73/($J$73+O73)))</f>
        <v>0.95094156825847109</v>
      </c>
      <c r="Q73" s="153">
        <f>P73/$C$48</f>
        <v>0.95094156825847109</v>
      </c>
      <c r="T73" s="153" t="s">
        <v>972</v>
      </c>
      <c r="U73" s="153">
        <f>F67*C75</f>
        <v>9.8940396564000004</v>
      </c>
      <c r="X73" s="153" t="s">
        <v>973</v>
      </c>
      <c r="Y73" s="153">
        <f>J84</f>
        <v>94.650781420813658</v>
      </c>
      <c r="Z73" s="165"/>
    </row>
    <row r="74" spans="1:29" x14ac:dyDescent="0.25">
      <c r="B74" s="153"/>
      <c r="C74" s="153"/>
      <c r="D74" s="153"/>
      <c r="E74" s="153"/>
      <c r="F74" s="153"/>
      <c r="G74" s="153"/>
      <c r="L74" s="153" t="s">
        <v>277</v>
      </c>
      <c r="M74" s="153">
        <v>8.1401909999999997</v>
      </c>
      <c r="N74" s="153">
        <v>1810.94</v>
      </c>
      <c r="O74" s="153">
        <v>244.48500000000001</v>
      </c>
      <c r="P74" s="153">
        <f>10^($M74-(N74/($J$73+O74)))</f>
        <v>123951.50218587376</v>
      </c>
      <c r="Q74" s="153">
        <f t="shared" ref="Q74" si="6">P74/$C$48</f>
        <v>123951.50218587376</v>
      </c>
      <c r="T74" s="153" t="s">
        <v>974</v>
      </c>
      <c r="U74" s="153">
        <f>F67*C76</f>
        <v>0.48432699800000023</v>
      </c>
      <c r="X74" s="152" t="s">
        <v>975</v>
      </c>
      <c r="Y74" s="153">
        <f>(Y72+Y73)/2</f>
        <v>85.756525924224121</v>
      </c>
    </row>
    <row r="75" spans="1:29" x14ac:dyDescent="0.25">
      <c r="B75" s="153" t="s">
        <v>45</v>
      </c>
      <c r="C75" s="153">
        <f>E64</f>
        <v>0.95333302299599665</v>
      </c>
      <c r="D75" s="153">
        <f t="shared" ref="D75" si="7">Q73</f>
        <v>0.95094156825847109</v>
      </c>
      <c r="E75" s="153">
        <f>D75/$D$76</f>
        <v>7.6718841763810907E-6</v>
      </c>
      <c r="F75" s="153">
        <f>C75/E75</f>
        <v>124263.21892749089</v>
      </c>
      <c r="G75" s="153">
        <f t="shared" ref="G75" si="8">C75/D75</f>
        <v>1.0025148282684764</v>
      </c>
      <c r="L75" s="153"/>
      <c r="M75" s="153"/>
      <c r="N75" s="153"/>
      <c r="O75" s="153"/>
      <c r="P75" s="153"/>
      <c r="Q75" s="153"/>
      <c r="T75" s="153" t="s">
        <v>976</v>
      </c>
      <c r="U75" s="153">
        <f>H67*C87</f>
        <v>47.948372802000002</v>
      </c>
      <c r="X75" s="152"/>
      <c r="Y75" s="153">
        <f>Y74+273</f>
        <v>358.75652592422409</v>
      </c>
      <c r="Z75" s="92" t="s">
        <v>971</v>
      </c>
    </row>
    <row r="76" spans="1:29" x14ac:dyDescent="0.25">
      <c r="A76" s="92" t="s">
        <v>928</v>
      </c>
      <c r="B76" s="153" t="s">
        <v>277</v>
      </c>
      <c r="C76" s="153">
        <f>E65</f>
        <v>4.6666977004003372E-2</v>
      </c>
      <c r="D76" s="153">
        <f>Q74</f>
        <v>123951.50218587376</v>
      </c>
      <c r="E76" s="153">
        <f>D76/$D$76</f>
        <v>1</v>
      </c>
      <c r="F76" s="153">
        <f>C76/E76</f>
        <v>4.6666977004003372E-2</v>
      </c>
      <c r="G76" s="153">
        <f>C76/D76</f>
        <v>3.7649383977632677E-7</v>
      </c>
      <c r="T76" s="153" t="s">
        <v>977</v>
      </c>
      <c r="U76" s="153">
        <f>H67*C86</f>
        <v>9.9039435999994652E-3</v>
      </c>
    </row>
    <row r="77" spans="1:29" x14ac:dyDescent="0.25">
      <c r="B77" s="153"/>
      <c r="C77" s="153"/>
      <c r="D77" s="153"/>
      <c r="E77" s="153"/>
      <c r="F77" s="153"/>
      <c r="G77" s="153"/>
    </row>
    <row r="78" spans="1:29" x14ac:dyDescent="0.25">
      <c r="B78" s="153" t="s">
        <v>273</v>
      </c>
      <c r="C78" s="153">
        <f>SUM(C74:C77)</f>
        <v>1</v>
      </c>
      <c r="D78" s="153"/>
      <c r="E78" s="153"/>
      <c r="F78" s="153"/>
      <c r="G78" s="153">
        <f>SUM(G74:G77)</f>
        <v>1.0025152047623163</v>
      </c>
      <c r="X78" s="153" t="s">
        <v>959</v>
      </c>
      <c r="Y78" s="153" t="s">
        <v>924</v>
      </c>
      <c r="Z78" s="153" t="s">
        <v>927</v>
      </c>
      <c r="AA78" s="153" t="s">
        <v>928</v>
      </c>
      <c r="AB78" s="153" t="s">
        <v>960</v>
      </c>
      <c r="AC78" s="153" t="s">
        <v>961</v>
      </c>
    </row>
    <row r="79" spans="1:29" x14ac:dyDescent="0.25">
      <c r="T79" s="152" t="s">
        <v>978</v>
      </c>
      <c r="U79" s="152"/>
      <c r="X79" s="153"/>
      <c r="Y79" s="153"/>
      <c r="Z79" s="153"/>
      <c r="AA79" s="153"/>
      <c r="AB79" s="153"/>
      <c r="AC79" s="153"/>
    </row>
    <row r="80" spans="1:29" x14ac:dyDescent="0.25">
      <c r="T80" s="153" t="s">
        <v>979</v>
      </c>
      <c r="U80" s="153">
        <f>-7.59*LOG((U73/U74)*(U75/U76))/(LOG(U72))</f>
        <v>7.5632657162442118</v>
      </c>
      <c r="X80" s="153" t="s">
        <v>45</v>
      </c>
      <c r="Y80" s="153">
        <v>5.3722899999999996</v>
      </c>
      <c r="Z80" s="153">
        <v>1670.4090000000001</v>
      </c>
      <c r="AA80" s="153">
        <v>-40.191000000000003</v>
      </c>
      <c r="AB80" s="153">
        <f>10^($M80-(Z80/(Y75+AA80)))</f>
        <v>5.7077707608293016E-6</v>
      </c>
      <c r="AC80" s="153">
        <f>AB80/$C$48</f>
        <v>5.7077707608293016E-6</v>
      </c>
    </row>
    <row r="81" spans="1:32" x14ac:dyDescent="0.25">
      <c r="T81" s="153" t="s">
        <v>980</v>
      </c>
      <c r="U81" s="153">
        <f>U80-1</f>
        <v>6.5632657162442118</v>
      </c>
      <c r="X81" s="153" t="s">
        <v>277</v>
      </c>
      <c r="Y81" s="153">
        <v>8.1401909999999997</v>
      </c>
      <c r="Z81" s="153">
        <v>1810.94</v>
      </c>
      <c r="AA81" s="153">
        <v>244.48500000000001</v>
      </c>
      <c r="AB81" s="153">
        <f>10^($M81-(Z81/(Y75+AA81)))</f>
        <v>9.9537145368936157E-4</v>
      </c>
      <c r="AC81" s="153">
        <f t="shared" ref="AC81" si="9">AB81/$C$48</f>
        <v>9.9537145368936157E-4</v>
      </c>
    </row>
    <row r="82" spans="1:32" x14ac:dyDescent="0.25">
      <c r="X82" s="153"/>
      <c r="Y82" s="153"/>
      <c r="Z82" s="153"/>
      <c r="AA82" s="153"/>
      <c r="AB82" s="153"/>
      <c r="AC82" s="153"/>
    </row>
    <row r="83" spans="1:32" x14ac:dyDescent="0.25">
      <c r="L83" s="153" t="s">
        <v>959</v>
      </c>
      <c r="M83" s="153" t="s">
        <v>924</v>
      </c>
      <c r="N83" s="153" t="s">
        <v>927</v>
      </c>
      <c r="O83" s="153" t="s">
        <v>928</v>
      </c>
      <c r="P83" s="153" t="s">
        <v>960</v>
      </c>
      <c r="Q83" s="153" t="s">
        <v>961</v>
      </c>
    </row>
    <row r="84" spans="1:32" ht="30" x14ac:dyDescent="0.25">
      <c r="B84" s="152" t="s">
        <v>981</v>
      </c>
      <c r="C84" s="152"/>
      <c r="D84" s="153"/>
      <c r="E84" s="153"/>
      <c r="F84" s="153"/>
      <c r="G84" s="153"/>
      <c r="I84" s="167" t="s">
        <v>958</v>
      </c>
      <c r="J84" s="168">
        <v>94.650781420813658</v>
      </c>
      <c r="K84" s="92" t="s">
        <v>928</v>
      </c>
      <c r="L84" s="153" t="s">
        <v>45</v>
      </c>
      <c r="M84" s="153">
        <v>5.3722899999999996</v>
      </c>
      <c r="N84" s="153">
        <v>1670.4090000000001</v>
      </c>
      <c r="O84" s="153">
        <v>-40.191000000000003</v>
      </c>
      <c r="P84" s="153">
        <f>10^(M84-(N84/($J$85+O84)))</f>
        <v>1.867145071722097</v>
      </c>
      <c r="Q84" s="153">
        <f>P84/$C$48</f>
        <v>1.867145071722097</v>
      </c>
      <c r="T84" s="169" t="s">
        <v>982</v>
      </c>
      <c r="U84" s="153">
        <f>0.7</f>
        <v>0.7</v>
      </c>
      <c r="AD84" s="92" t="s">
        <v>924</v>
      </c>
    </row>
    <row r="85" spans="1:32" x14ac:dyDescent="0.25">
      <c r="B85" s="153" t="s">
        <v>966</v>
      </c>
      <c r="C85" s="153" t="s">
        <v>951</v>
      </c>
      <c r="D85" s="153" t="s">
        <v>967</v>
      </c>
      <c r="E85" s="166" t="s">
        <v>968</v>
      </c>
      <c r="F85" s="153" t="s">
        <v>983</v>
      </c>
      <c r="G85" s="153" t="s">
        <v>984</v>
      </c>
      <c r="I85" s="170"/>
      <c r="J85" s="153">
        <f>J84+273</f>
        <v>367.65078142081364</v>
      </c>
      <c r="K85" s="92" t="s">
        <v>971</v>
      </c>
      <c r="L85" s="153" t="s">
        <v>277</v>
      </c>
      <c r="M85" s="153">
        <v>8.1401909999999997</v>
      </c>
      <c r="N85" s="153">
        <v>1810.94</v>
      </c>
      <c r="O85" s="153">
        <v>244.48500000000001</v>
      </c>
      <c r="P85" s="153">
        <f>10^(M85-(N85/($J$85+O85)))</f>
        <v>151983.0225047711</v>
      </c>
      <c r="Q85" s="153">
        <f>P85/$C$48</f>
        <v>151983.0225047711</v>
      </c>
      <c r="X85" s="153" t="s">
        <v>966</v>
      </c>
      <c r="Y85" s="153" t="s">
        <v>947</v>
      </c>
      <c r="Z85" s="153" t="s">
        <v>949</v>
      </c>
      <c r="AA85" s="153" t="s">
        <v>967</v>
      </c>
      <c r="AB85" s="153" t="s">
        <v>985</v>
      </c>
      <c r="AC85" s="153" t="s">
        <v>951</v>
      </c>
      <c r="AD85" s="153" t="s">
        <v>986</v>
      </c>
      <c r="AE85" s="153" t="s">
        <v>987</v>
      </c>
    </row>
    <row r="86" spans="1:32" x14ac:dyDescent="0.25">
      <c r="B86" s="153" t="s">
        <v>45</v>
      </c>
      <c r="C86" s="153">
        <f>G64</f>
        <v>1.980331922950491E-4</v>
      </c>
      <c r="D86" s="153">
        <f>Q84</f>
        <v>1.867145071722097</v>
      </c>
      <c r="E86" s="153">
        <f>D86/$D$87</f>
        <v>1.2285221342163287E-5</v>
      </c>
      <c r="F86" s="153">
        <f>E86*C86</f>
        <v>2.4328816004398633E-9</v>
      </c>
      <c r="G86" s="153">
        <f>C86*D86</f>
        <v>3.6975669903109527E-4</v>
      </c>
      <c r="L86" s="163" t="s">
        <v>5</v>
      </c>
      <c r="M86" s="163"/>
      <c r="N86" s="163"/>
      <c r="O86" s="163"/>
      <c r="P86" s="163"/>
      <c r="Q86" s="163"/>
      <c r="X86" s="153" t="s">
        <v>5</v>
      </c>
      <c r="Y86" s="153"/>
      <c r="Z86" s="153"/>
      <c r="AA86" s="153">
        <f>0</f>
        <v>0</v>
      </c>
      <c r="AB86" s="153">
        <f>AA86/AA88</f>
        <v>0</v>
      </c>
      <c r="AC86" s="153">
        <f>0</f>
        <v>0</v>
      </c>
      <c r="AD86" s="153">
        <f>0</f>
        <v>0</v>
      </c>
      <c r="AE86" s="153">
        <f>0</f>
        <v>0</v>
      </c>
    </row>
    <row r="87" spans="1:32" x14ac:dyDescent="0.25">
      <c r="A87" s="92" t="s">
        <v>928</v>
      </c>
      <c r="B87" s="153" t="s">
        <v>10</v>
      </c>
      <c r="C87" s="153">
        <f>G65</f>
        <v>0.95874630499043645</v>
      </c>
      <c r="D87" s="153">
        <f>Q85</f>
        <v>151983.0225047711</v>
      </c>
      <c r="E87" s="153">
        <f>D87/$D$87</f>
        <v>1</v>
      </c>
      <c r="F87" s="153">
        <f>E87*C87</f>
        <v>0.95874630499043645</v>
      </c>
      <c r="G87" s="153">
        <f>C87*D87</f>
        <v>145713.16124772764</v>
      </c>
      <c r="L87" s="153" t="s">
        <v>6</v>
      </c>
      <c r="M87" s="153"/>
      <c r="N87" s="153"/>
      <c r="O87" s="153"/>
      <c r="P87" s="153"/>
      <c r="Q87" s="153"/>
      <c r="X87" s="153" t="s">
        <v>45</v>
      </c>
      <c r="Y87" s="153">
        <f t="shared" ref="Y87:Y90" si="10">C64</f>
        <v>0.16399999999999998</v>
      </c>
      <c r="Z87" s="153">
        <f t="shared" ref="Z87:Z89" si="11">E64</f>
        <v>0.95333302299599665</v>
      </c>
      <c r="AA87" s="153">
        <f>AC80</f>
        <v>5.7077707608293016E-6</v>
      </c>
      <c r="AB87" s="153">
        <f>AA87/AA88</f>
        <v>5.7343122908270578E-3</v>
      </c>
      <c r="AC87" s="153">
        <f>0.0413</f>
        <v>4.1300000000000003E-2</v>
      </c>
      <c r="AD87" s="153">
        <f>((AB87*Y87))/(AB87-$Y$92)</f>
        <v>0.40919082968962434</v>
      </c>
      <c r="AE87" s="153">
        <f>(AB87*Z87)/(AB87-$Y$92)</f>
        <v>2.3786288454283513</v>
      </c>
    </row>
    <row r="88" spans="1:32" x14ac:dyDescent="0.25">
      <c r="B88" s="153" t="s">
        <v>5</v>
      </c>
      <c r="C88" s="153">
        <f>G63</f>
        <v>0.11</v>
      </c>
      <c r="D88" s="153">
        <f>-856678</f>
        <v>-856678</v>
      </c>
      <c r="E88" s="153">
        <f>D88/D87</f>
        <v>-5.6366690560658306</v>
      </c>
      <c r="F88" s="153">
        <f>C88*E88</f>
        <v>-0.62003359616724141</v>
      </c>
      <c r="G88" s="153">
        <f>C88*D88</f>
        <v>-94234.58</v>
      </c>
      <c r="X88" s="153" t="s">
        <v>277</v>
      </c>
      <c r="Y88" s="153">
        <f>0.836</f>
        <v>0.83599999999999997</v>
      </c>
      <c r="Z88" s="153">
        <f t="shared" si="11"/>
        <v>4.6666977004003372E-2</v>
      </c>
      <c r="AA88" s="153">
        <f t="shared" ref="AA88:AA89" si="12">AC81</f>
        <v>9.9537145368936157E-4</v>
      </c>
      <c r="AB88" s="153">
        <f>AA88/AA88</f>
        <v>1</v>
      </c>
      <c r="AC88" s="153">
        <f>C87</f>
        <v>0.95874630499043645</v>
      </c>
      <c r="AD88" s="153">
        <f>((AB88*Y88))/(AB88-$Y$92)</f>
        <v>0.83888244332721984</v>
      </c>
      <c r="AE88" s="153">
        <f>(AB88*Z88)/(AB88-$Y$92)</f>
        <v>4.6827880014131018E-2</v>
      </c>
    </row>
    <row r="89" spans="1:32" x14ac:dyDescent="0.25">
      <c r="B89" s="153" t="s">
        <v>6</v>
      </c>
      <c r="C89" s="153">
        <f>G66</f>
        <v>1.5599999999999999E-2</v>
      </c>
      <c r="D89" s="153">
        <f>-3299845</f>
        <v>-3299845</v>
      </c>
      <c r="E89" s="153">
        <f>D89/D87</f>
        <v>-21.711931672476183</v>
      </c>
      <c r="F89" s="153">
        <f>C89*E89</f>
        <v>-0.33870613409062844</v>
      </c>
      <c r="G89" s="153">
        <f>C89*D89</f>
        <v>-51477.581999999995</v>
      </c>
      <c r="X89" s="153" t="s">
        <v>6</v>
      </c>
      <c r="Y89" s="153"/>
      <c r="Z89" s="153">
        <f t="shared" si="11"/>
        <v>0</v>
      </c>
      <c r="AA89" s="153">
        <f t="shared" si="12"/>
        <v>0</v>
      </c>
      <c r="AB89" s="153">
        <f>AA89/AA88</f>
        <v>0</v>
      </c>
      <c r="AC89" s="153">
        <f>0</f>
        <v>0</v>
      </c>
      <c r="AD89" s="153">
        <f>0</f>
        <v>0</v>
      </c>
      <c r="AE89" s="153">
        <f>0</f>
        <v>0</v>
      </c>
    </row>
    <row r="90" spans="1:32" ht="30" x14ac:dyDescent="0.25">
      <c r="B90" s="153" t="s">
        <v>273</v>
      </c>
      <c r="C90" s="153">
        <f>SUM(C86:C89)</f>
        <v>1.0845443381827315</v>
      </c>
      <c r="D90" s="153"/>
      <c r="E90" s="153"/>
      <c r="F90" s="153">
        <f>SUM(F86:F89)</f>
        <v>6.5771654481627806E-6</v>
      </c>
      <c r="G90" s="153">
        <f>SUM(G86:G89)</f>
        <v>0.99961748432542663</v>
      </c>
      <c r="T90" s="169" t="s">
        <v>988</v>
      </c>
      <c r="U90" s="153">
        <f>1.2*U84*(AB101-1)</f>
        <v>8.5670051639437705</v>
      </c>
      <c r="X90" s="153" t="s">
        <v>273</v>
      </c>
      <c r="Y90" s="153">
        <f t="shared" si="10"/>
        <v>0.99999999999999989</v>
      </c>
      <c r="Z90" s="153">
        <f>SUM(Z86:Z89)</f>
        <v>1</v>
      </c>
      <c r="AA90" s="153"/>
      <c r="AB90" s="153"/>
      <c r="AC90" s="153"/>
      <c r="AD90" s="153">
        <f>SUM(AD86:AD89)</f>
        <v>1.2480732730168442</v>
      </c>
      <c r="AE90" s="153">
        <f>SUM(AE86:AE89)</f>
        <v>2.4254567254424821</v>
      </c>
    </row>
    <row r="92" spans="1:32" x14ac:dyDescent="0.25">
      <c r="X92" s="153" t="s">
        <v>989</v>
      </c>
      <c r="Y92" s="153">
        <v>3.4360515590091882E-3</v>
      </c>
    </row>
    <row r="93" spans="1:32" x14ac:dyDescent="0.25">
      <c r="X93" s="153" t="s">
        <v>990</v>
      </c>
      <c r="Y93" s="153">
        <f>AE90</f>
        <v>2.4254567254424821</v>
      </c>
      <c r="AA93" s="152" t="s">
        <v>991</v>
      </c>
      <c r="AB93" s="152"/>
      <c r="AE93" s="152" t="s">
        <v>992</v>
      </c>
      <c r="AF93" s="152"/>
    </row>
    <row r="94" spans="1:32" x14ac:dyDescent="0.25">
      <c r="B94" s="92" t="s">
        <v>993</v>
      </c>
      <c r="X94" s="153" t="s">
        <v>994</v>
      </c>
      <c r="Y94" s="153">
        <f>Y93-1</f>
        <v>1.4254567254424821</v>
      </c>
      <c r="AA94" s="152" t="s">
        <v>995</v>
      </c>
      <c r="AB94" s="152"/>
      <c r="AE94" s="153" t="s">
        <v>996</v>
      </c>
      <c r="AF94" s="153">
        <f>0.206*LOG((Y88/Y87)*(H67/F67)*((AC87/Z88)^2))</f>
        <v>0.26454197714408995</v>
      </c>
    </row>
    <row r="95" spans="1:32" x14ac:dyDescent="0.25">
      <c r="X95" s="153"/>
      <c r="Y95" s="153"/>
      <c r="AA95" s="153"/>
      <c r="AB95" s="153"/>
      <c r="AE95" s="153" t="s">
        <v>997</v>
      </c>
      <c r="AF95" s="153">
        <f>10^AF94</f>
        <v>1.8388316792906938</v>
      </c>
    </row>
    <row r="96" spans="1:32" x14ac:dyDescent="0.25">
      <c r="AA96" s="153" t="s">
        <v>887</v>
      </c>
      <c r="AB96" s="153">
        <f>1.5*Y94</f>
        <v>2.1381850881637234</v>
      </c>
      <c r="AE96" s="153" t="s">
        <v>998</v>
      </c>
      <c r="AF96" s="153">
        <f>AB100</f>
        <v>12.198815671361633</v>
      </c>
    </row>
    <row r="97" spans="27:33" x14ac:dyDescent="0.25">
      <c r="AA97" s="153" t="s">
        <v>999</v>
      </c>
      <c r="AB97" s="153">
        <f>AB96/(AB96+1)</f>
        <v>0.6813444803585057</v>
      </c>
      <c r="AE97" s="153" t="s">
        <v>1000</v>
      </c>
      <c r="AF97" s="153">
        <f>AF96-AF98</f>
        <v>7.9016902868761356</v>
      </c>
      <c r="AG97" s="153" t="s">
        <v>1001</v>
      </c>
    </row>
    <row r="98" spans="27:33" x14ac:dyDescent="0.25">
      <c r="AA98" s="153" t="s">
        <v>1002</v>
      </c>
      <c r="AB98" s="153">
        <f>Y94/(Y94+1)</f>
        <v>0.58770651749411551</v>
      </c>
      <c r="AE98" s="153" t="s">
        <v>1003</v>
      </c>
      <c r="AF98" s="153">
        <f>AF96/(AF95+1)</f>
        <v>4.2971253844854971</v>
      </c>
    </row>
    <row r="99" spans="27:33" x14ac:dyDescent="0.25">
      <c r="AA99" s="153" t="s">
        <v>1004</v>
      </c>
      <c r="AB99" s="153">
        <f>0.62</f>
        <v>0.62</v>
      </c>
    </row>
    <row r="100" spans="27:33" x14ac:dyDescent="0.25">
      <c r="AA100" s="152" t="s">
        <v>1005</v>
      </c>
      <c r="AB100" s="153">
        <f>U80/AB99</f>
        <v>12.198815671361633</v>
      </c>
      <c r="AC100" s="153" t="s">
        <v>1006</v>
      </c>
      <c r="AE100" s="153" t="s">
        <v>1007</v>
      </c>
      <c r="AF100" s="153">
        <f>AF97/AF98</f>
        <v>1.838831679290694</v>
      </c>
    </row>
    <row r="101" spans="27:33" x14ac:dyDescent="0.25">
      <c r="AA101" s="152"/>
      <c r="AB101" s="153">
        <f>AB100-1</f>
        <v>11.198815671361633</v>
      </c>
      <c r="AC101" s="153" t="s">
        <v>1008</v>
      </c>
    </row>
  </sheetData>
  <mergeCells count="30">
    <mergeCell ref="AA94:AB94"/>
    <mergeCell ref="AA100:AA101"/>
    <mergeCell ref="X74:X75"/>
    <mergeCell ref="T79:U79"/>
    <mergeCell ref="B84:C84"/>
    <mergeCell ref="I84:I85"/>
    <mergeCell ref="AA93:AB93"/>
    <mergeCell ref="AE93:AF93"/>
    <mergeCell ref="T69:U69"/>
    <mergeCell ref="X69:Y69"/>
    <mergeCell ref="B71:C71"/>
    <mergeCell ref="I71:I73"/>
    <mergeCell ref="X71:Y71"/>
    <mergeCell ref="Z72:Z73"/>
    <mergeCell ref="M46:N46"/>
    <mergeCell ref="E53:F53"/>
    <mergeCell ref="E54:F54"/>
    <mergeCell ref="B55:C55"/>
    <mergeCell ref="E55:G55"/>
    <mergeCell ref="B61:B62"/>
    <mergeCell ref="C61:D61"/>
    <mergeCell ref="E61:F61"/>
    <mergeCell ref="G61:H61"/>
    <mergeCell ref="B38:C38"/>
    <mergeCell ref="E38:G38"/>
    <mergeCell ref="H38:I38"/>
    <mergeCell ref="G45:H45"/>
    <mergeCell ref="B46:C46"/>
    <mergeCell ref="E46:F46"/>
    <mergeCell ref="I46:J4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588B-480A-47CE-A36D-E32F220E1ED4}">
  <dimension ref="C13:M383"/>
  <sheetViews>
    <sheetView topLeftCell="A334" zoomScale="65" workbookViewId="0">
      <selection activeCell="L24" sqref="L24"/>
    </sheetView>
  </sheetViews>
  <sheetFormatPr defaultRowHeight="15" x14ac:dyDescent="0.25"/>
  <cols>
    <col min="3" max="3" width="32.140625" customWidth="1"/>
    <col min="4" max="4" width="17.5703125" customWidth="1"/>
    <col min="5" max="5" width="13.140625" customWidth="1"/>
    <col min="7" max="7" width="13.85546875" customWidth="1"/>
    <col min="8" max="8" width="15.85546875" customWidth="1"/>
    <col min="9" max="9" width="14.85546875" customWidth="1"/>
    <col min="10" max="10" width="15.42578125" customWidth="1"/>
    <col min="11" max="11" width="14.5703125" customWidth="1"/>
    <col min="12" max="12" width="14.140625" customWidth="1"/>
    <col min="13" max="13" width="22.7109375" customWidth="1"/>
  </cols>
  <sheetData>
    <row r="13" spans="3:4" x14ac:dyDescent="0.25">
      <c r="C13" t="s">
        <v>250</v>
      </c>
      <c r="D13" t="s">
        <v>251</v>
      </c>
    </row>
    <row r="14" spans="3:4" x14ac:dyDescent="0.25">
      <c r="C14" t="s">
        <v>252</v>
      </c>
      <c r="D14" t="s">
        <v>253</v>
      </c>
    </row>
    <row r="15" spans="3:4" x14ac:dyDescent="0.25">
      <c r="C15" t="s">
        <v>254</v>
      </c>
      <c r="D15" t="s">
        <v>255</v>
      </c>
    </row>
    <row r="16" spans="3:4" x14ac:dyDescent="0.25">
      <c r="C16" t="s">
        <v>256</v>
      </c>
      <c r="D16" t="s">
        <v>257</v>
      </c>
    </row>
    <row r="17" spans="3:13" x14ac:dyDescent="0.25">
      <c r="C17" t="s">
        <v>258</v>
      </c>
      <c r="D17" t="s">
        <v>253</v>
      </c>
    </row>
    <row r="18" spans="3:13" x14ac:dyDescent="0.25">
      <c r="C18" t="s">
        <v>259</v>
      </c>
      <c r="D18" t="s">
        <v>10</v>
      </c>
    </row>
    <row r="19" spans="3:13" x14ac:dyDescent="0.25">
      <c r="C19" t="s">
        <v>261</v>
      </c>
      <c r="D19" t="s">
        <v>262</v>
      </c>
    </row>
    <row r="20" spans="3:13" x14ac:dyDescent="0.25">
      <c r="C20" t="s">
        <v>263</v>
      </c>
      <c r="D20" t="s">
        <v>264</v>
      </c>
    </row>
    <row r="21" spans="3:13" x14ac:dyDescent="0.25">
      <c r="C21" t="s">
        <v>265</v>
      </c>
      <c r="D21" t="s">
        <v>262</v>
      </c>
    </row>
    <row r="22" spans="3:13" x14ac:dyDescent="0.25">
      <c r="C22" t="s">
        <v>266</v>
      </c>
      <c r="D22" t="s">
        <v>262</v>
      </c>
    </row>
    <row r="23" spans="3:13" x14ac:dyDescent="0.25">
      <c r="C23" t="s">
        <v>267</v>
      </c>
      <c r="D23" t="s">
        <v>268</v>
      </c>
    </row>
    <row r="24" spans="3:13" x14ac:dyDescent="0.25">
      <c r="C24" t="s">
        <v>269</v>
      </c>
      <c r="D24" t="s">
        <v>270</v>
      </c>
    </row>
    <row r="26" spans="3:13" ht="55.5" customHeight="1" x14ac:dyDescent="0.25">
      <c r="C26" t="s">
        <v>262</v>
      </c>
      <c r="D26" t="s">
        <v>268</v>
      </c>
      <c r="E26" t="s">
        <v>271</v>
      </c>
      <c r="F26" t="s">
        <v>272</v>
      </c>
      <c r="G26" t="s">
        <v>273</v>
      </c>
      <c r="H26" t="s">
        <v>274</v>
      </c>
      <c r="I26" t="s">
        <v>275</v>
      </c>
      <c r="J26" t="s">
        <v>276</v>
      </c>
      <c r="K26" t="s">
        <v>277</v>
      </c>
      <c r="L26" t="s">
        <v>11</v>
      </c>
      <c r="M26" s="75" t="s">
        <v>660</v>
      </c>
    </row>
    <row r="27" spans="3:13" x14ac:dyDescent="0.25">
      <c r="C27">
        <v>1</v>
      </c>
      <c r="D27" t="s">
        <v>278</v>
      </c>
      <c r="E27" t="s">
        <v>10</v>
      </c>
      <c r="F27" t="s">
        <v>192</v>
      </c>
      <c r="G27" s="74">
        <v>6.6859433999999996E-9</v>
      </c>
      <c r="H27">
        <v>0</v>
      </c>
      <c r="I27" s="74">
        <v>4.9384620000000004E-10</v>
      </c>
      <c r="J27" s="74">
        <v>3.3457513E-9</v>
      </c>
      <c r="K27" s="74">
        <v>2.6268306E-12</v>
      </c>
      <c r="L27" s="74">
        <v>1.9346685999999999E-9</v>
      </c>
      <c r="M27" s="74">
        <v>9.0905045999999996E-10</v>
      </c>
    </row>
    <row r="28" spans="3:13" x14ac:dyDescent="0.25">
      <c r="C28">
        <v>2</v>
      </c>
      <c r="D28" t="s">
        <v>279</v>
      </c>
      <c r="E28" t="s">
        <v>10</v>
      </c>
      <c r="F28" t="s">
        <v>192</v>
      </c>
      <c r="G28" s="74">
        <v>6.3919842E-13</v>
      </c>
      <c r="H28">
        <v>0</v>
      </c>
      <c r="I28" s="74">
        <v>3.9039705E-14</v>
      </c>
      <c r="J28" s="74">
        <v>2.2234487999999999E-13</v>
      </c>
      <c r="K28" s="74">
        <v>3.0577218999999999E-16</v>
      </c>
      <c r="L28" s="74">
        <v>1.636003E-13</v>
      </c>
      <c r="M28" s="74">
        <v>2.1390775999999999E-13</v>
      </c>
    </row>
    <row r="29" spans="3:13" x14ac:dyDescent="0.25">
      <c r="C29">
        <v>3</v>
      </c>
      <c r="D29" t="s">
        <v>280</v>
      </c>
      <c r="E29" t="s">
        <v>10</v>
      </c>
      <c r="F29" t="s">
        <v>192</v>
      </c>
      <c r="G29" s="74">
        <v>4.8303070000000001E-13</v>
      </c>
      <c r="H29">
        <v>0</v>
      </c>
      <c r="I29" s="74">
        <v>2.9501564000000003E-14</v>
      </c>
      <c r="J29" s="74">
        <v>1.6802206000000001E-13</v>
      </c>
      <c r="K29" s="74">
        <v>2.3106622000000002E-16</v>
      </c>
      <c r="L29" s="74">
        <v>1.2362970999999999E-13</v>
      </c>
      <c r="M29" s="74">
        <v>1.6164630000000001E-13</v>
      </c>
    </row>
    <row r="30" spans="3:13" x14ac:dyDescent="0.25">
      <c r="C30">
        <v>4</v>
      </c>
      <c r="D30" t="s">
        <v>281</v>
      </c>
      <c r="E30" t="s">
        <v>10</v>
      </c>
      <c r="F30" t="s">
        <v>192</v>
      </c>
      <c r="G30" s="74">
        <v>1.7069092E-12</v>
      </c>
      <c r="H30">
        <v>0</v>
      </c>
      <c r="I30" s="74">
        <v>8.5724997999999996E-14</v>
      </c>
      <c r="J30" s="74">
        <v>6.3140418000000005E-13</v>
      </c>
      <c r="K30" s="74">
        <v>6.3476477000000001E-16</v>
      </c>
      <c r="L30" s="74">
        <v>3.7960218999999999E-13</v>
      </c>
      <c r="M30" s="74">
        <v>6.0954305999999997E-13</v>
      </c>
    </row>
    <row r="31" spans="3:13" x14ac:dyDescent="0.25">
      <c r="C31">
        <v>5</v>
      </c>
      <c r="D31" t="s">
        <v>666</v>
      </c>
      <c r="E31" t="s">
        <v>10</v>
      </c>
      <c r="F31" t="s">
        <v>192</v>
      </c>
      <c r="G31" s="74">
        <v>2.2858227000000001E-8</v>
      </c>
      <c r="H31">
        <v>0</v>
      </c>
      <c r="I31" s="74">
        <v>1.0225959999999999E-9</v>
      </c>
      <c r="J31" s="74">
        <v>1.0482046999999999E-8</v>
      </c>
      <c r="K31" s="74">
        <v>1.1657352E-11</v>
      </c>
      <c r="L31" s="74">
        <v>7.9759370999999996E-9</v>
      </c>
      <c r="M31" s="74">
        <v>3.3659900999999999E-9</v>
      </c>
    </row>
    <row r="32" spans="3:13" x14ac:dyDescent="0.25">
      <c r="C32">
        <v>6</v>
      </c>
      <c r="D32" t="s">
        <v>282</v>
      </c>
      <c r="E32" t="s">
        <v>10</v>
      </c>
      <c r="F32" t="s">
        <v>192</v>
      </c>
      <c r="G32" s="74">
        <v>3.7877850000000002E-11</v>
      </c>
      <c r="H32">
        <v>0</v>
      </c>
      <c r="I32" s="74">
        <v>4.1322079000000002E-12</v>
      </c>
      <c r="J32" s="74">
        <v>1.2355614E-11</v>
      </c>
      <c r="K32" s="74">
        <v>6.5341211000000004E-15</v>
      </c>
      <c r="L32" s="74">
        <v>1.7579627E-11</v>
      </c>
      <c r="M32" s="74">
        <v>3.8038675999999999E-12</v>
      </c>
    </row>
    <row r="33" spans="3:13" x14ac:dyDescent="0.25">
      <c r="C33">
        <v>7</v>
      </c>
      <c r="D33" t="s">
        <v>283</v>
      </c>
      <c r="E33" t="s">
        <v>10</v>
      </c>
      <c r="F33" t="s">
        <v>192</v>
      </c>
      <c r="G33" s="74">
        <v>3.7979352000000001E-13</v>
      </c>
      <c r="H33">
        <v>0</v>
      </c>
      <c r="I33" s="74">
        <v>1.7405517000000001E-14</v>
      </c>
      <c r="J33" s="74">
        <v>1.3858464E-13</v>
      </c>
      <c r="K33" s="74">
        <v>1.3127816E-16</v>
      </c>
      <c r="L33" s="74">
        <v>9.4138032999999998E-14</v>
      </c>
      <c r="M33" s="74">
        <v>1.2953404999999999E-13</v>
      </c>
    </row>
    <row r="34" spans="3:13" x14ac:dyDescent="0.25">
      <c r="C34">
        <v>8</v>
      </c>
      <c r="D34" t="s">
        <v>284</v>
      </c>
      <c r="E34" t="s">
        <v>10</v>
      </c>
      <c r="F34" t="s">
        <v>192</v>
      </c>
      <c r="G34" s="74">
        <v>1.4192053E-14</v>
      </c>
      <c r="H34">
        <v>0</v>
      </c>
      <c r="I34" s="74">
        <v>1.2671228E-16</v>
      </c>
      <c r="J34" s="74">
        <v>9.1351169999999998E-15</v>
      </c>
      <c r="K34" s="74">
        <v>1.8859594000000001E-17</v>
      </c>
      <c r="L34" s="74">
        <v>4.3728675000000001E-15</v>
      </c>
      <c r="M34" s="74">
        <v>5.3849672999999997E-16</v>
      </c>
    </row>
    <row r="35" spans="3:13" x14ac:dyDescent="0.25">
      <c r="C35">
        <v>9</v>
      </c>
      <c r="D35" t="s">
        <v>285</v>
      </c>
      <c r="E35" t="s">
        <v>10</v>
      </c>
      <c r="F35" t="s">
        <v>192</v>
      </c>
      <c r="G35" s="74">
        <v>1.6739208000000001E-12</v>
      </c>
      <c r="H35">
        <v>0</v>
      </c>
      <c r="I35" s="74">
        <v>9.6308021999999998E-14</v>
      </c>
      <c r="J35" s="74">
        <v>5.4376736999999997E-13</v>
      </c>
      <c r="K35" s="74">
        <v>7.5474007E-16</v>
      </c>
      <c r="L35" s="74">
        <v>4.3720174000000001E-13</v>
      </c>
      <c r="M35" s="74">
        <v>5.9588888E-13</v>
      </c>
    </row>
    <row r="36" spans="3:13" x14ac:dyDescent="0.25">
      <c r="C36">
        <v>10</v>
      </c>
      <c r="D36" t="s">
        <v>286</v>
      </c>
      <c r="E36" t="s">
        <v>10</v>
      </c>
      <c r="F36" t="s">
        <v>192</v>
      </c>
      <c r="G36" s="74">
        <v>1.4542722000000001E-18</v>
      </c>
      <c r="H36">
        <v>0</v>
      </c>
      <c r="I36" s="74">
        <v>6.9389189999999995E-20</v>
      </c>
      <c r="J36" s="74">
        <v>4.9969369999999998E-19</v>
      </c>
      <c r="K36" s="74">
        <v>9.8470310999999996E-22</v>
      </c>
      <c r="L36" s="74">
        <v>8.6435778999999995E-19</v>
      </c>
      <c r="M36" s="74">
        <v>1.9846862000000001E-20</v>
      </c>
    </row>
    <row r="37" spans="3:13" x14ac:dyDescent="0.25">
      <c r="C37">
        <v>11</v>
      </c>
      <c r="D37" t="s">
        <v>288</v>
      </c>
      <c r="E37" t="s">
        <v>10</v>
      </c>
      <c r="F37" t="s">
        <v>192</v>
      </c>
      <c r="G37" s="74">
        <v>6.1093614999999997E-9</v>
      </c>
      <c r="H37">
        <v>0</v>
      </c>
      <c r="I37" s="74">
        <v>2.6427264999999997E-10</v>
      </c>
      <c r="J37" s="74">
        <v>3.2345316000000001E-9</v>
      </c>
      <c r="K37" s="74">
        <v>1.1360628000000001E-11</v>
      </c>
      <c r="L37" s="74">
        <v>1.0794773E-9</v>
      </c>
      <c r="M37" s="74">
        <v>1.5197193E-9</v>
      </c>
    </row>
    <row r="38" spans="3:13" x14ac:dyDescent="0.25">
      <c r="C38">
        <v>12</v>
      </c>
      <c r="D38" t="s">
        <v>290</v>
      </c>
      <c r="E38" t="s">
        <v>10</v>
      </c>
      <c r="F38" t="s">
        <v>192</v>
      </c>
      <c r="G38" s="74">
        <v>1.0635360999999999E-18</v>
      </c>
      <c r="H38">
        <v>0</v>
      </c>
      <c r="I38" s="74">
        <v>3.9588230999999997E-20</v>
      </c>
      <c r="J38" s="74">
        <v>3.6581977000000001E-19</v>
      </c>
      <c r="K38" s="74">
        <v>3.0970319E-22</v>
      </c>
      <c r="L38" s="74">
        <v>6.4218860999999998E-19</v>
      </c>
      <c r="M38" s="74">
        <v>1.5629826E-20</v>
      </c>
    </row>
    <row r="39" spans="3:13" x14ac:dyDescent="0.25">
      <c r="C39">
        <v>13</v>
      </c>
      <c r="D39" t="s">
        <v>291</v>
      </c>
      <c r="E39" t="s">
        <v>10</v>
      </c>
      <c r="F39" t="s">
        <v>192</v>
      </c>
      <c r="G39" s="74">
        <v>1.3720982999999999E-18</v>
      </c>
      <c r="H39">
        <v>0</v>
      </c>
      <c r="I39" s="74">
        <v>7.5833440999999998E-20</v>
      </c>
      <c r="J39" s="74">
        <v>4.7110117000000004E-19</v>
      </c>
      <c r="K39" s="74">
        <v>1.3103468999999999E-21</v>
      </c>
      <c r="L39" s="74">
        <v>8.0616416999999996E-19</v>
      </c>
      <c r="M39" s="74">
        <v>1.7689167999999999E-20</v>
      </c>
    </row>
    <row r="40" spans="3:13" x14ac:dyDescent="0.25">
      <c r="C40">
        <v>14</v>
      </c>
      <c r="D40" t="s">
        <v>667</v>
      </c>
      <c r="E40" t="s">
        <v>10</v>
      </c>
      <c r="F40" t="s">
        <v>192</v>
      </c>
      <c r="G40" s="74">
        <v>9.1448093999999997E-15</v>
      </c>
      <c r="H40">
        <v>0</v>
      </c>
      <c r="I40" s="74">
        <v>1.2340403E-18</v>
      </c>
      <c r="J40" s="74">
        <v>9.1215556000000007E-15</v>
      </c>
      <c r="K40" s="74">
        <v>2.175943E-20</v>
      </c>
      <c r="L40" s="74">
        <v>1.6574456999999999E-17</v>
      </c>
      <c r="M40" s="74">
        <v>5.4236395000000001E-18</v>
      </c>
    </row>
    <row r="41" spans="3:13" x14ac:dyDescent="0.25">
      <c r="C41">
        <v>15</v>
      </c>
      <c r="D41" t="s">
        <v>292</v>
      </c>
      <c r="E41" t="s">
        <v>10</v>
      </c>
      <c r="F41" t="s">
        <v>192</v>
      </c>
      <c r="G41" s="74">
        <v>5.6134688000000001E-9</v>
      </c>
      <c r="H41">
        <v>0</v>
      </c>
      <c r="I41" s="74">
        <v>1.7120655000000001E-11</v>
      </c>
      <c r="J41" s="74">
        <v>1.6511027999999999E-10</v>
      </c>
      <c r="K41" s="74">
        <v>3.3117038999999998E-13</v>
      </c>
      <c r="L41" s="74">
        <v>1.4280714999999999E-10</v>
      </c>
      <c r="M41" s="74">
        <v>5.2880995000000002E-9</v>
      </c>
    </row>
    <row r="42" spans="3:13" x14ac:dyDescent="0.25">
      <c r="C42">
        <v>16</v>
      </c>
      <c r="D42" t="s">
        <v>293</v>
      </c>
      <c r="E42" t="s">
        <v>10</v>
      </c>
      <c r="F42" t="s">
        <v>192</v>
      </c>
      <c r="G42" s="74">
        <v>5.1628706999999997E-11</v>
      </c>
      <c r="H42">
        <v>0</v>
      </c>
      <c r="I42" s="74">
        <v>2.9752568999999998E-12</v>
      </c>
      <c r="J42" s="74">
        <v>1.5387112999999999E-11</v>
      </c>
      <c r="K42" s="74">
        <v>1.9687824E-14</v>
      </c>
      <c r="L42" s="74">
        <v>1.2122110000000001E-11</v>
      </c>
      <c r="M42" s="74">
        <v>2.1124540000000001E-11</v>
      </c>
    </row>
    <row r="43" spans="3:13" x14ac:dyDescent="0.25">
      <c r="C43">
        <v>17</v>
      </c>
      <c r="D43" t="s">
        <v>294</v>
      </c>
      <c r="E43" t="s">
        <v>10</v>
      </c>
      <c r="F43" t="s">
        <v>192</v>
      </c>
      <c r="G43" s="74">
        <v>2.4587912000000002E-12</v>
      </c>
      <c r="H43">
        <v>0</v>
      </c>
      <c r="I43" s="74">
        <v>1.5791905999999999E-13</v>
      </c>
      <c r="J43" s="74">
        <v>7.8444854000000004E-13</v>
      </c>
      <c r="K43" s="74">
        <v>1.0617822000000001E-15</v>
      </c>
      <c r="L43" s="74">
        <v>6.1721380000000003E-13</v>
      </c>
      <c r="M43" s="74">
        <v>8.9814797999999995E-13</v>
      </c>
    </row>
    <row r="44" spans="3:13" x14ac:dyDescent="0.25">
      <c r="C44">
        <v>18</v>
      </c>
      <c r="D44" t="s">
        <v>296</v>
      </c>
      <c r="E44" t="s">
        <v>10</v>
      </c>
      <c r="F44" t="s">
        <v>192</v>
      </c>
      <c r="G44" s="74">
        <v>3.7175803999999999E-8</v>
      </c>
      <c r="H44">
        <v>0</v>
      </c>
      <c r="I44" s="74">
        <v>2.1808709E-9</v>
      </c>
      <c r="J44" s="74">
        <v>2.2834393000000001E-8</v>
      </c>
      <c r="K44" s="74">
        <v>1.9932167E-11</v>
      </c>
      <c r="L44" s="74">
        <v>8.5920155000000001E-9</v>
      </c>
      <c r="M44" s="74">
        <v>3.5485918999999998E-9</v>
      </c>
    </row>
    <row r="45" spans="3:13" x14ac:dyDescent="0.25">
      <c r="C45">
        <v>19</v>
      </c>
      <c r="D45" t="s">
        <v>298</v>
      </c>
      <c r="E45" t="s">
        <v>10</v>
      </c>
      <c r="F45" t="s">
        <v>192</v>
      </c>
      <c r="G45" s="74">
        <v>1.0477203E-7</v>
      </c>
      <c r="H45">
        <v>0</v>
      </c>
      <c r="I45" s="74">
        <v>1.2388137E-8</v>
      </c>
      <c r="J45" s="74">
        <v>4.0646521000000003E-8</v>
      </c>
      <c r="K45" s="74">
        <v>9.8042737000000001E-11</v>
      </c>
      <c r="L45" s="74">
        <v>4.7049741000000001E-8</v>
      </c>
      <c r="M45" s="74">
        <v>4.5895840999999998E-9</v>
      </c>
    </row>
    <row r="46" spans="3:13" x14ac:dyDescent="0.25">
      <c r="C46">
        <v>20</v>
      </c>
      <c r="D46" t="s">
        <v>299</v>
      </c>
      <c r="E46" t="s">
        <v>10</v>
      </c>
      <c r="F46" t="s">
        <v>192</v>
      </c>
      <c r="G46" s="74">
        <v>5.8214507000000001E-8</v>
      </c>
      <c r="H46">
        <v>0</v>
      </c>
      <c r="I46" s="74">
        <v>2.3281411000000001E-9</v>
      </c>
      <c r="J46" s="74">
        <v>6.0861340000000004E-9</v>
      </c>
      <c r="K46" s="74">
        <v>5.1740435999999998E-10</v>
      </c>
      <c r="L46" s="74">
        <v>7.9127993E-9</v>
      </c>
      <c r="M46" s="74">
        <v>4.1370028000000002E-8</v>
      </c>
    </row>
    <row r="47" spans="3:13" x14ac:dyDescent="0.25">
      <c r="C47">
        <v>21</v>
      </c>
      <c r="D47" t="s">
        <v>300</v>
      </c>
      <c r="E47" t="s">
        <v>10</v>
      </c>
      <c r="F47" t="s">
        <v>192</v>
      </c>
      <c r="G47" s="74">
        <v>3.6992000999999999E-13</v>
      </c>
      <c r="H47">
        <v>0</v>
      </c>
      <c r="I47" s="74">
        <v>2.0100257999999999E-14</v>
      </c>
      <c r="J47" s="74">
        <v>1.2529697000000001E-13</v>
      </c>
      <c r="K47" s="74">
        <v>1.3422273999999999E-16</v>
      </c>
      <c r="L47" s="74">
        <v>9.4590084999999995E-14</v>
      </c>
      <c r="M47" s="74">
        <v>1.2979847E-13</v>
      </c>
    </row>
    <row r="48" spans="3:13" x14ac:dyDescent="0.25">
      <c r="C48">
        <v>22</v>
      </c>
      <c r="D48" t="s">
        <v>668</v>
      </c>
      <c r="E48" t="s">
        <v>10</v>
      </c>
      <c r="F48" t="s">
        <v>192</v>
      </c>
      <c r="G48" s="74">
        <v>5.0213273999999999E-13</v>
      </c>
      <c r="H48">
        <v>0</v>
      </c>
      <c r="I48" s="74">
        <v>3.0668335E-14</v>
      </c>
      <c r="J48" s="74">
        <v>1.746665E-13</v>
      </c>
      <c r="K48" s="74">
        <v>2.4020471999999998E-16</v>
      </c>
      <c r="L48" s="74">
        <v>1.2851906999999999E-13</v>
      </c>
      <c r="M48" s="74">
        <v>1.6803862999999999E-13</v>
      </c>
    </row>
    <row r="49" spans="3:13" x14ac:dyDescent="0.25">
      <c r="C49">
        <v>23</v>
      </c>
      <c r="D49" t="s">
        <v>669</v>
      </c>
      <c r="E49" t="s">
        <v>10</v>
      </c>
      <c r="F49" t="s">
        <v>192</v>
      </c>
      <c r="G49" s="74">
        <v>1.2003538000000001E-6</v>
      </c>
      <c r="H49">
        <v>0</v>
      </c>
      <c r="I49" s="74">
        <v>1.6523906999999999E-9</v>
      </c>
      <c r="J49" s="74">
        <v>1.1324987E-8</v>
      </c>
      <c r="K49" s="74">
        <v>2.3208888E-10</v>
      </c>
      <c r="L49" s="74">
        <v>9.1705591000000002E-7</v>
      </c>
      <c r="M49" s="74">
        <v>2.7008841000000001E-7</v>
      </c>
    </row>
    <row r="50" spans="3:13" x14ac:dyDescent="0.25">
      <c r="C50">
        <v>24</v>
      </c>
      <c r="D50" t="s">
        <v>670</v>
      </c>
      <c r="E50" t="s">
        <v>10</v>
      </c>
      <c r="F50" t="s">
        <v>192</v>
      </c>
      <c r="G50" s="74">
        <v>1.2615428E-8</v>
      </c>
      <c r="H50">
        <v>0</v>
      </c>
      <c r="I50" s="74">
        <v>1.7418281E-9</v>
      </c>
      <c r="J50" s="74">
        <v>4.3234767999999999E-9</v>
      </c>
      <c r="K50" s="74">
        <v>7.5260732999999997E-13</v>
      </c>
      <c r="L50" s="74">
        <v>6.5045229000000003E-9</v>
      </c>
      <c r="M50" s="74">
        <v>4.4847527E-11</v>
      </c>
    </row>
    <row r="51" spans="3:13" x14ac:dyDescent="0.25">
      <c r="C51">
        <v>25</v>
      </c>
      <c r="D51" t="s">
        <v>304</v>
      </c>
      <c r="E51" t="s">
        <v>10</v>
      </c>
      <c r="F51" t="s">
        <v>305</v>
      </c>
      <c r="G51">
        <v>8.5089745999999994E-2</v>
      </c>
      <c r="H51">
        <v>0</v>
      </c>
      <c r="I51">
        <v>2.4585016E-4</v>
      </c>
      <c r="J51">
        <v>5.9824132000000003E-4</v>
      </c>
      <c r="K51" s="74">
        <v>5.3949372000000001E-6</v>
      </c>
      <c r="L51">
        <v>4.5624349E-4</v>
      </c>
      <c r="M51">
        <v>8.3784017000000002E-2</v>
      </c>
    </row>
    <row r="52" spans="3:13" x14ac:dyDescent="0.25">
      <c r="C52">
        <v>26</v>
      </c>
      <c r="D52" t="s">
        <v>671</v>
      </c>
      <c r="E52" t="s">
        <v>10</v>
      </c>
      <c r="F52" t="s">
        <v>192</v>
      </c>
      <c r="G52" s="74">
        <v>2.9641975E-8</v>
      </c>
      <c r="H52">
        <v>0</v>
      </c>
      <c r="I52" s="74">
        <v>7.2544431000000003E-13</v>
      </c>
      <c r="J52" s="74">
        <v>2.9630220999999999E-8</v>
      </c>
      <c r="K52" s="74">
        <v>1.4352249E-12</v>
      </c>
      <c r="L52" s="74">
        <v>6.8773483999999999E-12</v>
      </c>
      <c r="M52" s="74">
        <v>2.7155563000000001E-12</v>
      </c>
    </row>
    <row r="53" spans="3:13" x14ac:dyDescent="0.25">
      <c r="C53">
        <v>27</v>
      </c>
      <c r="D53" t="s">
        <v>309</v>
      </c>
      <c r="E53" t="s">
        <v>10</v>
      </c>
      <c r="F53" t="s">
        <v>192</v>
      </c>
      <c r="G53">
        <v>4.2116931999999999E-3</v>
      </c>
      <c r="H53">
        <v>0</v>
      </c>
      <c r="I53">
        <v>2.9347660999999998E-4</v>
      </c>
      <c r="J53">
        <v>1.1335856000000001E-3</v>
      </c>
      <c r="K53" s="74">
        <v>3.0446594999999999E-6</v>
      </c>
      <c r="L53">
        <v>1.552725E-3</v>
      </c>
      <c r="M53">
        <v>1.2288614000000001E-3</v>
      </c>
    </row>
    <row r="54" spans="3:13" x14ac:dyDescent="0.25">
      <c r="C54">
        <v>28</v>
      </c>
      <c r="D54" t="s">
        <v>672</v>
      </c>
      <c r="E54" t="s">
        <v>10</v>
      </c>
      <c r="F54" t="s">
        <v>192</v>
      </c>
      <c r="G54" s="74">
        <v>2.023488E-12</v>
      </c>
      <c r="H54">
        <v>0</v>
      </c>
      <c r="I54" s="74">
        <v>2.0923793999999999E-13</v>
      </c>
      <c r="J54" s="74">
        <v>6.3696654999999999E-13</v>
      </c>
      <c r="K54" s="74">
        <v>7.0274791000000001E-16</v>
      </c>
      <c r="L54" s="74">
        <v>7.6777250999999998E-13</v>
      </c>
      <c r="M54" s="74">
        <v>4.0880828999999999E-13</v>
      </c>
    </row>
    <row r="55" spans="3:13" x14ac:dyDescent="0.25">
      <c r="C55">
        <v>29</v>
      </c>
      <c r="D55" t="s">
        <v>673</v>
      </c>
      <c r="E55" t="s">
        <v>10</v>
      </c>
      <c r="F55" t="s">
        <v>192</v>
      </c>
      <c r="G55" s="74">
        <v>6.0754117000000001E-5</v>
      </c>
      <c r="H55">
        <v>0</v>
      </c>
      <c r="I55" s="74">
        <v>1.6288404999999998E-5</v>
      </c>
      <c r="J55" s="74">
        <v>1.7135666999999999E-5</v>
      </c>
      <c r="K55" s="74">
        <v>3.3388297E-8</v>
      </c>
      <c r="L55" s="74">
        <v>6.4252066000000001E-6</v>
      </c>
      <c r="M55" s="74">
        <v>2.0871450000000002E-5</v>
      </c>
    </row>
    <row r="56" spans="3:13" x14ac:dyDescent="0.25">
      <c r="C56">
        <v>30</v>
      </c>
      <c r="D56" t="s">
        <v>312</v>
      </c>
      <c r="E56" t="s">
        <v>10</v>
      </c>
      <c r="F56" t="s">
        <v>192</v>
      </c>
      <c r="G56" s="74">
        <v>1.7419770000000001E-9</v>
      </c>
      <c r="H56">
        <v>0</v>
      </c>
      <c r="I56" s="74">
        <v>1.9516938000000001E-11</v>
      </c>
      <c r="J56" s="74">
        <v>7.5300878000000004E-11</v>
      </c>
      <c r="K56" s="74">
        <v>1.0496899999999999E-9</v>
      </c>
      <c r="L56" s="74">
        <v>5.3605889000000003E-10</v>
      </c>
      <c r="M56" s="74">
        <v>6.1410291999999998E-11</v>
      </c>
    </row>
    <row r="57" spans="3:13" x14ac:dyDescent="0.25">
      <c r="C57">
        <v>31</v>
      </c>
      <c r="D57" t="s">
        <v>313</v>
      </c>
      <c r="E57" t="s">
        <v>10</v>
      </c>
      <c r="F57" t="s">
        <v>192</v>
      </c>
      <c r="G57" s="74">
        <v>2.7418710000000001E-12</v>
      </c>
      <c r="H57">
        <v>0</v>
      </c>
      <c r="I57" s="74">
        <v>1.0024290000000001E-13</v>
      </c>
      <c r="J57" s="74">
        <v>6.3328820999999998E-13</v>
      </c>
      <c r="K57" s="74">
        <v>6.0349956000000002E-16</v>
      </c>
      <c r="L57" s="74">
        <v>5.0169470000000004E-13</v>
      </c>
      <c r="M57" s="74">
        <v>1.5060417000000001E-12</v>
      </c>
    </row>
    <row r="58" spans="3:13" x14ac:dyDescent="0.25">
      <c r="C58">
        <v>32</v>
      </c>
      <c r="D58" t="s">
        <v>315</v>
      </c>
      <c r="E58" t="s">
        <v>10</v>
      </c>
      <c r="F58" t="s">
        <v>192</v>
      </c>
      <c r="G58" s="74">
        <v>7.1422332000000001E-6</v>
      </c>
      <c r="H58">
        <v>0</v>
      </c>
      <c r="I58" s="74">
        <v>3.7802701000000001E-7</v>
      </c>
      <c r="J58" s="74">
        <v>1.2692834999999999E-6</v>
      </c>
      <c r="K58" s="74">
        <v>1.7672128E-9</v>
      </c>
      <c r="L58" s="74">
        <v>4.7930246999999999E-6</v>
      </c>
      <c r="M58" s="74">
        <v>7.0013072999999996E-7</v>
      </c>
    </row>
    <row r="59" spans="3:13" x14ac:dyDescent="0.25">
      <c r="C59">
        <v>33</v>
      </c>
      <c r="D59" t="s">
        <v>674</v>
      </c>
      <c r="E59" t="s">
        <v>10</v>
      </c>
      <c r="F59" t="s">
        <v>305</v>
      </c>
      <c r="G59">
        <v>1.6934455E-3</v>
      </c>
      <c r="H59">
        <v>0</v>
      </c>
      <c r="I59" s="74">
        <v>5.8893390999999996E-6</v>
      </c>
      <c r="J59" s="74">
        <v>1.4622198E-5</v>
      </c>
      <c r="K59" s="74">
        <v>1.2347575000000001E-7</v>
      </c>
      <c r="L59" s="74">
        <v>1.1095417E-5</v>
      </c>
      <c r="M59">
        <v>1.661715E-3</v>
      </c>
    </row>
    <row r="60" spans="3:13" x14ac:dyDescent="0.25">
      <c r="C60">
        <v>34</v>
      </c>
      <c r="D60" t="s">
        <v>316</v>
      </c>
      <c r="E60" t="s">
        <v>10</v>
      </c>
      <c r="F60" t="s">
        <v>305</v>
      </c>
      <c r="G60">
        <v>12.089344000000001</v>
      </c>
      <c r="H60">
        <v>0</v>
      </c>
      <c r="I60">
        <v>1.6565389999999999E-2</v>
      </c>
      <c r="J60">
        <v>4.2578357999999997E-2</v>
      </c>
      <c r="K60">
        <v>3.1496786999999997E-4</v>
      </c>
      <c r="L60">
        <v>3.1733020000000001E-2</v>
      </c>
      <c r="M60">
        <v>11.998151999999999</v>
      </c>
    </row>
    <row r="61" spans="3:13" x14ac:dyDescent="0.25">
      <c r="C61">
        <v>35</v>
      </c>
      <c r="D61" t="s">
        <v>317</v>
      </c>
      <c r="E61" t="s">
        <v>10</v>
      </c>
      <c r="F61" t="s">
        <v>305</v>
      </c>
      <c r="G61">
        <v>7.9215413999999998E-2</v>
      </c>
      <c r="H61">
        <v>0</v>
      </c>
      <c r="I61">
        <v>3.0079379999999999E-4</v>
      </c>
      <c r="J61">
        <v>7.3866728999999996E-4</v>
      </c>
      <c r="K61" s="74">
        <v>6.4788900000000001E-6</v>
      </c>
      <c r="L61">
        <v>5.6247150999999996E-4</v>
      </c>
      <c r="M61">
        <v>7.7607001999999994E-2</v>
      </c>
    </row>
    <row r="62" spans="3:13" x14ac:dyDescent="0.25">
      <c r="C62">
        <v>36</v>
      </c>
      <c r="D62" t="s">
        <v>675</v>
      </c>
      <c r="E62" t="s">
        <v>10</v>
      </c>
      <c r="F62" t="s">
        <v>192</v>
      </c>
      <c r="G62" s="74">
        <v>1.1948634E-6</v>
      </c>
      <c r="H62">
        <v>0</v>
      </c>
      <c r="I62" s="74">
        <v>1.1772579E-8</v>
      </c>
      <c r="J62" s="74">
        <v>1.0790019000000001E-6</v>
      </c>
      <c r="K62" s="74">
        <v>7.5418563999999995E-11</v>
      </c>
      <c r="L62" s="74">
        <v>5.3387931000000003E-8</v>
      </c>
      <c r="M62" s="74">
        <v>5.0625548000000001E-8</v>
      </c>
    </row>
    <row r="63" spans="3:13" x14ac:dyDescent="0.25">
      <c r="C63">
        <v>37</v>
      </c>
      <c r="D63" t="s">
        <v>320</v>
      </c>
      <c r="E63" t="s">
        <v>10</v>
      </c>
      <c r="F63" t="s">
        <v>192</v>
      </c>
      <c r="G63" s="74">
        <v>1.3680632999999999E-5</v>
      </c>
      <c r="H63">
        <v>0</v>
      </c>
      <c r="I63" s="74">
        <v>1.0398141000000001E-6</v>
      </c>
      <c r="J63" s="74">
        <v>3.9345326999999998E-6</v>
      </c>
      <c r="K63" s="74">
        <v>6.7039436000000002E-9</v>
      </c>
      <c r="L63" s="74">
        <v>4.0665002999999998E-6</v>
      </c>
      <c r="M63" s="74">
        <v>4.6330820999999996E-6</v>
      </c>
    </row>
    <row r="64" spans="3:13" x14ac:dyDescent="0.25">
      <c r="C64">
        <v>38</v>
      </c>
      <c r="D64" t="s">
        <v>322</v>
      </c>
      <c r="E64" t="s">
        <v>10</v>
      </c>
      <c r="F64" t="s">
        <v>192</v>
      </c>
      <c r="G64" s="74">
        <v>2.3769478000000001E-15</v>
      </c>
      <c r="H64">
        <v>0</v>
      </c>
      <c r="I64" s="74">
        <v>3.2455667E-16</v>
      </c>
      <c r="J64" s="74">
        <v>8.0636509000000002E-16</v>
      </c>
      <c r="K64" s="74">
        <v>1.4138704000000001E-17</v>
      </c>
      <c r="L64" s="74">
        <v>1.2196943999999999E-15</v>
      </c>
      <c r="M64" s="74">
        <v>1.2192942E-17</v>
      </c>
    </row>
    <row r="65" spans="3:13" x14ac:dyDescent="0.25">
      <c r="C65">
        <v>39</v>
      </c>
      <c r="D65" t="s">
        <v>676</v>
      </c>
      <c r="E65" t="s">
        <v>10</v>
      </c>
      <c r="F65" t="s">
        <v>192</v>
      </c>
      <c r="G65">
        <v>3.760015E-4</v>
      </c>
      <c r="H65">
        <v>0</v>
      </c>
      <c r="I65" s="74">
        <v>1.4752847000000001E-6</v>
      </c>
      <c r="J65" s="74">
        <v>7.3543917000000002E-6</v>
      </c>
      <c r="K65" s="74">
        <v>2.1655479999999999E-8</v>
      </c>
      <c r="L65" s="74">
        <v>7.4664893000000002E-6</v>
      </c>
      <c r="M65">
        <v>3.5968368000000001E-4</v>
      </c>
    </row>
    <row r="66" spans="3:13" x14ac:dyDescent="0.25">
      <c r="C66">
        <v>40</v>
      </c>
      <c r="D66" t="s">
        <v>324</v>
      </c>
      <c r="E66" t="s">
        <v>10</v>
      </c>
      <c r="F66" t="s">
        <v>192</v>
      </c>
      <c r="G66" s="74">
        <v>7.2298210000000006E-5</v>
      </c>
      <c r="H66">
        <v>0</v>
      </c>
      <c r="I66" s="74">
        <v>3.0817143999999998E-6</v>
      </c>
      <c r="J66" s="74">
        <v>2.0665261E-5</v>
      </c>
      <c r="K66" s="74">
        <v>4.4529910999999997E-8</v>
      </c>
      <c r="L66" s="74">
        <v>2.2920889999999999E-5</v>
      </c>
      <c r="M66" s="74">
        <v>2.5585814999999999E-5</v>
      </c>
    </row>
    <row r="67" spans="3:13" x14ac:dyDescent="0.25">
      <c r="C67">
        <v>41</v>
      </c>
      <c r="D67" t="s">
        <v>325</v>
      </c>
      <c r="E67" t="s">
        <v>10</v>
      </c>
      <c r="F67" t="s">
        <v>305</v>
      </c>
      <c r="G67">
        <v>3.1944344E-3</v>
      </c>
      <c r="H67">
        <v>0</v>
      </c>
      <c r="I67" s="74">
        <v>1.1805273E-5</v>
      </c>
      <c r="J67" s="74">
        <v>2.9146865000000001E-5</v>
      </c>
      <c r="K67" s="74">
        <v>2.4680093999999998E-7</v>
      </c>
      <c r="L67" s="74">
        <v>2.2311634000000001E-5</v>
      </c>
      <c r="M67">
        <v>3.1309238000000001E-3</v>
      </c>
    </row>
    <row r="68" spans="3:13" x14ac:dyDescent="0.25">
      <c r="C68">
        <v>42</v>
      </c>
      <c r="D68" t="s">
        <v>326</v>
      </c>
      <c r="E68" t="s">
        <v>10</v>
      </c>
      <c r="F68" t="s">
        <v>192</v>
      </c>
      <c r="G68" s="74">
        <v>7.3548446000000002E-14</v>
      </c>
      <c r="H68">
        <v>0</v>
      </c>
      <c r="I68" s="74">
        <v>4.1433657000000001E-15</v>
      </c>
      <c r="J68" s="74">
        <v>2.4664610999999999E-14</v>
      </c>
      <c r="K68" s="74">
        <v>2.6164213E-17</v>
      </c>
      <c r="L68" s="74">
        <v>1.7222838000000002E-14</v>
      </c>
      <c r="M68" s="74">
        <v>2.7491467999999999E-14</v>
      </c>
    </row>
    <row r="69" spans="3:13" x14ac:dyDescent="0.25">
      <c r="C69">
        <v>43</v>
      </c>
      <c r="D69" t="s">
        <v>329</v>
      </c>
      <c r="E69" t="s">
        <v>10</v>
      </c>
      <c r="F69" t="s">
        <v>192</v>
      </c>
      <c r="G69" s="74">
        <v>3.1746744000000002E-6</v>
      </c>
      <c r="H69">
        <v>0</v>
      </c>
      <c r="I69" s="74">
        <v>6.8488987999999995E-8</v>
      </c>
      <c r="J69" s="74">
        <v>4.1824585000000001E-7</v>
      </c>
      <c r="K69" s="74">
        <v>9.8343827000000001E-10</v>
      </c>
      <c r="L69" s="74">
        <v>3.2425274999999998E-7</v>
      </c>
      <c r="M69" s="74">
        <v>2.3627033E-6</v>
      </c>
    </row>
    <row r="70" spans="3:13" x14ac:dyDescent="0.25">
      <c r="C70">
        <v>44</v>
      </c>
      <c r="D70" t="s">
        <v>331</v>
      </c>
      <c r="E70" t="s">
        <v>10</v>
      </c>
      <c r="F70" t="s">
        <v>192</v>
      </c>
      <c r="G70" s="74">
        <v>8.1400767999999994E-8</v>
      </c>
      <c r="H70">
        <v>0</v>
      </c>
      <c r="I70" s="74">
        <v>1.0577422E-8</v>
      </c>
      <c r="J70" s="74">
        <v>2.6542606000000002E-8</v>
      </c>
      <c r="K70" s="74">
        <v>1.4413573E-11</v>
      </c>
      <c r="L70" s="74">
        <v>4.0826247E-8</v>
      </c>
      <c r="M70" s="74">
        <v>3.4400801E-9</v>
      </c>
    </row>
    <row r="71" spans="3:13" x14ac:dyDescent="0.25">
      <c r="C71">
        <v>45</v>
      </c>
      <c r="D71" t="s">
        <v>677</v>
      </c>
      <c r="E71" t="s">
        <v>10</v>
      </c>
      <c r="F71" t="s">
        <v>192</v>
      </c>
      <c r="G71" s="74">
        <v>1.4230244000000001E-7</v>
      </c>
      <c r="H71">
        <v>0</v>
      </c>
      <c r="I71" s="74">
        <v>1.5706426999999999E-8</v>
      </c>
      <c r="J71" s="74">
        <v>4.1547850000000001E-8</v>
      </c>
      <c r="K71" s="74">
        <v>2.5488076999999999E-11</v>
      </c>
      <c r="L71" s="74">
        <v>7.8561502999999996E-8</v>
      </c>
      <c r="M71" s="74">
        <v>6.4611728000000004E-9</v>
      </c>
    </row>
    <row r="72" spans="3:13" x14ac:dyDescent="0.25">
      <c r="C72">
        <v>46</v>
      </c>
      <c r="D72" t="s">
        <v>332</v>
      </c>
      <c r="E72" t="s">
        <v>10</v>
      </c>
      <c r="F72" t="s">
        <v>192</v>
      </c>
      <c r="G72" s="74">
        <v>2.7572167999999999E-7</v>
      </c>
      <c r="H72">
        <v>0</v>
      </c>
      <c r="I72" s="74">
        <v>1.004892E-8</v>
      </c>
      <c r="J72" s="74">
        <v>5.1608825000000003E-8</v>
      </c>
      <c r="K72" s="74">
        <v>7.2478465000000004E-11</v>
      </c>
      <c r="L72" s="74">
        <v>4.0893626999999999E-8</v>
      </c>
      <c r="M72" s="74">
        <v>1.7309783E-7</v>
      </c>
    </row>
    <row r="73" spans="3:13" x14ac:dyDescent="0.25">
      <c r="C73">
        <v>47</v>
      </c>
      <c r="D73" t="s">
        <v>335</v>
      </c>
      <c r="E73" t="s">
        <v>10</v>
      </c>
      <c r="F73" t="s">
        <v>192</v>
      </c>
      <c r="G73" s="74">
        <v>1.0346683000000001E-14</v>
      </c>
      <c r="H73">
        <v>0</v>
      </c>
      <c r="I73" s="74">
        <v>3.7827509E-16</v>
      </c>
      <c r="J73" s="74">
        <v>2.3897668E-15</v>
      </c>
      <c r="K73" s="74">
        <v>2.2773568000000001E-18</v>
      </c>
      <c r="L73" s="74">
        <v>1.8931875E-15</v>
      </c>
      <c r="M73" s="74">
        <v>5.6831761000000001E-15</v>
      </c>
    </row>
    <row r="74" spans="3:13" x14ac:dyDescent="0.25">
      <c r="C74">
        <v>48</v>
      </c>
      <c r="D74" t="s">
        <v>336</v>
      </c>
      <c r="E74" t="s">
        <v>10</v>
      </c>
      <c r="F74" t="s">
        <v>192</v>
      </c>
      <c r="G74" s="74">
        <v>1.257122E-15</v>
      </c>
      <c r="H74">
        <v>0</v>
      </c>
      <c r="I74" s="74">
        <v>4.5960423E-17</v>
      </c>
      <c r="J74" s="74">
        <v>2.9035667000000001E-16</v>
      </c>
      <c r="K74" s="74">
        <v>2.7669885999999999E-19</v>
      </c>
      <c r="L74" s="74">
        <v>2.3002229000000002E-16</v>
      </c>
      <c r="M74" s="74">
        <v>6.9050589E-16</v>
      </c>
    </row>
    <row r="75" spans="3:13" x14ac:dyDescent="0.25">
      <c r="C75">
        <v>49</v>
      </c>
      <c r="D75" t="s">
        <v>337</v>
      </c>
      <c r="E75" t="s">
        <v>10</v>
      </c>
      <c r="F75" t="s">
        <v>192</v>
      </c>
      <c r="G75" s="74">
        <v>1.2260819E-15</v>
      </c>
      <c r="H75">
        <v>0</v>
      </c>
      <c r="I75" s="74">
        <v>4.4825598000000001E-17</v>
      </c>
      <c r="J75" s="74">
        <v>2.8318737E-16</v>
      </c>
      <c r="K75" s="74">
        <v>2.6986678999999999E-19</v>
      </c>
      <c r="L75" s="74">
        <v>2.2434272000000002E-16</v>
      </c>
      <c r="M75" s="74">
        <v>6.7345636999999997E-16</v>
      </c>
    </row>
    <row r="76" spans="3:13" x14ac:dyDescent="0.25">
      <c r="C76">
        <v>50</v>
      </c>
      <c r="D76" t="s">
        <v>338</v>
      </c>
      <c r="E76" t="s">
        <v>10</v>
      </c>
      <c r="F76" t="s">
        <v>192</v>
      </c>
      <c r="G76" s="74">
        <v>1.7253093999999999E-16</v>
      </c>
      <c r="H76">
        <v>0</v>
      </c>
      <c r="I76" s="74">
        <v>6.3077371E-18</v>
      </c>
      <c r="J76" s="74">
        <v>3.9849361999999997E-17</v>
      </c>
      <c r="K76" s="74">
        <v>3.7974925E-20</v>
      </c>
      <c r="L76" s="74">
        <v>3.1568901999999997E-17</v>
      </c>
      <c r="M76" s="74">
        <v>9.4766960999999997E-17</v>
      </c>
    </row>
    <row r="77" spans="3:13" x14ac:dyDescent="0.25">
      <c r="C77">
        <v>51</v>
      </c>
      <c r="D77" t="s">
        <v>339</v>
      </c>
      <c r="E77" t="s">
        <v>10</v>
      </c>
      <c r="F77" t="s">
        <v>192</v>
      </c>
      <c r="G77" s="74">
        <v>5.7682756999999999E-16</v>
      </c>
      <c r="H77">
        <v>0</v>
      </c>
      <c r="I77" s="74">
        <v>2.1088835999999999E-17</v>
      </c>
      <c r="J77" s="74">
        <v>1.3322949999999999E-16</v>
      </c>
      <c r="K77" s="74">
        <v>1.2696264E-19</v>
      </c>
      <c r="L77" s="74">
        <v>1.0554521E-16</v>
      </c>
      <c r="M77" s="74">
        <v>3.1683707000000002E-16</v>
      </c>
    </row>
    <row r="78" spans="3:13" x14ac:dyDescent="0.25">
      <c r="C78">
        <v>52</v>
      </c>
      <c r="D78" t="s">
        <v>340</v>
      </c>
      <c r="E78" t="s">
        <v>10</v>
      </c>
      <c r="F78" t="s">
        <v>192</v>
      </c>
      <c r="G78" s="74">
        <v>2.2375356000000001E-6</v>
      </c>
      <c r="H78">
        <v>0</v>
      </c>
      <c r="I78" s="74">
        <v>1.6036555999999999E-7</v>
      </c>
      <c r="J78" s="74">
        <v>6.2083342999999998E-7</v>
      </c>
      <c r="K78" s="74">
        <v>1.3651267E-9</v>
      </c>
      <c r="L78" s="74">
        <v>7.0565116000000005E-7</v>
      </c>
      <c r="M78" s="74">
        <v>7.4932028999999998E-7</v>
      </c>
    </row>
    <row r="79" spans="3:13" x14ac:dyDescent="0.25">
      <c r="C79">
        <v>53</v>
      </c>
      <c r="D79" t="s">
        <v>678</v>
      </c>
      <c r="E79" t="s">
        <v>10</v>
      </c>
      <c r="F79" t="s">
        <v>192</v>
      </c>
      <c r="G79" s="74">
        <v>4.0460548000000002E-8</v>
      </c>
      <c r="H79">
        <v>0</v>
      </c>
      <c r="I79" s="74">
        <v>2.0641754E-9</v>
      </c>
      <c r="J79" s="74">
        <v>5.1364569999999997E-9</v>
      </c>
      <c r="K79" s="74">
        <v>4.6593078000000002E-10</v>
      </c>
      <c r="L79" s="74">
        <v>6.8331891999999998E-9</v>
      </c>
      <c r="M79" s="74">
        <v>2.5960795000000001E-8</v>
      </c>
    </row>
    <row r="80" spans="3:13" x14ac:dyDescent="0.25">
      <c r="C80">
        <v>54</v>
      </c>
      <c r="D80" t="s">
        <v>679</v>
      </c>
      <c r="E80" t="s">
        <v>10</v>
      </c>
      <c r="F80" t="s">
        <v>192</v>
      </c>
      <c r="G80">
        <v>2.7925882E-3</v>
      </c>
      <c r="H80">
        <v>0</v>
      </c>
      <c r="I80">
        <v>1.6734344999999999E-4</v>
      </c>
      <c r="J80">
        <v>7.7305994999999998E-4</v>
      </c>
      <c r="K80" s="74">
        <v>1.8575767999999999E-6</v>
      </c>
      <c r="L80">
        <v>1.0755368E-3</v>
      </c>
      <c r="M80">
        <v>7.7479033999999997E-4</v>
      </c>
    </row>
    <row r="81" spans="3:13" x14ac:dyDescent="0.25">
      <c r="C81">
        <v>55</v>
      </c>
      <c r="D81" t="s">
        <v>680</v>
      </c>
      <c r="E81" t="s">
        <v>10</v>
      </c>
      <c r="F81" t="s">
        <v>192</v>
      </c>
      <c r="G81" s="74">
        <v>2.3841923000000001E-8</v>
      </c>
      <c r="H81">
        <v>0</v>
      </c>
      <c r="I81" s="74">
        <v>3.1011191000000001E-10</v>
      </c>
      <c r="J81" s="74">
        <v>1.004875E-9</v>
      </c>
      <c r="K81" s="74">
        <v>6.3188190999999998E-12</v>
      </c>
      <c r="L81" s="74">
        <v>6.1275814000000005E-10</v>
      </c>
      <c r="M81" s="74">
        <v>2.1907859000000001E-8</v>
      </c>
    </row>
    <row r="82" spans="3:13" x14ac:dyDescent="0.25">
      <c r="C82">
        <v>56</v>
      </c>
      <c r="D82" t="s">
        <v>342</v>
      </c>
      <c r="E82" t="s">
        <v>10</v>
      </c>
      <c r="F82" t="s">
        <v>192</v>
      </c>
      <c r="G82">
        <v>2.1425158000000001E-4</v>
      </c>
      <c r="H82">
        <v>0</v>
      </c>
      <c r="I82" s="74">
        <v>2.0720845E-5</v>
      </c>
      <c r="J82" s="74">
        <v>7.7487247000000001E-5</v>
      </c>
      <c r="K82" s="74">
        <v>1.3836923E-7</v>
      </c>
      <c r="L82" s="74">
        <v>7.7605889999999994E-5</v>
      </c>
      <c r="M82" s="74">
        <v>3.8299225000000003E-5</v>
      </c>
    </row>
    <row r="83" spans="3:13" x14ac:dyDescent="0.25">
      <c r="C83">
        <v>57</v>
      </c>
      <c r="D83" t="s">
        <v>681</v>
      </c>
      <c r="E83" t="s">
        <v>10</v>
      </c>
      <c r="F83" t="s">
        <v>192</v>
      </c>
      <c r="G83" s="74">
        <v>2.6919510999999999E-6</v>
      </c>
      <c r="H83">
        <v>0</v>
      </c>
      <c r="I83" s="74">
        <v>1.1880512999999999E-8</v>
      </c>
      <c r="J83" s="74">
        <v>2.1406012999999999E-6</v>
      </c>
      <c r="K83" s="74">
        <v>1.8835152999999999E-9</v>
      </c>
      <c r="L83" s="74">
        <v>5.0537725000000002E-7</v>
      </c>
      <c r="M83" s="74">
        <v>3.2208508000000003E-8</v>
      </c>
    </row>
    <row r="84" spans="3:13" x14ac:dyDescent="0.25">
      <c r="C84">
        <v>58</v>
      </c>
      <c r="D84" t="s">
        <v>682</v>
      </c>
      <c r="E84" t="s">
        <v>10</v>
      </c>
      <c r="F84" t="s">
        <v>192</v>
      </c>
      <c r="G84" s="74">
        <v>5.4585219000000001E-9</v>
      </c>
      <c r="H84">
        <v>0</v>
      </c>
      <c r="I84" s="74">
        <v>2.6904587000000002E-10</v>
      </c>
      <c r="J84" s="74">
        <v>1.7975656000000001E-9</v>
      </c>
      <c r="K84" s="74">
        <v>2.2035609000000001E-12</v>
      </c>
      <c r="L84" s="74">
        <v>1.3311707000000001E-9</v>
      </c>
      <c r="M84" s="74">
        <v>2.0585361999999998E-9</v>
      </c>
    </row>
    <row r="85" spans="3:13" x14ac:dyDescent="0.25">
      <c r="C85">
        <v>59</v>
      </c>
      <c r="D85" t="s">
        <v>344</v>
      </c>
      <c r="E85" t="s">
        <v>10</v>
      </c>
      <c r="F85" t="s">
        <v>192</v>
      </c>
      <c r="G85">
        <v>2.9778102999999999E-4</v>
      </c>
      <c r="H85">
        <v>0</v>
      </c>
      <c r="I85" s="74">
        <v>1.4930417999999999E-6</v>
      </c>
      <c r="J85" s="74">
        <v>1.0968837E-5</v>
      </c>
      <c r="K85" s="74">
        <v>2.1990798E-8</v>
      </c>
      <c r="L85" s="74">
        <v>1.2919425E-5</v>
      </c>
      <c r="M85">
        <v>2.7237774E-4</v>
      </c>
    </row>
    <row r="86" spans="3:13" x14ac:dyDescent="0.25">
      <c r="C86">
        <v>60</v>
      </c>
      <c r="D86" t="s">
        <v>345</v>
      </c>
      <c r="E86" t="s">
        <v>10</v>
      </c>
      <c r="F86" t="s">
        <v>192</v>
      </c>
      <c r="G86" s="74">
        <v>6.8183884000000001E-19</v>
      </c>
      <c r="H86">
        <v>0</v>
      </c>
      <c r="I86" s="74">
        <v>5.9083599999999994E-20</v>
      </c>
      <c r="J86" s="74">
        <v>2.3336745000000001E-19</v>
      </c>
      <c r="K86" s="74">
        <v>1.4383451000000001E-21</v>
      </c>
      <c r="L86" s="74">
        <v>3.8129853999999999E-19</v>
      </c>
      <c r="M86" s="74">
        <v>6.6508977000000002E-21</v>
      </c>
    </row>
    <row r="87" spans="3:13" x14ac:dyDescent="0.25">
      <c r="C87">
        <v>61</v>
      </c>
      <c r="D87" t="s">
        <v>348</v>
      </c>
      <c r="E87" t="s">
        <v>10</v>
      </c>
      <c r="F87" t="s">
        <v>192</v>
      </c>
      <c r="G87" s="74">
        <v>2.7916001E-8</v>
      </c>
      <c r="H87">
        <v>0</v>
      </c>
      <c r="I87" s="74">
        <v>3.8544793999999999E-9</v>
      </c>
      <c r="J87" s="74">
        <v>9.5704556000000003E-9</v>
      </c>
      <c r="K87" s="74">
        <v>1.8883324000000001E-12</v>
      </c>
      <c r="L87" s="74">
        <v>1.4376934000000001E-8</v>
      </c>
      <c r="M87" s="74">
        <v>1.1224295999999999E-10</v>
      </c>
    </row>
    <row r="88" spans="3:13" x14ac:dyDescent="0.25">
      <c r="C88">
        <v>62</v>
      </c>
      <c r="D88" t="s">
        <v>683</v>
      </c>
      <c r="E88" t="s">
        <v>10</v>
      </c>
      <c r="F88" t="s">
        <v>192</v>
      </c>
      <c r="G88" s="74">
        <v>8.6484595E-9</v>
      </c>
      <c r="H88">
        <v>0</v>
      </c>
      <c r="I88" s="74">
        <v>6.3484048000000002E-10</v>
      </c>
      <c r="J88" s="74">
        <v>4.3329038999999998E-9</v>
      </c>
      <c r="K88" s="74">
        <v>3.2301412000000001E-12</v>
      </c>
      <c r="L88" s="74">
        <v>2.5022561E-9</v>
      </c>
      <c r="M88" s="74">
        <v>1.1752288999999999E-9</v>
      </c>
    </row>
    <row r="89" spans="3:13" x14ac:dyDescent="0.25">
      <c r="C89">
        <v>63</v>
      </c>
      <c r="D89" t="s">
        <v>349</v>
      </c>
      <c r="E89" t="s">
        <v>10</v>
      </c>
      <c r="F89" t="s">
        <v>192</v>
      </c>
      <c r="G89" s="74">
        <v>3.8828139999999999E-19</v>
      </c>
      <c r="H89">
        <v>0</v>
      </c>
      <c r="I89" s="74">
        <v>5.2375669000000002E-20</v>
      </c>
      <c r="J89" s="74">
        <v>1.3224839000000001E-19</v>
      </c>
      <c r="K89" s="74">
        <v>1.5080664999999999E-21</v>
      </c>
      <c r="L89" s="74">
        <v>2.0023433E-19</v>
      </c>
      <c r="M89" s="74">
        <v>1.9149371E-21</v>
      </c>
    </row>
    <row r="90" spans="3:13" x14ac:dyDescent="0.25">
      <c r="C90">
        <v>64</v>
      </c>
      <c r="D90" t="s">
        <v>684</v>
      </c>
      <c r="E90" t="s">
        <v>10</v>
      </c>
      <c r="F90" t="s">
        <v>192</v>
      </c>
      <c r="G90" s="74">
        <v>8.8432961999999999E-12</v>
      </c>
      <c r="H90">
        <v>0</v>
      </c>
      <c r="I90" s="74">
        <v>1.1663582999999999E-12</v>
      </c>
      <c r="J90" s="74">
        <v>2.9140949999999998E-12</v>
      </c>
      <c r="K90" s="74">
        <v>7.7648307999999999E-16</v>
      </c>
      <c r="L90" s="74">
        <v>4.4095851000000004E-12</v>
      </c>
      <c r="M90" s="74">
        <v>3.5248138000000001E-13</v>
      </c>
    </row>
    <row r="91" spans="3:13" x14ac:dyDescent="0.25">
      <c r="C91">
        <v>65</v>
      </c>
      <c r="D91" t="s">
        <v>350</v>
      </c>
      <c r="E91" t="s">
        <v>10</v>
      </c>
      <c r="F91" t="s">
        <v>192</v>
      </c>
      <c r="G91" s="74">
        <v>5.0398342E-6</v>
      </c>
      <c r="H91">
        <v>0</v>
      </c>
      <c r="I91" s="74">
        <v>4.8305910999999999E-7</v>
      </c>
      <c r="J91" s="74">
        <v>1.8126564000000001E-6</v>
      </c>
      <c r="K91" s="74">
        <v>1.4145375E-9</v>
      </c>
      <c r="L91" s="74">
        <v>1.8663088E-6</v>
      </c>
      <c r="M91" s="74">
        <v>8.7639532999999999E-7</v>
      </c>
    </row>
    <row r="92" spans="3:13" x14ac:dyDescent="0.25">
      <c r="C92">
        <v>66</v>
      </c>
      <c r="D92" t="s">
        <v>351</v>
      </c>
      <c r="E92" t="s">
        <v>10</v>
      </c>
      <c r="F92" t="s">
        <v>192</v>
      </c>
      <c r="G92">
        <v>2.9447580000000001E-2</v>
      </c>
      <c r="H92">
        <v>0</v>
      </c>
      <c r="I92">
        <v>2.1847436E-3</v>
      </c>
      <c r="J92">
        <v>6.4678495999999997E-3</v>
      </c>
      <c r="K92" s="74">
        <v>2.7236138999999998E-5</v>
      </c>
      <c r="L92">
        <v>6.5655647999999997E-3</v>
      </c>
      <c r="M92">
        <v>1.4202186E-2</v>
      </c>
    </row>
    <row r="93" spans="3:13" x14ac:dyDescent="0.25">
      <c r="C93">
        <v>67</v>
      </c>
      <c r="D93" t="s">
        <v>352</v>
      </c>
      <c r="E93" t="s">
        <v>10</v>
      </c>
      <c r="F93" t="s">
        <v>192</v>
      </c>
      <c r="G93" s="74">
        <v>2.8128490000000002E-19</v>
      </c>
      <c r="H93">
        <v>0</v>
      </c>
      <c r="I93" s="74">
        <v>3.8134442999999998E-20</v>
      </c>
      <c r="J93" s="74">
        <v>9.5436939999999996E-20</v>
      </c>
      <c r="K93" s="74">
        <v>1.6579666E-21</v>
      </c>
      <c r="L93" s="74">
        <v>1.4458628E-19</v>
      </c>
      <c r="M93" s="74">
        <v>1.4692753E-21</v>
      </c>
    </row>
    <row r="94" spans="3:13" x14ac:dyDescent="0.25">
      <c r="C94">
        <v>68</v>
      </c>
      <c r="D94" t="s">
        <v>353</v>
      </c>
      <c r="E94" t="s">
        <v>10</v>
      </c>
      <c r="F94" t="s">
        <v>192</v>
      </c>
      <c r="G94" s="74">
        <v>9.3239925000000006E-9</v>
      </c>
      <c r="H94">
        <v>0</v>
      </c>
      <c r="I94" s="74">
        <v>1.0103679000000001E-9</v>
      </c>
      <c r="J94" s="74">
        <v>2.6014860999999999E-9</v>
      </c>
      <c r="K94" s="74">
        <v>1.7610481E-12</v>
      </c>
      <c r="L94" s="74">
        <v>4.0649791000000003E-9</v>
      </c>
      <c r="M94" s="74">
        <v>1.6453983E-9</v>
      </c>
    </row>
    <row r="95" spans="3:13" x14ac:dyDescent="0.25">
      <c r="C95">
        <v>69</v>
      </c>
      <c r="D95" t="s">
        <v>354</v>
      </c>
      <c r="E95" t="s">
        <v>10</v>
      </c>
      <c r="F95" t="s">
        <v>305</v>
      </c>
      <c r="G95">
        <v>1.3410426</v>
      </c>
      <c r="H95">
        <v>0</v>
      </c>
      <c r="I95">
        <v>1.8150955E-3</v>
      </c>
      <c r="J95">
        <v>4.6696906999999996E-3</v>
      </c>
      <c r="K95" s="74">
        <v>3.4416674000000001E-5</v>
      </c>
      <c r="L95">
        <v>3.4788032E-3</v>
      </c>
      <c r="M95">
        <v>1.3310446</v>
      </c>
    </row>
    <row r="96" spans="3:13" x14ac:dyDescent="0.25">
      <c r="C96">
        <v>70</v>
      </c>
      <c r="D96" t="s">
        <v>358</v>
      </c>
      <c r="E96" t="s">
        <v>10</v>
      </c>
      <c r="F96" t="s">
        <v>192</v>
      </c>
      <c r="G96" s="74">
        <v>1.0203698000000001E-10</v>
      </c>
      <c r="H96">
        <v>0</v>
      </c>
      <c r="I96" s="74">
        <v>1.1918592000000001E-12</v>
      </c>
      <c r="J96" s="74">
        <v>9.2129634999999999E-11</v>
      </c>
      <c r="K96" s="74">
        <v>9.1080737999999998E-15</v>
      </c>
      <c r="L96" s="74">
        <v>4.5513621000000001E-12</v>
      </c>
      <c r="M96" s="74">
        <v>4.1550147000000004E-12</v>
      </c>
    </row>
    <row r="97" spans="3:13" x14ac:dyDescent="0.25">
      <c r="C97">
        <v>71</v>
      </c>
      <c r="D97" t="s">
        <v>685</v>
      </c>
      <c r="E97" t="s">
        <v>10</v>
      </c>
      <c r="F97" t="s">
        <v>192</v>
      </c>
      <c r="G97" s="74">
        <v>4.6258214000000002E-5</v>
      </c>
      <c r="H97">
        <v>0</v>
      </c>
      <c r="I97" s="74">
        <v>9.7332420000000003E-8</v>
      </c>
      <c r="J97" s="74">
        <v>3.9822728000000002E-7</v>
      </c>
      <c r="K97" s="74">
        <v>3.2916954000000001E-8</v>
      </c>
      <c r="L97" s="74">
        <v>4.4487017000000003E-5</v>
      </c>
      <c r="M97" s="74">
        <v>1.2427200000000001E-6</v>
      </c>
    </row>
    <row r="98" spans="3:13" x14ac:dyDescent="0.25">
      <c r="C98">
        <v>72</v>
      </c>
      <c r="D98" t="s">
        <v>686</v>
      </c>
      <c r="E98" t="s">
        <v>10</v>
      </c>
      <c r="F98" t="s">
        <v>192</v>
      </c>
      <c r="G98" s="74">
        <v>2.6497002999999999E-5</v>
      </c>
      <c r="H98">
        <v>0</v>
      </c>
      <c r="I98" s="74">
        <v>1.7125940999999999E-6</v>
      </c>
      <c r="J98" s="74">
        <v>8.4858635999999996E-6</v>
      </c>
      <c r="K98" s="74">
        <v>1.1577215999999999E-8</v>
      </c>
      <c r="L98" s="74">
        <v>6.6812515999999996E-6</v>
      </c>
      <c r="M98" s="74">
        <v>9.6057164000000004E-6</v>
      </c>
    </row>
    <row r="99" spans="3:13" x14ac:dyDescent="0.25">
      <c r="C99">
        <v>73</v>
      </c>
      <c r="D99" t="s">
        <v>364</v>
      </c>
      <c r="E99" t="s">
        <v>10</v>
      </c>
      <c r="F99" t="s">
        <v>305</v>
      </c>
      <c r="G99">
        <v>1.4649095999999999E-3</v>
      </c>
      <c r="H99">
        <v>0</v>
      </c>
      <c r="I99" s="74">
        <v>5.3418591999999999E-6</v>
      </c>
      <c r="J99" s="74">
        <v>1.3204776E-5</v>
      </c>
      <c r="K99" s="74">
        <v>1.1174564E-7</v>
      </c>
      <c r="L99" s="74">
        <v>1.0089097E-5</v>
      </c>
      <c r="M99">
        <v>1.4361621E-3</v>
      </c>
    </row>
    <row r="100" spans="3:13" x14ac:dyDescent="0.25">
      <c r="C100">
        <v>74</v>
      </c>
      <c r="D100" t="s">
        <v>687</v>
      </c>
      <c r="E100" t="s">
        <v>10</v>
      </c>
      <c r="F100" t="s">
        <v>305</v>
      </c>
      <c r="G100">
        <v>9.0292113999999998E-4</v>
      </c>
      <c r="H100">
        <v>0</v>
      </c>
      <c r="I100" s="74">
        <v>3.1401122E-6</v>
      </c>
      <c r="J100" s="74">
        <v>7.7963488999999993E-6</v>
      </c>
      <c r="K100" s="74">
        <v>6.5835520000000001E-8</v>
      </c>
      <c r="L100" s="74">
        <v>5.9159190999999998E-6</v>
      </c>
      <c r="M100">
        <v>8.8600292E-4</v>
      </c>
    </row>
    <row r="101" spans="3:13" x14ac:dyDescent="0.25">
      <c r="C101">
        <v>75</v>
      </c>
      <c r="D101" t="s">
        <v>688</v>
      </c>
      <c r="E101" t="s">
        <v>10</v>
      </c>
      <c r="F101" t="s">
        <v>192</v>
      </c>
      <c r="G101" s="74">
        <v>6.2294351999999997E-9</v>
      </c>
      <c r="H101">
        <v>0</v>
      </c>
      <c r="I101" s="74">
        <v>4.0262129000000001E-10</v>
      </c>
      <c r="J101" s="74">
        <v>1.9954747999999998E-9</v>
      </c>
      <c r="K101" s="74">
        <v>2.7094075E-12</v>
      </c>
      <c r="L101" s="74">
        <v>1.5699504000000001E-9</v>
      </c>
      <c r="M101" s="74">
        <v>2.2586794000000001E-9</v>
      </c>
    </row>
    <row r="102" spans="3:13" x14ac:dyDescent="0.25">
      <c r="C102">
        <v>76</v>
      </c>
      <c r="D102" t="s">
        <v>365</v>
      </c>
      <c r="E102" t="s">
        <v>10</v>
      </c>
      <c r="F102" t="s">
        <v>305</v>
      </c>
      <c r="G102">
        <v>7.8374659999999999E-2</v>
      </c>
      <c r="H102">
        <v>0</v>
      </c>
      <c r="I102">
        <v>1.5617448000000001E-4</v>
      </c>
      <c r="J102">
        <v>3.8762383999999998E-4</v>
      </c>
      <c r="K102" s="74">
        <v>3.2635225000000001E-6</v>
      </c>
      <c r="L102">
        <v>2.9306003999999999E-4</v>
      </c>
      <c r="M102">
        <v>7.7534538E-2</v>
      </c>
    </row>
    <row r="103" spans="3:13" x14ac:dyDescent="0.25">
      <c r="C103">
        <v>77</v>
      </c>
      <c r="D103" t="s">
        <v>689</v>
      </c>
      <c r="E103" t="s">
        <v>10</v>
      </c>
      <c r="F103" t="s">
        <v>305</v>
      </c>
      <c r="G103">
        <v>5.2639178E-4</v>
      </c>
      <c r="H103">
        <v>0</v>
      </c>
      <c r="I103" s="74">
        <v>1.8306462999999999E-6</v>
      </c>
      <c r="J103" s="74">
        <v>4.5451743999999996E-6</v>
      </c>
      <c r="K103" s="74">
        <v>3.8381287999999997E-8</v>
      </c>
      <c r="L103" s="74">
        <v>3.4489072E-6</v>
      </c>
      <c r="M103">
        <v>5.1652866999999996E-4</v>
      </c>
    </row>
    <row r="104" spans="3:13" x14ac:dyDescent="0.25">
      <c r="C104">
        <v>78</v>
      </c>
      <c r="D104" t="s">
        <v>366</v>
      </c>
      <c r="E104" t="s">
        <v>10</v>
      </c>
      <c r="F104" t="s">
        <v>305</v>
      </c>
      <c r="G104">
        <v>10.287322</v>
      </c>
      <c r="H104">
        <v>0</v>
      </c>
      <c r="I104">
        <v>3.0047922000000001E-2</v>
      </c>
      <c r="J104">
        <v>7.3184752000000006E-2</v>
      </c>
      <c r="K104">
        <v>6.5767908999999995E-4</v>
      </c>
      <c r="L104">
        <v>5.5815574999999999E-2</v>
      </c>
      <c r="M104">
        <v>10.127616</v>
      </c>
    </row>
    <row r="105" spans="3:13" x14ac:dyDescent="0.25">
      <c r="C105">
        <v>79</v>
      </c>
      <c r="D105" t="s">
        <v>367</v>
      </c>
      <c r="E105" t="s">
        <v>10</v>
      </c>
      <c r="F105" t="s">
        <v>192</v>
      </c>
      <c r="G105" s="74">
        <v>4.9140446000000003E-9</v>
      </c>
      <c r="H105">
        <v>0</v>
      </c>
      <c r="I105" s="74">
        <v>7.2538623000000001E-12</v>
      </c>
      <c r="J105" s="74">
        <v>1.2547066999999999E-10</v>
      </c>
      <c r="K105" s="74">
        <v>1.2897271000000001E-13</v>
      </c>
      <c r="L105" s="74">
        <v>1.5779962E-11</v>
      </c>
      <c r="M105" s="74">
        <v>4.7654111000000003E-9</v>
      </c>
    </row>
    <row r="106" spans="3:13" x14ac:dyDescent="0.25">
      <c r="C106">
        <v>80</v>
      </c>
      <c r="D106" t="s">
        <v>690</v>
      </c>
      <c r="E106" t="s">
        <v>10</v>
      </c>
      <c r="F106" t="s">
        <v>192</v>
      </c>
      <c r="G106" s="74">
        <v>2.5975087999999999E-5</v>
      </c>
      <c r="H106">
        <v>0</v>
      </c>
      <c r="I106" s="74">
        <v>1.0214497E-7</v>
      </c>
      <c r="J106" s="74">
        <v>2.1499779999999999E-5</v>
      </c>
      <c r="K106" s="74">
        <v>2.5451077999999999E-8</v>
      </c>
      <c r="L106" s="74">
        <v>4.0461532E-6</v>
      </c>
      <c r="M106" s="74">
        <v>3.0155867999999998E-7</v>
      </c>
    </row>
    <row r="107" spans="3:13" x14ac:dyDescent="0.25">
      <c r="C107">
        <v>81</v>
      </c>
      <c r="D107" t="s">
        <v>691</v>
      </c>
      <c r="E107" t="s">
        <v>10</v>
      </c>
      <c r="F107" t="s">
        <v>192</v>
      </c>
      <c r="G107">
        <v>7.3785440999999993E-2</v>
      </c>
      <c r="H107">
        <v>0</v>
      </c>
      <c r="I107">
        <v>1.2131265000000001E-3</v>
      </c>
      <c r="J107">
        <v>1.5962800999999999E-2</v>
      </c>
      <c r="K107">
        <v>4.5870884E-4</v>
      </c>
      <c r="L107">
        <v>7.4103635000000003E-3</v>
      </c>
      <c r="M107">
        <v>4.8740441000000002E-2</v>
      </c>
    </row>
    <row r="108" spans="3:13" x14ac:dyDescent="0.25">
      <c r="C108">
        <v>82</v>
      </c>
      <c r="D108" t="s">
        <v>692</v>
      </c>
      <c r="E108" t="s">
        <v>10</v>
      </c>
      <c r="F108" t="s">
        <v>192</v>
      </c>
      <c r="G108" s="74">
        <v>1.0388943000000001E-5</v>
      </c>
      <c r="H108">
        <v>0</v>
      </c>
      <c r="I108" s="74">
        <v>9.0719591999999999E-7</v>
      </c>
      <c r="J108" s="74">
        <v>3.7851854000000002E-6</v>
      </c>
      <c r="K108" s="74">
        <v>2.9669646000000001E-9</v>
      </c>
      <c r="L108" s="74">
        <v>3.2738020999999999E-6</v>
      </c>
      <c r="M108" s="74">
        <v>2.4197929000000002E-6</v>
      </c>
    </row>
    <row r="109" spans="3:13" x14ac:dyDescent="0.25">
      <c r="C109">
        <v>83</v>
      </c>
      <c r="D109" t="s">
        <v>369</v>
      </c>
      <c r="E109" t="s">
        <v>10</v>
      </c>
      <c r="F109" t="s">
        <v>192</v>
      </c>
      <c r="G109" s="74">
        <v>8.7354106999999994E-8</v>
      </c>
      <c r="H109">
        <v>0</v>
      </c>
      <c r="I109" s="74">
        <v>4.7984642999999997E-10</v>
      </c>
      <c r="J109" s="74">
        <v>6.0095693999999998E-9</v>
      </c>
      <c r="K109" s="74">
        <v>3.5815079999999999E-8</v>
      </c>
      <c r="L109" s="74">
        <v>3.4886438E-8</v>
      </c>
      <c r="M109" s="74">
        <v>1.0163174000000001E-8</v>
      </c>
    </row>
    <row r="110" spans="3:13" x14ac:dyDescent="0.25">
      <c r="C110">
        <v>84</v>
      </c>
      <c r="D110" t="s">
        <v>370</v>
      </c>
      <c r="E110" t="s">
        <v>10</v>
      </c>
      <c r="F110" t="s">
        <v>192</v>
      </c>
      <c r="G110" s="74">
        <v>1.4463482999999999E-7</v>
      </c>
      <c r="H110">
        <v>0</v>
      </c>
      <c r="I110" s="74">
        <v>6.2766344999999998E-9</v>
      </c>
      <c r="J110" s="74">
        <v>4.3041124000000001E-8</v>
      </c>
      <c r="K110" s="74">
        <v>3.3433026999999997E-11</v>
      </c>
      <c r="L110" s="74">
        <v>2.9680972000000001E-8</v>
      </c>
      <c r="M110" s="74">
        <v>6.5602663999999994E-8</v>
      </c>
    </row>
    <row r="111" spans="3:13" x14ac:dyDescent="0.25">
      <c r="C111">
        <v>85</v>
      </c>
      <c r="D111" t="s">
        <v>371</v>
      </c>
      <c r="E111" t="s">
        <v>10</v>
      </c>
      <c r="F111" t="s">
        <v>192</v>
      </c>
      <c r="G111" s="74">
        <v>9.1928201999999996E-10</v>
      </c>
      <c r="H111">
        <v>0</v>
      </c>
      <c r="I111" s="74">
        <v>5.3613078000000002E-11</v>
      </c>
      <c r="J111" s="74">
        <v>3.1682309000000001E-10</v>
      </c>
      <c r="K111" s="74">
        <v>3.6255153000000002E-13</v>
      </c>
      <c r="L111" s="74">
        <v>2.7308086000000001E-10</v>
      </c>
      <c r="M111" s="74">
        <v>2.7540244000000001E-10</v>
      </c>
    </row>
    <row r="112" spans="3:13" x14ac:dyDescent="0.25">
      <c r="C112">
        <v>86</v>
      </c>
      <c r="D112" t="s">
        <v>693</v>
      </c>
      <c r="E112" t="s">
        <v>10</v>
      </c>
      <c r="F112" t="s">
        <v>192</v>
      </c>
      <c r="G112" s="74">
        <v>5.0651783000000005E-13</v>
      </c>
      <c r="H112">
        <v>0</v>
      </c>
      <c r="I112" s="74">
        <v>2.3212997999999999E-14</v>
      </c>
      <c r="J112" s="74">
        <v>1.8482612E-13</v>
      </c>
      <c r="K112" s="74">
        <v>1.750804E-16</v>
      </c>
      <c r="L112" s="74">
        <v>1.2554853999999999E-13</v>
      </c>
      <c r="M112" s="74">
        <v>1.7275509E-13</v>
      </c>
    </row>
    <row r="113" spans="3:13" x14ac:dyDescent="0.25">
      <c r="C113">
        <v>87</v>
      </c>
      <c r="D113" t="s">
        <v>372</v>
      </c>
      <c r="E113" t="s">
        <v>10</v>
      </c>
      <c r="F113" t="s">
        <v>192</v>
      </c>
      <c r="G113" s="74">
        <v>7.0632641999999995E-10</v>
      </c>
      <c r="H113">
        <v>0</v>
      </c>
      <c r="I113" s="74">
        <v>9.7372748999999999E-11</v>
      </c>
      <c r="J113" s="74">
        <v>2.4191071E-10</v>
      </c>
      <c r="K113" s="74">
        <v>4.4316606999999999E-14</v>
      </c>
      <c r="L113" s="74">
        <v>3.6415084E-10</v>
      </c>
      <c r="M113" s="74">
        <v>2.8478099000000001E-12</v>
      </c>
    </row>
    <row r="114" spans="3:13" x14ac:dyDescent="0.25">
      <c r="C114">
        <v>88</v>
      </c>
      <c r="D114" t="s">
        <v>374</v>
      </c>
      <c r="E114" t="s">
        <v>10</v>
      </c>
      <c r="F114" t="s">
        <v>192</v>
      </c>
      <c r="G114" s="74">
        <v>1.3451868E-12</v>
      </c>
      <c r="H114">
        <v>0</v>
      </c>
      <c r="I114" s="74">
        <v>7.3093102000000004E-14</v>
      </c>
      <c r="J114" s="74">
        <v>4.5563320999999996E-13</v>
      </c>
      <c r="K114" s="74">
        <v>4.8809088000000005E-16</v>
      </c>
      <c r="L114" s="74">
        <v>3.4396985000000001E-13</v>
      </c>
      <c r="M114" s="74">
        <v>4.7200259000000001E-13</v>
      </c>
    </row>
    <row r="115" spans="3:13" x14ac:dyDescent="0.25">
      <c r="C115">
        <v>89</v>
      </c>
      <c r="D115" t="s">
        <v>376</v>
      </c>
      <c r="E115" t="s">
        <v>10</v>
      </c>
      <c r="F115" t="s">
        <v>192</v>
      </c>
      <c r="G115" s="74">
        <v>7.9250415999999999E-7</v>
      </c>
      <c r="H115">
        <v>0</v>
      </c>
      <c r="I115" s="74">
        <v>7.6437084000000002E-9</v>
      </c>
      <c r="J115" s="74">
        <v>4.4070151999999999E-8</v>
      </c>
      <c r="K115" s="74">
        <v>8.1921025999999998E-11</v>
      </c>
      <c r="L115" s="74">
        <v>4.2341948E-8</v>
      </c>
      <c r="M115" s="74">
        <v>6.9836643000000005E-7</v>
      </c>
    </row>
    <row r="116" spans="3:13" x14ac:dyDescent="0.25">
      <c r="C116">
        <v>90</v>
      </c>
      <c r="D116" t="s">
        <v>377</v>
      </c>
      <c r="E116" t="s">
        <v>10</v>
      </c>
      <c r="F116" t="s">
        <v>305</v>
      </c>
      <c r="G116">
        <v>0.24194544000000001</v>
      </c>
      <c r="H116">
        <v>0</v>
      </c>
      <c r="I116">
        <v>8.9976374999999997E-4</v>
      </c>
      <c r="J116">
        <v>2.2194749999999998E-3</v>
      </c>
      <c r="K116" s="74">
        <v>1.8874052000000001E-5</v>
      </c>
      <c r="L116">
        <v>1.6987025E-3</v>
      </c>
      <c r="M116">
        <v>0.23710862999999999</v>
      </c>
    </row>
    <row r="117" spans="3:13" x14ac:dyDescent="0.25">
      <c r="C117">
        <v>91</v>
      </c>
      <c r="D117" t="s">
        <v>379</v>
      </c>
      <c r="E117" t="s">
        <v>10</v>
      </c>
      <c r="F117" t="s">
        <v>192</v>
      </c>
      <c r="G117" s="74">
        <v>1.3870252E-5</v>
      </c>
      <c r="H117">
        <v>0</v>
      </c>
      <c r="I117" s="74">
        <v>9.4879472999999997E-7</v>
      </c>
      <c r="J117" s="74">
        <v>2.8759594000000002E-6</v>
      </c>
      <c r="K117" s="74">
        <v>4.5626941E-8</v>
      </c>
      <c r="L117" s="74">
        <v>5.4408158000000002E-6</v>
      </c>
      <c r="M117" s="74">
        <v>4.5590555E-6</v>
      </c>
    </row>
    <row r="118" spans="3:13" x14ac:dyDescent="0.25">
      <c r="C118">
        <v>92</v>
      </c>
      <c r="D118" t="s">
        <v>380</v>
      </c>
      <c r="E118" t="s">
        <v>10</v>
      </c>
      <c r="F118" t="s">
        <v>192</v>
      </c>
      <c r="G118" s="74">
        <v>6.6736104999999999E-15</v>
      </c>
      <c r="H118">
        <v>0</v>
      </c>
      <c r="I118" s="74">
        <v>2.4398743000000002E-16</v>
      </c>
      <c r="J118" s="74">
        <v>1.5413996E-15</v>
      </c>
      <c r="K118" s="74">
        <v>1.4688951999999999E-18</v>
      </c>
      <c r="L118" s="74">
        <v>1.221106E-15</v>
      </c>
      <c r="M118" s="74">
        <v>3.6656486000000002E-15</v>
      </c>
    </row>
    <row r="119" spans="3:13" x14ac:dyDescent="0.25">
      <c r="C119">
        <v>93</v>
      </c>
      <c r="D119" t="s">
        <v>383</v>
      </c>
      <c r="E119" t="s">
        <v>10</v>
      </c>
      <c r="F119" t="s">
        <v>192</v>
      </c>
      <c r="G119" s="74">
        <v>3.1015558E-5</v>
      </c>
      <c r="H119">
        <v>0</v>
      </c>
      <c r="I119" s="74">
        <v>2.4720502000000002E-6</v>
      </c>
      <c r="J119" s="74">
        <v>8.3962150000000004E-6</v>
      </c>
      <c r="K119" s="74">
        <v>1.7087168E-8</v>
      </c>
      <c r="L119" s="74">
        <v>9.4491833999999992E-6</v>
      </c>
      <c r="M119" s="74">
        <v>1.0681022E-5</v>
      </c>
    </row>
    <row r="120" spans="3:13" x14ac:dyDescent="0.25">
      <c r="C120">
        <v>94</v>
      </c>
      <c r="D120" t="s">
        <v>694</v>
      </c>
      <c r="E120" t="s">
        <v>10</v>
      </c>
      <c r="F120" t="s">
        <v>305</v>
      </c>
      <c r="G120">
        <v>1.6709661000000001E-2</v>
      </c>
      <c r="H120">
        <v>0</v>
      </c>
      <c r="I120" s="74">
        <v>5.8111620000000003E-5</v>
      </c>
      <c r="J120">
        <v>1.4428098000000001E-4</v>
      </c>
      <c r="K120" s="74">
        <v>1.2183669000000001E-6</v>
      </c>
      <c r="L120">
        <v>1.0948133E-4</v>
      </c>
      <c r="M120">
        <v>1.6396569E-2</v>
      </c>
    </row>
    <row r="121" spans="3:13" x14ac:dyDescent="0.25">
      <c r="C121">
        <v>95</v>
      </c>
      <c r="D121" t="s">
        <v>384</v>
      </c>
      <c r="E121" t="s">
        <v>10</v>
      </c>
      <c r="F121" t="s">
        <v>305</v>
      </c>
      <c r="G121">
        <v>2.1889647000000001</v>
      </c>
      <c r="H121">
        <v>0</v>
      </c>
      <c r="I121">
        <v>7.8027770999999999E-3</v>
      </c>
      <c r="J121">
        <v>1.9312553E-2</v>
      </c>
      <c r="K121">
        <v>1.6481075E-4</v>
      </c>
      <c r="L121">
        <v>1.467128E-2</v>
      </c>
      <c r="M121">
        <v>2.1470132999999998</v>
      </c>
    </row>
    <row r="122" spans="3:13" x14ac:dyDescent="0.25">
      <c r="C122">
        <v>96</v>
      </c>
      <c r="D122" t="s">
        <v>385</v>
      </c>
      <c r="E122" t="s">
        <v>10</v>
      </c>
      <c r="F122" t="s">
        <v>305</v>
      </c>
      <c r="G122">
        <v>1.4413009000000001</v>
      </c>
      <c r="H122">
        <v>0</v>
      </c>
      <c r="I122">
        <v>4.9531814000000002E-3</v>
      </c>
      <c r="J122">
        <v>1.2246897E-2</v>
      </c>
      <c r="K122">
        <v>1.0418564E-4</v>
      </c>
      <c r="L122">
        <v>9.3294931000000008E-3</v>
      </c>
      <c r="M122">
        <v>1.4146671</v>
      </c>
    </row>
    <row r="123" spans="3:13" x14ac:dyDescent="0.25">
      <c r="C123">
        <v>97</v>
      </c>
      <c r="D123" t="s">
        <v>695</v>
      </c>
      <c r="E123" t="s">
        <v>10</v>
      </c>
      <c r="F123" t="s">
        <v>192</v>
      </c>
      <c r="G123">
        <v>6.3754711000000002E-3</v>
      </c>
      <c r="H123">
        <v>0</v>
      </c>
      <c r="I123">
        <v>3.9880817999999999E-4</v>
      </c>
      <c r="J123">
        <v>1.8270786E-3</v>
      </c>
      <c r="K123" s="74">
        <v>5.4906177999999998E-6</v>
      </c>
      <c r="L123">
        <v>3.0256466000000001E-3</v>
      </c>
      <c r="M123">
        <v>1.1184471999999999E-3</v>
      </c>
    </row>
    <row r="124" spans="3:13" x14ac:dyDescent="0.25">
      <c r="C124">
        <v>98</v>
      </c>
      <c r="D124" t="s">
        <v>386</v>
      </c>
      <c r="E124" t="s">
        <v>10</v>
      </c>
      <c r="F124" t="s">
        <v>192</v>
      </c>
      <c r="G124">
        <v>2.1488582E-4</v>
      </c>
      <c r="H124">
        <v>0</v>
      </c>
      <c r="I124" s="74">
        <v>8.1923579999999998E-6</v>
      </c>
      <c r="J124" s="74">
        <v>2.8159339E-5</v>
      </c>
      <c r="K124" s="74">
        <v>6.6237888000000005E-8</v>
      </c>
      <c r="L124" s="74">
        <v>3.0545924000000001E-5</v>
      </c>
      <c r="M124">
        <v>1.4792196000000001E-4</v>
      </c>
    </row>
    <row r="125" spans="3:13" x14ac:dyDescent="0.25">
      <c r="C125">
        <v>99</v>
      </c>
      <c r="D125" t="s">
        <v>696</v>
      </c>
      <c r="E125" t="s">
        <v>10</v>
      </c>
      <c r="F125" t="s">
        <v>192</v>
      </c>
      <c r="G125" s="74">
        <v>7.2993412000000004E-14</v>
      </c>
      <c r="H125">
        <v>0</v>
      </c>
      <c r="I125" s="74">
        <v>1.1735733000000001E-15</v>
      </c>
      <c r="J125" s="74">
        <v>6.1480568999999997E-15</v>
      </c>
      <c r="K125" s="74">
        <v>2.4211731000000001E-17</v>
      </c>
      <c r="L125" s="74">
        <v>2.5182096E-15</v>
      </c>
      <c r="M125" s="74">
        <v>6.3129360000000006E-14</v>
      </c>
    </row>
    <row r="126" spans="3:13" x14ac:dyDescent="0.25">
      <c r="C126">
        <v>100</v>
      </c>
      <c r="D126" t="s">
        <v>387</v>
      </c>
      <c r="E126" t="s">
        <v>10</v>
      </c>
      <c r="F126" t="s">
        <v>192</v>
      </c>
      <c r="G126" s="74">
        <v>2.8254862000000002E-7</v>
      </c>
      <c r="H126">
        <v>0</v>
      </c>
      <c r="I126" s="74">
        <v>1.6004092999999999E-8</v>
      </c>
      <c r="J126" s="74">
        <v>1.2173085999999999E-7</v>
      </c>
      <c r="K126" s="74">
        <v>6.4725249000000004E-10</v>
      </c>
      <c r="L126" s="74">
        <v>6.9368406000000007E-8</v>
      </c>
      <c r="M126" s="74">
        <v>7.4798011999999996E-8</v>
      </c>
    </row>
    <row r="127" spans="3:13" x14ac:dyDescent="0.25">
      <c r="C127">
        <v>101</v>
      </c>
      <c r="D127" t="s">
        <v>388</v>
      </c>
      <c r="E127" t="s">
        <v>10</v>
      </c>
      <c r="F127" t="s">
        <v>192</v>
      </c>
      <c r="G127" s="74">
        <v>1.2005985000000001E-6</v>
      </c>
      <c r="H127">
        <v>0</v>
      </c>
      <c r="I127" s="74">
        <v>1.0955277E-7</v>
      </c>
      <c r="J127" s="74">
        <v>5.5262443000000001E-7</v>
      </c>
      <c r="K127" s="74">
        <v>9.3398430000000004E-10</v>
      </c>
      <c r="L127" s="74">
        <v>4.1140170000000002E-7</v>
      </c>
      <c r="M127" s="74">
        <v>1.2608559E-7</v>
      </c>
    </row>
    <row r="128" spans="3:13" x14ac:dyDescent="0.25">
      <c r="C128">
        <v>102</v>
      </c>
      <c r="D128" t="s">
        <v>393</v>
      </c>
      <c r="E128" t="s">
        <v>10</v>
      </c>
      <c r="F128" t="s">
        <v>192</v>
      </c>
      <c r="G128" s="74">
        <v>1.2079751999999999E-16</v>
      </c>
      <c r="H128">
        <v>0</v>
      </c>
      <c r="I128" s="74">
        <v>4.4163617000000002E-18</v>
      </c>
      <c r="J128" s="74">
        <v>2.7900528000000002E-17</v>
      </c>
      <c r="K128" s="74">
        <v>2.6588140999999999E-20</v>
      </c>
      <c r="L128" s="74">
        <v>2.2102965E-17</v>
      </c>
      <c r="M128" s="74">
        <v>6.6351081000000006E-17</v>
      </c>
    </row>
    <row r="129" spans="3:13" x14ac:dyDescent="0.25">
      <c r="C129">
        <v>103</v>
      </c>
      <c r="D129" t="s">
        <v>697</v>
      </c>
      <c r="E129" t="s">
        <v>10</v>
      </c>
      <c r="F129" t="s">
        <v>192</v>
      </c>
      <c r="G129" s="74">
        <v>2.7954475999999998E-28</v>
      </c>
      <c r="H129">
        <v>0</v>
      </c>
      <c r="I129" s="74">
        <v>3.8318264000000002E-29</v>
      </c>
      <c r="J129" s="74">
        <v>9.5191735000000001E-29</v>
      </c>
      <c r="K129" s="74">
        <v>1.1081846999999999E-30</v>
      </c>
      <c r="L129" s="74">
        <v>1.4360892000000001E-28</v>
      </c>
      <c r="M129" s="74">
        <v>1.3176635E-30</v>
      </c>
    </row>
    <row r="130" spans="3:13" x14ac:dyDescent="0.25">
      <c r="C130">
        <v>104</v>
      </c>
      <c r="D130" t="s">
        <v>394</v>
      </c>
      <c r="E130" t="s">
        <v>10</v>
      </c>
      <c r="F130" t="s">
        <v>192</v>
      </c>
      <c r="G130" s="74">
        <v>2.5192510999999998E-16</v>
      </c>
      <c r="H130">
        <v>0</v>
      </c>
      <c r="I130" s="74">
        <v>3.4398724999999997E-17</v>
      </c>
      <c r="J130" s="74">
        <v>8.5464059999999996E-17</v>
      </c>
      <c r="K130" s="74">
        <v>1.498516E-18</v>
      </c>
      <c r="L130" s="74">
        <v>1.2927151E-16</v>
      </c>
      <c r="M130" s="74">
        <v>1.2922909E-18</v>
      </c>
    </row>
    <row r="131" spans="3:13" x14ac:dyDescent="0.25">
      <c r="C131">
        <v>105</v>
      </c>
      <c r="D131" t="s">
        <v>395</v>
      </c>
      <c r="E131" t="s">
        <v>10</v>
      </c>
      <c r="F131" t="s">
        <v>192</v>
      </c>
      <c r="G131" s="74">
        <v>1.070025E-18</v>
      </c>
      <c r="H131">
        <v>0</v>
      </c>
      <c r="I131" s="74">
        <v>4.0477682999999999E-20</v>
      </c>
      <c r="J131" s="74">
        <v>3.6802937999999999E-19</v>
      </c>
      <c r="K131" s="74">
        <v>3.3542661E-22</v>
      </c>
      <c r="L131" s="74">
        <v>6.4552209000000004E-19</v>
      </c>
      <c r="M131" s="74">
        <v>1.5660411999999999E-20</v>
      </c>
    </row>
    <row r="132" spans="3:13" x14ac:dyDescent="0.25">
      <c r="C132">
        <v>106</v>
      </c>
      <c r="D132" t="s">
        <v>698</v>
      </c>
      <c r="E132" t="s">
        <v>10</v>
      </c>
      <c r="F132" t="s">
        <v>192</v>
      </c>
      <c r="G132" s="74">
        <v>2.2504267E-8</v>
      </c>
      <c r="H132">
        <v>0</v>
      </c>
      <c r="I132" s="74">
        <v>2.9346754000000002E-10</v>
      </c>
      <c r="J132" s="74">
        <v>9.3823550000000007E-10</v>
      </c>
      <c r="K132" s="74">
        <v>5.9970978000000003E-12</v>
      </c>
      <c r="L132" s="74">
        <v>5.8296819000000001E-10</v>
      </c>
      <c r="M132" s="74">
        <v>2.0683599E-8</v>
      </c>
    </row>
    <row r="133" spans="3:13" x14ac:dyDescent="0.25">
      <c r="C133">
        <v>107</v>
      </c>
      <c r="D133" t="s">
        <v>699</v>
      </c>
      <c r="E133" t="s">
        <v>10</v>
      </c>
      <c r="F133" t="s">
        <v>192</v>
      </c>
      <c r="G133" s="74">
        <v>1.0663095E-11</v>
      </c>
      <c r="H133">
        <v>0</v>
      </c>
      <c r="I133" s="74">
        <v>6.1790356000000004E-13</v>
      </c>
      <c r="J133" s="74">
        <v>3.3235656E-12</v>
      </c>
      <c r="K133" s="74">
        <v>5.9978214999999998E-15</v>
      </c>
      <c r="L133" s="74">
        <v>2.7572380000000001E-12</v>
      </c>
      <c r="M133" s="74">
        <v>3.9583896000000002E-12</v>
      </c>
    </row>
    <row r="134" spans="3:13" x14ac:dyDescent="0.25">
      <c r="C134">
        <v>108</v>
      </c>
      <c r="D134" t="s">
        <v>397</v>
      </c>
      <c r="E134" t="s">
        <v>10</v>
      </c>
      <c r="F134" t="s">
        <v>192</v>
      </c>
      <c r="G134" s="74">
        <v>3.6838936E-12</v>
      </c>
      <c r="H134">
        <v>0</v>
      </c>
      <c r="I134" s="74">
        <v>1.2732338E-13</v>
      </c>
      <c r="J134" s="74">
        <v>1.2700312000000001E-12</v>
      </c>
      <c r="K134" s="74">
        <v>1.2597205E-15</v>
      </c>
      <c r="L134" s="74">
        <v>8.2525656999999996E-13</v>
      </c>
      <c r="M134" s="74">
        <v>1.4600227E-12</v>
      </c>
    </row>
    <row r="135" spans="3:13" x14ac:dyDescent="0.25">
      <c r="C135">
        <v>109</v>
      </c>
      <c r="D135" t="s">
        <v>400</v>
      </c>
      <c r="E135" t="s">
        <v>10</v>
      </c>
      <c r="F135" t="s">
        <v>192</v>
      </c>
      <c r="G135" s="74">
        <v>2.4542482E-17</v>
      </c>
      <c r="H135">
        <v>0</v>
      </c>
      <c r="I135" s="74">
        <v>3.3511152999999999E-18</v>
      </c>
      <c r="J135" s="74">
        <v>8.3258876999999997E-18</v>
      </c>
      <c r="K135" s="74">
        <v>1.4598506000000001E-19</v>
      </c>
      <c r="L135" s="74">
        <v>1.2593598999999999E-17</v>
      </c>
      <c r="M135" s="74">
        <v>1.2589466999999999E-19</v>
      </c>
    </row>
    <row r="136" spans="3:13" x14ac:dyDescent="0.25">
      <c r="C136">
        <v>110</v>
      </c>
      <c r="D136" t="s">
        <v>403</v>
      </c>
      <c r="E136" t="s">
        <v>10</v>
      </c>
      <c r="F136" t="s">
        <v>192</v>
      </c>
      <c r="G136" s="74">
        <v>1.5066304999999999E-11</v>
      </c>
      <c r="H136">
        <v>0</v>
      </c>
      <c r="I136" s="74">
        <v>3.9058082000000002E-13</v>
      </c>
      <c r="J136" s="74">
        <v>2.4836203E-12</v>
      </c>
      <c r="K136" s="74">
        <v>4.5307471000000002E-12</v>
      </c>
      <c r="L136" s="74">
        <v>5.0125349000000003E-12</v>
      </c>
      <c r="M136" s="74">
        <v>2.6488222000000001E-12</v>
      </c>
    </row>
    <row r="137" spans="3:13" x14ac:dyDescent="0.25">
      <c r="C137">
        <v>111</v>
      </c>
      <c r="D137" t="s">
        <v>700</v>
      </c>
      <c r="E137" t="s">
        <v>10</v>
      </c>
      <c r="F137" t="s">
        <v>192</v>
      </c>
      <c r="G137" s="74">
        <v>1.7704501E-26</v>
      </c>
      <c r="H137">
        <v>0</v>
      </c>
      <c r="I137" s="74">
        <v>2.4268233999999999E-27</v>
      </c>
      <c r="J137" s="74">
        <v>6.0288098000000001E-27</v>
      </c>
      <c r="K137" s="74">
        <v>7.0185027999999996E-29</v>
      </c>
      <c r="L137" s="74">
        <v>9.0952312000000001E-27</v>
      </c>
      <c r="M137" s="74">
        <v>8.3452018000000005E-29</v>
      </c>
    </row>
    <row r="138" spans="3:13" x14ac:dyDescent="0.25">
      <c r="C138">
        <v>112</v>
      </c>
      <c r="D138" t="s">
        <v>407</v>
      </c>
      <c r="E138" t="s">
        <v>10</v>
      </c>
      <c r="F138" t="s">
        <v>192</v>
      </c>
      <c r="G138" s="74">
        <v>2.1379564999999999E-12</v>
      </c>
      <c r="H138">
        <v>0</v>
      </c>
      <c r="I138" s="74">
        <v>7.1455645000000001E-14</v>
      </c>
      <c r="J138" s="74">
        <v>7.3270750999999997E-13</v>
      </c>
      <c r="K138" s="74">
        <v>7.3032256000000003E-16</v>
      </c>
      <c r="L138" s="74">
        <v>4.7378204000000001E-13</v>
      </c>
      <c r="M138" s="74">
        <v>8.5928096999999996E-13</v>
      </c>
    </row>
    <row r="139" spans="3:13" x14ac:dyDescent="0.25">
      <c r="C139">
        <v>113</v>
      </c>
      <c r="D139" t="s">
        <v>701</v>
      </c>
      <c r="E139" t="s">
        <v>10</v>
      </c>
      <c r="F139" t="s">
        <v>192</v>
      </c>
      <c r="G139" s="74">
        <v>2.2392132999999999E-18</v>
      </c>
      <c r="H139">
        <v>0</v>
      </c>
      <c r="I139" s="74">
        <v>3.0693748E-19</v>
      </c>
      <c r="J139" s="74">
        <v>7.6250613000000002E-19</v>
      </c>
      <c r="K139" s="74">
        <v>8.8767958999999996E-21</v>
      </c>
      <c r="L139" s="74">
        <v>1.1503380999999999E-18</v>
      </c>
      <c r="M139" s="74">
        <v>1.0554766E-20</v>
      </c>
    </row>
    <row r="140" spans="3:13" x14ac:dyDescent="0.25">
      <c r="C140">
        <v>114</v>
      </c>
      <c r="D140" t="s">
        <v>702</v>
      </c>
      <c r="E140" t="s">
        <v>10</v>
      </c>
      <c r="F140" t="s">
        <v>192</v>
      </c>
      <c r="G140">
        <v>3.5137899000000001E-3</v>
      </c>
      <c r="H140">
        <v>0</v>
      </c>
      <c r="I140">
        <v>2.4451384999999999E-4</v>
      </c>
      <c r="J140">
        <v>1.0007426E-3</v>
      </c>
      <c r="K140" s="74">
        <v>4.1205696999999998E-6</v>
      </c>
      <c r="L140">
        <v>1.8042043999999999E-3</v>
      </c>
      <c r="M140">
        <v>4.6020845999999999E-4</v>
      </c>
    </row>
    <row r="141" spans="3:13" x14ac:dyDescent="0.25">
      <c r="C141">
        <v>115</v>
      </c>
      <c r="D141" t="s">
        <v>703</v>
      </c>
      <c r="E141" t="s">
        <v>10</v>
      </c>
      <c r="F141" t="s">
        <v>192</v>
      </c>
      <c r="G141" s="74">
        <v>2.3687531000000001E-11</v>
      </c>
      <c r="H141">
        <v>0</v>
      </c>
      <c r="I141" s="74">
        <v>1.3726417999999999E-12</v>
      </c>
      <c r="J141" s="74">
        <v>7.3831345999999997E-12</v>
      </c>
      <c r="K141" s="74">
        <v>1.332386E-14</v>
      </c>
      <c r="L141" s="74">
        <v>6.1250661E-12</v>
      </c>
      <c r="M141" s="74">
        <v>8.7933642999999997E-12</v>
      </c>
    </row>
    <row r="142" spans="3:13" x14ac:dyDescent="0.25">
      <c r="C142">
        <v>116</v>
      </c>
      <c r="D142" t="s">
        <v>704</v>
      </c>
      <c r="E142" t="s">
        <v>10</v>
      </c>
      <c r="F142" t="s">
        <v>192</v>
      </c>
      <c r="G142" s="74">
        <v>1.8038237999999999E-8</v>
      </c>
      <c r="H142">
        <v>0</v>
      </c>
      <c r="I142" s="74">
        <v>9.2025662000000002E-10</v>
      </c>
      <c r="J142" s="74">
        <v>2.2899501E-9</v>
      </c>
      <c r="K142" s="74">
        <v>2.0772260000000001E-10</v>
      </c>
      <c r="L142" s="74">
        <v>3.0463921000000001E-9</v>
      </c>
      <c r="M142" s="74">
        <v>1.1573917E-8</v>
      </c>
    </row>
    <row r="143" spans="3:13" x14ac:dyDescent="0.25">
      <c r="C143">
        <v>117</v>
      </c>
      <c r="D143" t="s">
        <v>411</v>
      </c>
      <c r="E143" t="s">
        <v>10</v>
      </c>
      <c r="F143" t="s">
        <v>192</v>
      </c>
      <c r="G143" s="74">
        <v>1.4159621E-19</v>
      </c>
      <c r="H143">
        <v>0</v>
      </c>
      <c r="I143" s="74">
        <v>1.241765E-21</v>
      </c>
      <c r="J143" s="74">
        <v>3.4007749999999999E-20</v>
      </c>
      <c r="K143" s="74">
        <v>2.2751998E-23</v>
      </c>
      <c r="L143" s="74">
        <v>2.6580164E-20</v>
      </c>
      <c r="M143" s="74">
        <v>7.9743784000000005E-20</v>
      </c>
    </row>
    <row r="144" spans="3:13" x14ac:dyDescent="0.25">
      <c r="C144">
        <v>118</v>
      </c>
      <c r="D144" t="s">
        <v>414</v>
      </c>
      <c r="E144" t="s">
        <v>10</v>
      </c>
      <c r="F144" t="s">
        <v>192</v>
      </c>
      <c r="G144" s="74">
        <v>2.6330386999999999E-8</v>
      </c>
      <c r="H144">
        <v>0</v>
      </c>
      <c r="I144" s="74">
        <v>1.7454452999999999E-10</v>
      </c>
      <c r="J144" s="74">
        <v>5.6942368999999998E-9</v>
      </c>
      <c r="K144" s="74">
        <v>2.6884459000000001E-11</v>
      </c>
      <c r="L144" s="74">
        <v>1.6743203000000002E-8</v>
      </c>
      <c r="M144" s="74">
        <v>3.6915179999999999E-9</v>
      </c>
    </row>
    <row r="145" spans="3:13" x14ac:dyDescent="0.25">
      <c r="C145">
        <v>119</v>
      </c>
      <c r="D145" t="s">
        <v>11</v>
      </c>
      <c r="E145" t="s">
        <v>10</v>
      </c>
      <c r="F145" t="s">
        <v>192</v>
      </c>
      <c r="G145" s="74">
        <v>5.4336594000000002E-8</v>
      </c>
      <c r="H145">
        <v>0</v>
      </c>
      <c r="I145" s="74">
        <v>6.4754762999999997E-9</v>
      </c>
      <c r="J145" s="74">
        <v>2.1138177000000001E-8</v>
      </c>
      <c r="K145" s="74">
        <v>8.6266736999999993E-12</v>
      </c>
      <c r="L145" s="74">
        <v>2.4440690000000001E-8</v>
      </c>
      <c r="M145" s="74">
        <v>2.2736237999999998E-9</v>
      </c>
    </row>
    <row r="146" spans="3:13" x14ac:dyDescent="0.25">
      <c r="C146">
        <v>120</v>
      </c>
      <c r="D146" t="s">
        <v>418</v>
      </c>
      <c r="E146" t="s">
        <v>10</v>
      </c>
      <c r="F146" t="s">
        <v>192</v>
      </c>
      <c r="G146" s="74">
        <v>9.3247176000000004E-8</v>
      </c>
      <c r="H146">
        <v>0</v>
      </c>
      <c r="I146" s="74">
        <v>4.4902116999999997E-9</v>
      </c>
      <c r="J146" s="74">
        <v>5.2036136999999998E-8</v>
      </c>
      <c r="K146" s="74">
        <v>4.1611730000000002E-11</v>
      </c>
      <c r="L146" s="74">
        <v>1.8839984E-8</v>
      </c>
      <c r="M146" s="74">
        <v>1.7839230999999999E-8</v>
      </c>
    </row>
    <row r="147" spans="3:13" x14ac:dyDescent="0.25">
      <c r="C147">
        <v>121</v>
      </c>
      <c r="D147" t="s">
        <v>419</v>
      </c>
      <c r="E147" t="s">
        <v>10</v>
      </c>
      <c r="F147" t="s">
        <v>192</v>
      </c>
      <c r="G147" s="74">
        <v>1.0358324000000001E-9</v>
      </c>
      <c r="H147">
        <v>0</v>
      </c>
      <c r="I147" s="74">
        <v>6.2290685E-11</v>
      </c>
      <c r="J147" s="74">
        <v>1.3728413000000001E-10</v>
      </c>
      <c r="K147" s="74">
        <v>2.9747319999999999E-10</v>
      </c>
      <c r="L147" s="74">
        <v>4.1588727999999998E-10</v>
      </c>
      <c r="M147" s="74">
        <v>1.2289705999999999E-10</v>
      </c>
    </row>
    <row r="148" spans="3:13" x14ac:dyDescent="0.25">
      <c r="C148">
        <v>122</v>
      </c>
      <c r="D148" t="s">
        <v>422</v>
      </c>
      <c r="E148" t="s">
        <v>10</v>
      </c>
      <c r="F148" t="s">
        <v>192</v>
      </c>
      <c r="G148" s="74">
        <v>7.4629615000000004E-21</v>
      </c>
      <c r="H148">
        <v>0</v>
      </c>
      <c r="I148" s="74">
        <v>2.2444355999999999E-22</v>
      </c>
      <c r="J148" s="74">
        <v>2.5688403E-21</v>
      </c>
      <c r="K148" s="74">
        <v>2.1065471999999998E-25</v>
      </c>
      <c r="L148" s="74">
        <v>4.5544567999999997E-21</v>
      </c>
      <c r="M148" s="74">
        <v>1.1501019E-22</v>
      </c>
    </row>
    <row r="149" spans="3:13" x14ac:dyDescent="0.25">
      <c r="C149">
        <v>123</v>
      </c>
      <c r="D149" t="s">
        <v>423</v>
      </c>
      <c r="E149" t="s">
        <v>10</v>
      </c>
      <c r="F149" t="s">
        <v>192</v>
      </c>
      <c r="G149" s="74">
        <v>1.1951084E-11</v>
      </c>
      <c r="H149">
        <v>0</v>
      </c>
      <c r="I149" s="74">
        <v>6.5340755000000004E-13</v>
      </c>
      <c r="J149" s="74">
        <v>5.6043451999999997E-12</v>
      </c>
      <c r="K149" s="74">
        <v>9.2259144999999993E-15</v>
      </c>
      <c r="L149" s="74">
        <v>2.9504783E-12</v>
      </c>
      <c r="M149" s="74">
        <v>2.7336270999999999E-12</v>
      </c>
    </row>
    <row r="150" spans="3:13" x14ac:dyDescent="0.25">
      <c r="C150">
        <v>124</v>
      </c>
      <c r="D150" t="s">
        <v>425</v>
      </c>
      <c r="E150" t="s">
        <v>10</v>
      </c>
      <c r="F150" t="s">
        <v>192</v>
      </c>
      <c r="G150" s="74">
        <v>4.3475032000000003E-11</v>
      </c>
      <c r="H150">
        <v>0</v>
      </c>
      <c r="I150" s="74">
        <v>1.5068202000000001E-13</v>
      </c>
      <c r="J150" s="74">
        <v>4.1788419999999998E-11</v>
      </c>
      <c r="K150" s="74">
        <v>1.4128114999999999E-15</v>
      </c>
      <c r="L150" s="74">
        <v>8.8442369000000001E-13</v>
      </c>
      <c r="M150" s="74">
        <v>6.5009407999999998E-13</v>
      </c>
    </row>
    <row r="151" spans="3:13" x14ac:dyDescent="0.25">
      <c r="C151">
        <v>125</v>
      </c>
      <c r="D151" t="s">
        <v>426</v>
      </c>
      <c r="E151" t="s">
        <v>10</v>
      </c>
      <c r="F151" t="s">
        <v>192</v>
      </c>
      <c r="G151" s="74">
        <v>2.9090573999999999E-9</v>
      </c>
      <c r="H151">
        <v>0</v>
      </c>
      <c r="I151" s="74">
        <v>8.1845904E-13</v>
      </c>
      <c r="J151" s="74">
        <v>2.8985993000000001E-9</v>
      </c>
      <c r="K151" s="74">
        <v>1.1939245999999999E-14</v>
      </c>
      <c r="L151" s="74">
        <v>6.6336934000000001E-12</v>
      </c>
      <c r="M151" s="74">
        <v>2.9940732999999999E-12</v>
      </c>
    </row>
    <row r="152" spans="3:13" x14ac:dyDescent="0.25">
      <c r="C152">
        <v>126</v>
      </c>
      <c r="D152" t="s">
        <v>427</v>
      </c>
      <c r="E152" t="s">
        <v>10</v>
      </c>
      <c r="F152" t="s">
        <v>192</v>
      </c>
      <c r="G152" s="74">
        <v>1.5591113E-8</v>
      </c>
      <c r="H152">
        <v>0</v>
      </c>
      <c r="I152" s="74">
        <v>1.9814243000000001E-9</v>
      </c>
      <c r="J152" s="74">
        <v>6.0632891999999998E-9</v>
      </c>
      <c r="K152" s="74">
        <v>1.5890723E-11</v>
      </c>
      <c r="L152" s="74">
        <v>7.4229469000000001E-9</v>
      </c>
      <c r="M152" s="74">
        <v>1.0756238000000001E-10</v>
      </c>
    </row>
    <row r="153" spans="3:13" x14ac:dyDescent="0.25">
      <c r="C153">
        <v>127</v>
      </c>
      <c r="D153" t="s">
        <v>435</v>
      </c>
      <c r="E153" t="s">
        <v>10</v>
      </c>
      <c r="F153" t="s">
        <v>192</v>
      </c>
      <c r="G153" s="74">
        <v>5.4320084999999997E-11</v>
      </c>
      <c r="H153">
        <v>0</v>
      </c>
      <c r="I153" s="74">
        <v>1.9859441999999999E-12</v>
      </c>
      <c r="J153" s="74">
        <v>1.2546276E-11</v>
      </c>
      <c r="K153" s="74">
        <v>1.1956122999999999E-14</v>
      </c>
      <c r="L153" s="74">
        <v>9.9392345999999993E-12</v>
      </c>
      <c r="M153" s="74">
        <v>2.9836674000000003E-11</v>
      </c>
    </row>
    <row r="154" spans="3:13" x14ac:dyDescent="0.25">
      <c r="C154">
        <v>128</v>
      </c>
      <c r="D154" t="s">
        <v>436</v>
      </c>
      <c r="E154" t="s">
        <v>10</v>
      </c>
      <c r="F154" t="s">
        <v>192</v>
      </c>
      <c r="G154" s="74">
        <v>2.0020831000000001E-11</v>
      </c>
      <c r="H154">
        <v>0</v>
      </c>
      <c r="I154" s="74">
        <v>7.3196229999999996E-13</v>
      </c>
      <c r="J154" s="74">
        <v>4.6241987999999997E-12</v>
      </c>
      <c r="K154" s="74">
        <v>4.4066854999999998E-15</v>
      </c>
      <c r="L154" s="74">
        <v>3.6633179000000002E-12</v>
      </c>
      <c r="M154" s="74">
        <v>1.0996946E-11</v>
      </c>
    </row>
    <row r="155" spans="3:13" x14ac:dyDescent="0.25">
      <c r="C155">
        <v>129</v>
      </c>
      <c r="D155" t="s">
        <v>705</v>
      </c>
      <c r="E155" t="s">
        <v>10</v>
      </c>
      <c r="F155" t="s">
        <v>192</v>
      </c>
      <c r="G155">
        <v>4.5656823000000003E-4</v>
      </c>
      <c r="H155">
        <v>0</v>
      </c>
      <c r="I155" s="74">
        <v>3.8120895999999999E-5</v>
      </c>
      <c r="J155">
        <v>1.4162964000000001E-4</v>
      </c>
      <c r="K155" s="74">
        <v>1.4604594999999999E-7</v>
      </c>
      <c r="L155">
        <v>1.7603103000000001E-4</v>
      </c>
      <c r="M155">
        <v>1.0064061E-4</v>
      </c>
    </row>
    <row r="156" spans="3:13" x14ac:dyDescent="0.25">
      <c r="C156">
        <v>130</v>
      </c>
      <c r="D156" t="s">
        <v>438</v>
      </c>
      <c r="E156" t="s">
        <v>10</v>
      </c>
      <c r="F156" t="s">
        <v>192</v>
      </c>
      <c r="G156" s="74">
        <v>8.2087104999999996E-8</v>
      </c>
      <c r="H156">
        <v>0</v>
      </c>
      <c r="I156" s="74">
        <v>9.1291453000000002E-9</v>
      </c>
      <c r="J156" s="74">
        <v>2.3964408E-8</v>
      </c>
      <c r="K156" s="74">
        <v>1.1157941000000001E-11</v>
      </c>
      <c r="L156" s="74">
        <v>3.4245909999999999E-8</v>
      </c>
      <c r="M156" s="74">
        <v>1.4736483000000001E-8</v>
      </c>
    </row>
    <row r="157" spans="3:13" x14ac:dyDescent="0.25">
      <c r="C157">
        <v>131</v>
      </c>
      <c r="D157" t="s">
        <v>440</v>
      </c>
      <c r="E157" t="s">
        <v>10</v>
      </c>
      <c r="F157" t="s">
        <v>192</v>
      </c>
      <c r="G157" s="74">
        <v>4.5819412999999998E-8</v>
      </c>
      <c r="H157">
        <v>0</v>
      </c>
      <c r="I157" s="74">
        <v>1.9129901000000001E-9</v>
      </c>
      <c r="J157" s="74">
        <v>2.6627169999999999E-8</v>
      </c>
      <c r="K157" s="74">
        <v>1.4214117E-11</v>
      </c>
      <c r="L157" s="74">
        <v>1.1156243E-8</v>
      </c>
      <c r="M157" s="74">
        <v>6.1087954999999996E-9</v>
      </c>
    </row>
    <row r="158" spans="3:13" x14ac:dyDescent="0.25">
      <c r="C158">
        <v>132</v>
      </c>
      <c r="D158" t="s">
        <v>441</v>
      </c>
      <c r="E158" t="s">
        <v>10</v>
      </c>
      <c r="F158" t="s">
        <v>192</v>
      </c>
      <c r="G158" s="74">
        <v>1.1690499000000001E-12</v>
      </c>
      <c r="H158">
        <v>0</v>
      </c>
      <c r="I158" s="74">
        <v>7.1401328999999998E-14</v>
      </c>
      <c r="J158" s="74">
        <v>4.0665297999999998E-13</v>
      </c>
      <c r="K158" s="74">
        <v>5.5923972000000004E-16</v>
      </c>
      <c r="L158" s="74">
        <v>2.9921454000000001E-13</v>
      </c>
      <c r="M158" s="74">
        <v>3.9122184999999998E-13</v>
      </c>
    </row>
    <row r="159" spans="3:13" x14ac:dyDescent="0.25">
      <c r="C159">
        <v>133</v>
      </c>
      <c r="D159" t="s">
        <v>706</v>
      </c>
      <c r="E159" t="s">
        <v>10</v>
      </c>
      <c r="F159" t="s">
        <v>192</v>
      </c>
      <c r="G159" s="74">
        <v>2.0883458E-9</v>
      </c>
      <c r="H159">
        <v>0</v>
      </c>
      <c r="I159" s="74">
        <v>9.8728220999999995E-12</v>
      </c>
      <c r="J159" s="74">
        <v>1.9744080999999998E-9</v>
      </c>
      <c r="K159" s="74">
        <v>6.8894547000000005E-14</v>
      </c>
      <c r="L159" s="74">
        <v>5.1403094000000001E-11</v>
      </c>
      <c r="M159" s="74">
        <v>5.2592877999999997E-11</v>
      </c>
    </row>
    <row r="160" spans="3:13" x14ac:dyDescent="0.25">
      <c r="C160">
        <v>134</v>
      </c>
      <c r="D160" t="s">
        <v>442</v>
      </c>
      <c r="E160" t="s">
        <v>10</v>
      </c>
      <c r="F160" t="s">
        <v>192</v>
      </c>
      <c r="G160" s="74">
        <v>3.3936107E-13</v>
      </c>
      <c r="H160">
        <v>0</v>
      </c>
      <c r="I160" s="74">
        <v>2.0726792000000001E-14</v>
      </c>
      <c r="J160" s="74">
        <v>1.1804675999999999E-13</v>
      </c>
      <c r="K160" s="74">
        <v>1.6233942E-16</v>
      </c>
      <c r="L160" s="74">
        <v>8.6857934999999995E-14</v>
      </c>
      <c r="M160" s="74">
        <v>1.1356725000000001E-13</v>
      </c>
    </row>
    <row r="161" spans="3:13" x14ac:dyDescent="0.25">
      <c r="C161">
        <v>135</v>
      </c>
      <c r="D161" t="s">
        <v>707</v>
      </c>
      <c r="E161" t="s">
        <v>10</v>
      </c>
      <c r="F161" t="s">
        <v>192</v>
      </c>
      <c r="G161" s="74">
        <v>1.5925378000000001E-9</v>
      </c>
      <c r="H161">
        <v>0</v>
      </c>
      <c r="I161" s="74">
        <v>1.0388884000000001E-10</v>
      </c>
      <c r="J161" s="74">
        <v>4.9404532E-10</v>
      </c>
      <c r="K161" s="74">
        <v>1.2301525E-12</v>
      </c>
      <c r="L161" s="74">
        <v>4.3873858000000001E-10</v>
      </c>
      <c r="M161" s="74">
        <v>5.5463491000000003E-10</v>
      </c>
    </row>
    <row r="162" spans="3:13" x14ac:dyDescent="0.25">
      <c r="C162">
        <v>136</v>
      </c>
      <c r="D162" t="s">
        <v>444</v>
      </c>
      <c r="E162" t="s">
        <v>10</v>
      </c>
      <c r="F162" t="s">
        <v>192</v>
      </c>
      <c r="G162" s="74">
        <v>1.7955234E-12</v>
      </c>
      <c r="H162">
        <v>0</v>
      </c>
      <c r="I162" s="74">
        <v>1.0134299E-13</v>
      </c>
      <c r="J162" s="74">
        <v>6.0214152000000003E-13</v>
      </c>
      <c r="K162" s="74">
        <v>6.5212074E-16</v>
      </c>
      <c r="L162" s="74">
        <v>4.2112734999999998E-13</v>
      </c>
      <c r="M162" s="74">
        <v>6.7025937000000001E-13</v>
      </c>
    </row>
    <row r="163" spans="3:13" x14ac:dyDescent="0.25">
      <c r="C163">
        <v>137</v>
      </c>
      <c r="D163" t="s">
        <v>445</v>
      </c>
      <c r="E163" t="s">
        <v>10</v>
      </c>
      <c r="F163" t="s">
        <v>446</v>
      </c>
      <c r="G163">
        <v>9.8860568999999995E-2</v>
      </c>
      <c r="H163">
        <v>0</v>
      </c>
      <c r="I163">
        <v>8.4381952E-3</v>
      </c>
      <c r="J163">
        <v>2.6434450000000002E-2</v>
      </c>
      <c r="K163">
        <v>2.0468921000000001E-4</v>
      </c>
      <c r="L163">
        <v>5.7187745999999998E-2</v>
      </c>
      <c r="M163">
        <v>6.5954882000000001E-3</v>
      </c>
    </row>
    <row r="164" spans="3:13" x14ac:dyDescent="0.25">
      <c r="C164">
        <v>138</v>
      </c>
      <c r="D164" t="s">
        <v>451</v>
      </c>
      <c r="E164" t="s">
        <v>10</v>
      </c>
      <c r="F164" t="s">
        <v>192</v>
      </c>
      <c r="G164" s="74">
        <v>8.0982658000000003E-7</v>
      </c>
      <c r="H164">
        <v>0</v>
      </c>
      <c r="I164" s="74">
        <v>5.2340767999999997E-8</v>
      </c>
      <c r="J164" s="74">
        <v>2.5941172000000001E-7</v>
      </c>
      <c r="K164" s="74">
        <v>3.5222297999999999E-10</v>
      </c>
      <c r="L164" s="74">
        <v>2.0409355000000001E-7</v>
      </c>
      <c r="M164" s="74">
        <v>2.9362832000000001E-7</v>
      </c>
    </row>
    <row r="165" spans="3:13" x14ac:dyDescent="0.25">
      <c r="C165">
        <v>139</v>
      </c>
      <c r="D165" t="s">
        <v>452</v>
      </c>
      <c r="E165" t="s">
        <v>10</v>
      </c>
      <c r="F165" t="s">
        <v>192</v>
      </c>
      <c r="G165" s="74">
        <v>7.4755032999999997E-8</v>
      </c>
      <c r="H165">
        <v>0</v>
      </c>
      <c r="I165" s="74">
        <v>4.8315386E-9</v>
      </c>
      <c r="J165" s="74">
        <v>2.3946313999999999E-8</v>
      </c>
      <c r="K165" s="74">
        <v>3.2513532999999997E-11</v>
      </c>
      <c r="L165" s="74">
        <v>1.8839843000000002E-8</v>
      </c>
      <c r="M165" s="74">
        <v>2.7104825000000001E-8</v>
      </c>
    </row>
    <row r="166" spans="3:13" x14ac:dyDescent="0.25">
      <c r="C166">
        <v>140</v>
      </c>
      <c r="D166" t="s">
        <v>453</v>
      </c>
      <c r="E166" t="s">
        <v>10</v>
      </c>
      <c r="F166" t="s">
        <v>192</v>
      </c>
      <c r="G166" s="74">
        <v>3.3278324999999999E-6</v>
      </c>
      <c r="H166">
        <v>0</v>
      </c>
      <c r="I166" s="74">
        <v>2.1476160000000001E-7</v>
      </c>
      <c r="J166" s="74">
        <v>1.0644207E-6</v>
      </c>
      <c r="K166" s="74">
        <v>1.4516018E-9</v>
      </c>
      <c r="L166" s="74">
        <v>8.3795329000000003E-7</v>
      </c>
      <c r="M166" s="74">
        <v>1.2092453E-6</v>
      </c>
    </row>
    <row r="167" spans="3:13" x14ac:dyDescent="0.25">
      <c r="C167">
        <v>141</v>
      </c>
      <c r="D167" t="s">
        <v>455</v>
      </c>
      <c r="E167" t="s">
        <v>10</v>
      </c>
      <c r="F167" t="s">
        <v>192</v>
      </c>
      <c r="G167" s="74">
        <v>1.5476408000000002E-5</v>
      </c>
      <c r="H167">
        <v>0</v>
      </c>
      <c r="I167" s="74">
        <v>3.6214881999999999E-8</v>
      </c>
      <c r="J167" s="74">
        <v>1.4436156E-7</v>
      </c>
      <c r="K167" s="74">
        <v>5.1463485999999997E-9</v>
      </c>
      <c r="L167" s="74">
        <v>1.4423728E-5</v>
      </c>
      <c r="M167" s="74">
        <v>8.6695671000000001E-7</v>
      </c>
    </row>
    <row r="168" spans="3:13" x14ac:dyDescent="0.25">
      <c r="C168">
        <v>142</v>
      </c>
      <c r="D168" t="s">
        <v>457</v>
      </c>
      <c r="E168" t="s">
        <v>10</v>
      </c>
      <c r="F168" t="s">
        <v>305</v>
      </c>
      <c r="G168">
        <v>85486.307000000001</v>
      </c>
      <c r="H168">
        <v>0</v>
      </c>
      <c r="I168">
        <v>160.70117999999999</v>
      </c>
      <c r="J168">
        <v>401.57945000000001</v>
      </c>
      <c r="K168">
        <v>3.3021153000000001</v>
      </c>
      <c r="L168">
        <v>302.77260999999999</v>
      </c>
      <c r="M168">
        <v>84617.952000000005</v>
      </c>
    </row>
    <row r="169" spans="3:13" x14ac:dyDescent="0.25">
      <c r="C169">
        <v>143</v>
      </c>
      <c r="D169" t="s">
        <v>708</v>
      </c>
      <c r="E169" t="s">
        <v>10</v>
      </c>
      <c r="F169" t="s">
        <v>192</v>
      </c>
      <c r="G169" s="74">
        <v>5.3760494000000003E-6</v>
      </c>
      <c r="H169">
        <v>0</v>
      </c>
      <c r="I169" s="74">
        <v>2.5959307E-8</v>
      </c>
      <c r="J169" s="74">
        <v>8.0689522999999993E-8</v>
      </c>
      <c r="K169" s="74">
        <v>3.0028183000000002E-6</v>
      </c>
      <c r="L169" s="74">
        <v>2.1688676999999998E-6</v>
      </c>
      <c r="M169" s="74">
        <v>9.7714643000000001E-8</v>
      </c>
    </row>
    <row r="170" spans="3:13" x14ac:dyDescent="0.25">
      <c r="C170">
        <v>144</v>
      </c>
      <c r="D170" t="s">
        <v>458</v>
      </c>
      <c r="E170" t="s">
        <v>10</v>
      </c>
      <c r="F170" t="s">
        <v>192</v>
      </c>
      <c r="G170" s="74">
        <v>1.0133893000000001E-6</v>
      </c>
      <c r="H170">
        <v>0</v>
      </c>
      <c r="I170" s="74">
        <v>8.8489751000000004E-8</v>
      </c>
      <c r="J170" s="74">
        <v>3.6923485999999998E-7</v>
      </c>
      <c r="K170" s="74">
        <v>2.8940643000000001E-10</v>
      </c>
      <c r="L170" s="74">
        <v>3.1933323999999999E-7</v>
      </c>
      <c r="M170" s="74">
        <v>2.3604202999999999E-7</v>
      </c>
    </row>
    <row r="171" spans="3:13" x14ac:dyDescent="0.25">
      <c r="C171">
        <v>145</v>
      </c>
      <c r="D171" t="s">
        <v>460</v>
      </c>
      <c r="E171" t="s">
        <v>10</v>
      </c>
      <c r="F171" t="s">
        <v>192</v>
      </c>
      <c r="G171" s="74">
        <v>1.2732602E-7</v>
      </c>
      <c r="H171">
        <v>0</v>
      </c>
      <c r="I171" s="74">
        <v>5.3628742000000002E-9</v>
      </c>
      <c r="J171" s="74">
        <v>9.1843473999999996E-8</v>
      </c>
      <c r="K171" s="74">
        <v>4.3250845999999998E-12</v>
      </c>
      <c r="L171" s="74">
        <v>2.0289895000000001E-8</v>
      </c>
      <c r="M171" s="74">
        <v>9.8254470000000005E-9</v>
      </c>
    </row>
    <row r="172" spans="3:13" x14ac:dyDescent="0.25">
      <c r="C172">
        <v>146</v>
      </c>
      <c r="D172" t="s">
        <v>461</v>
      </c>
      <c r="E172" t="s">
        <v>10</v>
      </c>
      <c r="F172" t="s">
        <v>192</v>
      </c>
      <c r="G172" s="74">
        <v>2.2098003999999998E-5</v>
      </c>
      <c r="H172">
        <v>0</v>
      </c>
      <c r="I172" s="74">
        <v>1.4514748000000001E-6</v>
      </c>
      <c r="J172" s="74">
        <v>3.6271036999999998E-6</v>
      </c>
      <c r="K172" s="74">
        <v>2.350343E-8</v>
      </c>
      <c r="L172" s="74">
        <v>3.6432229000000002E-6</v>
      </c>
      <c r="M172" s="74">
        <v>1.3352699000000001E-5</v>
      </c>
    </row>
    <row r="173" spans="3:13" x14ac:dyDescent="0.25">
      <c r="C173">
        <v>147</v>
      </c>
      <c r="D173" t="s">
        <v>709</v>
      </c>
      <c r="E173" t="s">
        <v>10</v>
      </c>
      <c r="F173" t="s">
        <v>192</v>
      </c>
      <c r="G173" s="74">
        <v>1.3563205E-7</v>
      </c>
      <c r="H173">
        <v>0</v>
      </c>
      <c r="I173" s="74">
        <v>1.8142790000000002E-8</v>
      </c>
      <c r="J173" s="74">
        <v>5.0295142999999997E-8</v>
      </c>
      <c r="K173" s="74">
        <v>2.8688814E-11</v>
      </c>
      <c r="L173" s="74">
        <v>6.5835409999999999E-8</v>
      </c>
      <c r="M173" s="74">
        <v>1.3300131E-9</v>
      </c>
    </row>
    <row r="174" spans="3:13" x14ac:dyDescent="0.25">
      <c r="C174">
        <v>148</v>
      </c>
      <c r="D174" t="s">
        <v>710</v>
      </c>
      <c r="E174" t="s">
        <v>10</v>
      </c>
      <c r="F174" t="s">
        <v>192</v>
      </c>
      <c r="G174" s="74">
        <v>1.0745726E-6</v>
      </c>
      <c r="H174">
        <v>0</v>
      </c>
      <c r="I174" s="74">
        <v>2.5706719E-8</v>
      </c>
      <c r="J174" s="74">
        <v>6.7182650000000001E-8</v>
      </c>
      <c r="K174" s="74">
        <v>4.7784152000000003E-10</v>
      </c>
      <c r="L174" s="74">
        <v>5.0507873000000001E-8</v>
      </c>
      <c r="M174" s="74">
        <v>9.3069749999999997E-7</v>
      </c>
    </row>
    <row r="175" spans="3:13" x14ac:dyDescent="0.25">
      <c r="C175">
        <v>149</v>
      </c>
      <c r="D175" t="s">
        <v>465</v>
      </c>
      <c r="E175" t="s">
        <v>10</v>
      </c>
      <c r="F175" t="s">
        <v>192</v>
      </c>
      <c r="G175" s="74">
        <v>1.8960295999999998E-15</v>
      </c>
      <c r="H175">
        <v>0</v>
      </c>
      <c r="I175" s="74">
        <v>6.9318909999999997E-17</v>
      </c>
      <c r="J175" s="74">
        <v>4.3792477E-16</v>
      </c>
      <c r="K175" s="74">
        <v>4.1732564000000002E-19</v>
      </c>
      <c r="L175" s="74">
        <v>3.4692662000000002E-16</v>
      </c>
      <c r="M175" s="74">
        <v>1.0414420000000001E-15</v>
      </c>
    </row>
    <row r="176" spans="3:13" x14ac:dyDescent="0.25">
      <c r="C176">
        <v>150</v>
      </c>
      <c r="D176" t="s">
        <v>711</v>
      </c>
      <c r="E176" t="s">
        <v>10</v>
      </c>
      <c r="F176" t="s">
        <v>192</v>
      </c>
      <c r="G176" s="74">
        <v>8.5851369999999995E-7</v>
      </c>
      <c r="H176">
        <v>0</v>
      </c>
      <c r="I176" s="74">
        <v>5.3995429000000003E-8</v>
      </c>
      <c r="J176" s="74">
        <v>2.7356528999999999E-7</v>
      </c>
      <c r="K176" s="74">
        <v>4.4744744000000001E-10</v>
      </c>
      <c r="L176" s="74">
        <v>2.6378904000000002E-7</v>
      </c>
      <c r="M176" s="74">
        <v>2.667165E-7</v>
      </c>
    </row>
    <row r="177" spans="3:13" x14ac:dyDescent="0.25">
      <c r="C177">
        <v>151</v>
      </c>
      <c r="D177" t="s">
        <v>468</v>
      </c>
      <c r="E177" t="s">
        <v>10</v>
      </c>
      <c r="F177" t="s">
        <v>305</v>
      </c>
      <c r="G177">
        <v>2.3582003999999999</v>
      </c>
      <c r="H177">
        <v>0</v>
      </c>
      <c r="I177">
        <v>3.2368815999999998E-3</v>
      </c>
      <c r="J177">
        <v>8.3193923000000006E-3</v>
      </c>
      <c r="K177" s="74">
        <v>6.1551018999999999E-5</v>
      </c>
      <c r="L177">
        <v>6.2006965999999997E-3</v>
      </c>
      <c r="M177">
        <v>2.3403819000000001</v>
      </c>
    </row>
    <row r="178" spans="3:13" x14ac:dyDescent="0.25">
      <c r="C178">
        <v>152</v>
      </c>
      <c r="D178" t="s">
        <v>469</v>
      </c>
      <c r="E178" t="s">
        <v>10</v>
      </c>
      <c r="F178" t="s">
        <v>305</v>
      </c>
      <c r="G178">
        <v>2.4491026000000001E-3</v>
      </c>
      <c r="H178">
        <v>0</v>
      </c>
      <c r="I178" s="74">
        <v>8.8810763999999995E-6</v>
      </c>
      <c r="J178" s="74">
        <v>2.1964660000000001E-5</v>
      </c>
      <c r="K178" s="74">
        <v>1.8583028E-7</v>
      </c>
      <c r="L178" s="74">
        <v>1.6768755000000001E-5</v>
      </c>
      <c r="M178">
        <v>2.4013022999999998E-3</v>
      </c>
    </row>
    <row r="179" spans="3:13" x14ac:dyDescent="0.25">
      <c r="C179">
        <v>153</v>
      </c>
      <c r="D179" t="s">
        <v>470</v>
      </c>
      <c r="E179" t="s">
        <v>10</v>
      </c>
      <c r="F179" t="s">
        <v>192</v>
      </c>
      <c r="G179">
        <v>4.1426053999999999E-3</v>
      </c>
      <c r="H179">
        <v>0</v>
      </c>
      <c r="I179">
        <v>2.8119024999999999E-4</v>
      </c>
      <c r="J179">
        <v>1.0387980000000001E-3</v>
      </c>
      <c r="K179" s="74">
        <v>2.1409147000000001E-6</v>
      </c>
      <c r="L179">
        <v>1.1524825E-3</v>
      </c>
      <c r="M179">
        <v>1.6679938E-3</v>
      </c>
    </row>
    <row r="180" spans="3:13" x14ac:dyDescent="0.25">
      <c r="C180">
        <v>154</v>
      </c>
      <c r="D180" t="s">
        <v>712</v>
      </c>
      <c r="E180" t="s">
        <v>10</v>
      </c>
      <c r="F180" t="s">
        <v>305</v>
      </c>
      <c r="G180">
        <v>10.937461000000001</v>
      </c>
      <c r="H180">
        <v>0</v>
      </c>
      <c r="I180">
        <v>1.4805976E-2</v>
      </c>
      <c r="J180">
        <v>3.8090961999999999E-2</v>
      </c>
      <c r="K180">
        <v>2.8074840999999998E-4</v>
      </c>
      <c r="L180">
        <v>2.8376951000000001E-2</v>
      </c>
      <c r="M180">
        <v>10.855905999999999</v>
      </c>
    </row>
    <row r="181" spans="3:13" x14ac:dyDescent="0.25">
      <c r="C181">
        <v>155</v>
      </c>
      <c r="D181" t="s">
        <v>473</v>
      </c>
      <c r="E181" t="s">
        <v>10</v>
      </c>
      <c r="F181" t="s">
        <v>192</v>
      </c>
      <c r="G181" s="74">
        <v>1.4090767E-11</v>
      </c>
      <c r="H181">
        <v>0</v>
      </c>
      <c r="I181" s="74">
        <v>6.5642477000000001E-14</v>
      </c>
      <c r="J181" s="74">
        <v>1.3252741E-11</v>
      </c>
      <c r="K181" s="74">
        <v>8.5328275000000003E-16</v>
      </c>
      <c r="L181" s="74">
        <v>4.5389777E-13</v>
      </c>
      <c r="M181" s="74">
        <v>3.1763242000000002E-13</v>
      </c>
    </row>
    <row r="182" spans="3:13" x14ac:dyDescent="0.25">
      <c r="C182">
        <v>156</v>
      </c>
      <c r="D182" t="s">
        <v>479</v>
      </c>
      <c r="E182" t="s">
        <v>10</v>
      </c>
      <c r="F182" t="s">
        <v>192</v>
      </c>
      <c r="G182" s="74">
        <v>1.6747510000000001E-12</v>
      </c>
      <c r="H182">
        <v>0</v>
      </c>
      <c r="I182" s="74">
        <v>5.5974234000000002E-14</v>
      </c>
      <c r="J182" s="74">
        <v>5.7396050999999998E-13</v>
      </c>
      <c r="K182" s="74">
        <v>5.7209236999999996E-16</v>
      </c>
      <c r="L182" s="74">
        <v>3.7113339000000001E-13</v>
      </c>
      <c r="M182" s="74">
        <v>6.7311073999999999E-13</v>
      </c>
    </row>
    <row r="183" spans="3:13" x14ac:dyDescent="0.25">
      <c r="C183">
        <v>157</v>
      </c>
      <c r="D183" t="s">
        <v>481</v>
      </c>
      <c r="E183" t="s">
        <v>10</v>
      </c>
      <c r="F183" t="s">
        <v>192</v>
      </c>
      <c r="G183" s="74">
        <v>1.7999735000000001E-24</v>
      </c>
      <c r="H183">
        <v>0</v>
      </c>
      <c r="I183" s="74">
        <v>5.4132996000000003E-26</v>
      </c>
      <c r="J183" s="74">
        <v>6.1957234999999996E-25</v>
      </c>
      <c r="K183" s="74">
        <v>5.0807300000000003E-29</v>
      </c>
      <c r="L183" s="74">
        <v>1.0984784000000001E-24</v>
      </c>
      <c r="M183" s="74">
        <v>2.7739026999999998E-26</v>
      </c>
    </row>
    <row r="184" spans="3:13" x14ac:dyDescent="0.25">
      <c r="C184">
        <v>158</v>
      </c>
      <c r="D184" t="s">
        <v>482</v>
      </c>
      <c r="E184" t="s">
        <v>10</v>
      </c>
      <c r="F184" t="s">
        <v>305</v>
      </c>
      <c r="G184">
        <v>3.9303061000000002E-3</v>
      </c>
      <c r="H184">
        <v>0</v>
      </c>
      <c r="I184" s="74">
        <v>1.4322735999999999E-5</v>
      </c>
      <c r="J184" s="74">
        <v>3.5407085999999997E-5</v>
      </c>
      <c r="K184" s="74">
        <v>2.9962444999999997E-7</v>
      </c>
      <c r="L184" s="74">
        <v>2.7050257E-5</v>
      </c>
      <c r="M184">
        <v>3.8532264000000001E-3</v>
      </c>
    </row>
    <row r="185" spans="3:13" x14ac:dyDescent="0.25">
      <c r="C185">
        <v>159</v>
      </c>
      <c r="D185" t="s">
        <v>483</v>
      </c>
      <c r="E185" t="s">
        <v>10</v>
      </c>
      <c r="F185" t="s">
        <v>192</v>
      </c>
      <c r="G185" s="74">
        <v>1.3272434E-5</v>
      </c>
      <c r="H185">
        <v>0</v>
      </c>
      <c r="I185" s="74">
        <v>6.5865160000000002E-7</v>
      </c>
      <c r="J185" s="74">
        <v>3.1370312999999998E-6</v>
      </c>
      <c r="K185" s="74">
        <v>5.5238655999999997E-9</v>
      </c>
      <c r="L185" s="74">
        <v>4.9028836999999998E-6</v>
      </c>
      <c r="M185" s="74">
        <v>4.5683434999999998E-6</v>
      </c>
    </row>
    <row r="186" spans="3:13" x14ac:dyDescent="0.25">
      <c r="C186">
        <v>160</v>
      </c>
      <c r="D186" t="s">
        <v>484</v>
      </c>
      <c r="E186" t="s">
        <v>10</v>
      </c>
      <c r="F186" t="s">
        <v>305</v>
      </c>
      <c r="G186">
        <v>0.42926978999999998</v>
      </c>
      <c r="H186">
        <v>0</v>
      </c>
      <c r="I186">
        <v>4.4359467999999999E-3</v>
      </c>
      <c r="J186">
        <v>1.9833703000000001E-2</v>
      </c>
      <c r="K186" s="74">
        <v>8.6500556999999999E-5</v>
      </c>
      <c r="L186">
        <v>1.7326273E-2</v>
      </c>
      <c r="M186">
        <v>0.38758736999999999</v>
      </c>
    </row>
    <row r="187" spans="3:13" x14ac:dyDescent="0.25">
      <c r="C187">
        <v>161</v>
      </c>
      <c r="D187" t="s">
        <v>485</v>
      </c>
      <c r="E187" t="s">
        <v>10</v>
      </c>
      <c r="F187" t="s">
        <v>192</v>
      </c>
      <c r="G187">
        <v>1.4392431E-3</v>
      </c>
      <c r="H187">
        <v>0</v>
      </c>
      <c r="I187" s="74">
        <v>4.3895996999999996E-6</v>
      </c>
      <c r="J187" s="74">
        <v>4.2332970000000001E-5</v>
      </c>
      <c r="K187" s="74">
        <v>8.4909386999999997E-8</v>
      </c>
      <c r="L187" s="74">
        <v>3.6614596999999999E-5</v>
      </c>
      <c r="M187">
        <v>1.3558209999999999E-3</v>
      </c>
    </row>
    <row r="188" spans="3:13" x14ac:dyDescent="0.25">
      <c r="C188">
        <v>162</v>
      </c>
      <c r="D188" t="s">
        <v>486</v>
      </c>
      <c r="E188" t="s">
        <v>10</v>
      </c>
      <c r="F188" t="s">
        <v>192</v>
      </c>
      <c r="G188" s="74">
        <v>4.0567153000000001E-8</v>
      </c>
      <c r="H188">
        <v>0</v>
      </c>
      <c r="I188" s="74">
        <v>1.2391942E-10</v>
      </c>
      <c r="J188" s="74">
        <v>1.1962375E-9</v>
      </c>
      <c r="K188" s="74">
        <v>2.3935403000000001E-12</v>
      </c>
      <c r="L188" s="74">
        <v>1.0347432000000001E-9</v>
      </c>
      <c r="M188" s="74">
        <v>3.8209859000000001E-8</v>
      </c>
    </row>
    <row r="189" spans="3:13" x14ac:dyDescent="0.25">
      <c r="C189">
        <v>163</v>
      </c>
      <c r="D189" t="s">
        <v>487</v>
      </c>
      <c r="E189" t="s">
        <v>10</v>
      </c>
      <c r="F189" t="s">
        <v>192</v>
      </c>
      <c r="G189">
        <v>1.2917825000000001E-2</v>
      </c>
      <c r="H189">
        <v>0</v>
      </c>
      <c r="I189">
        <v>8.7676677999999999E-4</v>
      </c>
      <c r="J189">
        <v>3.1680544000000001E-3</v>
      </c>
      <c r="K189" s="74">
        <v>3.7721975999999997E-5</v>
      </c>
      <c r="L189">
        <v>3.3824583000000002E-3</v>
      </c>
      <c r="M189">
        <v>5.4528234999999996E-3</v>
      </c>
    </row>
    <row r="190" spans="3:13" x14ac:dyDescent="0.25">
      <c r="C190">
        <v>164</v>
      </c>
      <c r="D190" t="s">
        <v>488</v>
      </c>
      <c r="E190" t="s">
        <v>10</v>
      </c>
      <c r="F190" t="s">
        <v>192</v>
      </c>
      <c r="G190">
        <v>1.0605896E-3</v>
      </c>
      <c r="H190">
        <v>0</v>
      </c>
      <c r="I190" s="74">
        <v>8.0912443000000006E-5</v>
      </c>
      <c r="J190">
        <v>2.9144198999999998E-4</v>
      </c>
      <c r="K190" s="74">
        <v>6.1229176000000002E-7</v>
      </c>
      <c r="L190">
        <v>3.0038925E-4</v>
      </c>
      <c r="M190">
        <v>3.8723361000000001E-4</v>
      </c>
    </row>
    <row r="191" spans="3:13" x14ac:dyDescent="0.25">
      <c r="C191">
        <v>165</v>
      </c>
      <c r="D191" t="s">
        <v>489</v>
      </c>
      <c r="E191" t="s">
        <v>10</v>
      </c>
      <c r="F191" t="s">
        <v>305</v>
      </c>
      <c r="G191">
        <v>7.2750006000000006E-2</v>
      </c>
      <c r="H191">
        <v>0</v>
      </c>
      <c r="I191">
        <v>2.7365628000000002E-4</v>
      </c>
      <c r="J191">
        <v>6.7369510999999997E-4</v>
      </c>
      <c r="K191" s="74">
        <v>5.7966988999999997E-6</v>
      </c>
      <c r="L191">
        <v>5.1491356000000002E-4</v>
      </c>
      <c r="M191">
        <v>7.1281944E-2</v>
      </c>
    </row>
    <row r="192" spans="3:13" x14ac:dyDescent="0.25">
      <c r="C192">
        <v>166</v>
      </c>
      <c r="D192" t="s">
        <v>490</v>
      </c>
      <c r="E192" t="s">
        <v>10</v>
      </c>
      <c r="F192" t="s">
        <v>192</v>
      </c>
      <c r="G192" s="74">
        <v>1.4413192E-18</v>
      </c>
      <c r="H192">
        <v>0</v>
      </c>
      <c r="I192" s="74">
        <v>6.8565116000000003E-20</v>
      </c>
      <c r="J192" s="74">
        <v>4.9525007E-19</v>
      </c>
      <c r="K192" s="74">
        <v>9.6835351000000001E-22</v>
      </c>
      <c r="L192" s="74">
        <v>8.5684495000000001E-19</v>
      </c>
      <c r="M192" s="74">
        <v>1.9690685999999999E-20</v>
      </c>
    </row>
    <row r="193" spans="3:13" x14ac:dyDescent="0.25">
      <c r="C193">
        <v>167</v>
      </c>
      <c r="D193" t="s">
        <v>491</v>
      </c>
      <c r="E193" t="s">
        <v>10</v>
      </c>
      <c r="F193" t="s">
        <v>192</v>
      </c>
      <c r="G193" s="74">
        <v>2.3826590000000001E-7</v>
      </c>
      <c r="H193">
        <v>0</v>
      </c>
      <c r="I193" s="74">
        <v>1.1852939000000001E-8</v>
      </c>
      <c r="J193" s="74">
        <v>3.8884522999999997E-8</v>
      </c>
      <c r="K193" s="74">
        <v>2.0603168999999999E-10</v>
      </c>
      <c r="L193" s="74">
        <v>5.7804666999999997E-8</v>
      </c>
      <c r="M193" s="74">
        <v>1.2951773999999999E-7</v>
      </c>
    </row>
    <row r="194" spans="3:13" x14ac:dyDescent="0.25">
      <c r="C194">
        <v>168</v>
      </c>
      <c r="D194" t="s">
        <v>498</v>
      </c>
      <c r="E194" t="s">
        <v>10</v>
      </c>
      <c r="F194" t="s">
        <v>192</v>
      </c>
      <c r="G194" s="74">
        <v>1.7804231000000001E-7</v>
      </c>
      <c r="H194">
        <v>0</v>
      </c>
      <c r="I194" s="74">
        <v>5.6735159999999996E-9</v>
      </c>
      <c r="J194" s="74">
        <v>3.0060561000000003E-8</v>
      </c>
      <c r="K194" s="74">
        <v>4.6163609000000001E-11</v>
      </c>
      <c r="L194" s="74">
        <v>2.5916673999999998E-8</v>
      </c>
      <c r="M194" s="74">
        <v>1.1634539E-7</v>
      </c>
    </row>
    <row r="195" spans="3:13" x14ac:dyDescent="0.25">
      <c r="C195">
        <v>169</v>
      </c>
      <c r="D195" t="s">
        <v>44</v>
      </c>
      <c r="E195" t="s">
        <v>10</v>
      </c>
      <c r="F195" t="s">
        <v>192</v>
      </c>
      <c r="G195" s="74">
        <v>1.9251625000000001E-7</v>
      </c>
      <c r="H195">
        <v>0</v>
      </c>
      <c r="I195" s="74">
        <v>2.3257302999999998E-8</v>
      </c>
      <c r="J195" s="74">
        <v>7.0561120999999995E-8</v>
      </c>
      <c r="K195" s="74">
        <v>3.8456727E-11</v>
      </c>
      <c r="L195" s="74">
        <v>9.0860347999999999E-8</v>
      </c>
      <c r="M195" s="74">
        <v>7.7990222999999997E-9</v>
      </c>
    </row>
    <row r="196" spans="3:13" x14ac:dyDescent="0.25">
      <c r="C196">
        <v>170</v>
      </c>
      <c r="D196" t="s">
        <v>509</v>
      </c>
      <c r="E196" t="s">
        <v>10</v>
      </c>
      <c r="F196" t="s">
        <v>192</v>
      </c>
      <c r="G196" s="74">
        <v>5.9950700000000003E-21</v>
      </c>
      <c r="H196">
        <v>0</v>
      </c>
      <c r="I196" s="74">
        <v>1.8029771000000001E-22</v>
      </c>
      <c r="J196" s="74">
        <v>2.0635746E-21</v>
      </c>
      <c r="K196" s="74">
        <v>1.6922099999999999E-25</v>
      </c>
      <c r="L196" s="74">
        <v>3.6586397000000001E-21</v>
      </c>
      <c r="M196" s="74">
        <v>9.2388807E-23</v>
      </c>
    </row>
    <row r="197" spans="3:13" x14ac:dyDescent="0.25">
      <c r="C197">
        <v>171</v>
      </c>
      <c r="D197" t="s">
        <v>510</v>
      </c>
      <c r="E197" t="s">
        <v>10</v>
      </c>
      <c r="F197" t="s">
        <v>192</v>
      </c>
      <c r="G197" s="74">
        <v>1.5260753E-13</v>
      </c>
      <c r="H197">
        <v>0</v>
      </c>
      <c r="I197" s="74">
        <v>8.3858182999999998E-15</v>
      </c>
      <c r="J197" s="74">
        <v>5.1649275999999997E-14</v>
      </c>
      <c r="K197" s="74">
        <v>6.0696250000000002E-17</v>
      </c>
      <c r="L197" s="74">
        <v>3.9491272000000002E-14</v>
      </c>
      <c r="M197" s="74">
        <v>5.3020466000000002E-14</v>
      </c>
    </row>
    <row r="198" spans="3:13" x14ac:dyDescent="0.25">
      <c r="C198">
        <v>172</v>
      </c>
      <c r="D198" t="s">
        <v>511</v>
      </c>
      <c r="E198" t="s">
        <v>10</v>
      </c>
      <c r="F198" t="s">
        <v>192</v>
      </c>
      <c r="G198" s="74">
        <v>1.1815262E-7</v>
      </c>
      <c r="H198">
        <v>0</v>
      </c>
      <c r="I198" s="74">
        <v>1.6313482E-8</v>
      </c>
      <c r="J198" s="74">
        <v>4.0492490999999997E-8</v>
      </c>
      <c r="K198" s="74">
        <v>7.0487127000000001E-12</v>
      </c>
      <c r="L198" s="74">
        <v>6.0919568E-8</v>
      </c>
      <c r="M198" s="74">
        <v>4.2002968000000002E-10</v>
      </c>
    </row>
    <row r="199" spans="3:13" x14ac:dyDescent="0.25">
      <c r="C199">
        <v>173</v>
      </c>
      <c r="D199" t="s">
        <v>514</v>
      </c>
      <c r="E199" t="s">
        <v>10</v>
      </c>
      <c r="F199" t="s">
        <v>192</v>
      </c>
      <c r="G199" s="74">
        <v>3.9416589000000002E-12</v>
      </c>
      <c r="H199">
        <v>0</v>
      </c>
      <c r="I199" s="74">
        <v>5.3921433999999998E-13</v>
      </c>
      <c r="J199" s="74">
        <v>1.3511443000000001E-12</v>
      </c>
      <c r="K199" s="74">
        <v>2.6229956000000002E-16</v>
      </c>
      <c r="L199" s="74">
        <v>2.0154310999999999E-12</v>
      </c>
      <c r="M199" s="74">
        <v>3.5606908000000001E-14</v>
      </c>
    </row>
    <row r="200" spans="3:13" x14ac:dyDescent="0.25">
      <c r="C200">
        <v>174</v>
      </c>
      <c r="D200" t="s">
        <v>516</v>
      </c>
      <c r="E200" t="s">
        <v>10</v>
      </c>
      <c r="F200" t="s">
        <v>192</v>
      </c>
      <c r="G200" s="74">
        <v>1.3360250000000001E-12</v>
      </c>
      <c r="H200">
        <v>0</v>
      </c>
      <c r="I200" s="74">
        <v>5.4871363999999998E-14</v>
      </c>
      <c r="J200" s="74">
        <v>4.1870046000000002E-13</v>
      </c>
      <c r="K200" s="74">
        <v>4.8444849999999999E-16</v>
      </c>
      <c r="L200" s="74">
        <v>3.3065094000000002E-13</v>
      </c>
      <c r="M200" s="74">
        <v>5.3131781000000003E-13</v>
      </c>
    </row>
    <row r="201" spans="3:13" x14ac:dyDescent="0.25">
      <c r="C201">
        <v>175</v>
      </c>
      <c r="D201" t="s">
        <v>517</v>
      </c>
      <c r="E201" t="s">
        <v>10</v>
      </c>
      <c r="F201" t="s">
        <v>192</v>
      </c>
      <c r="G201" s="74">
        <v>1.0841013E-14</v>
      </c>
      <c r="H201">
        <v>0</v>
      </c>
      <c r="I201" s="74">
        <v>6.1866620000000005E-16</v>
      </c>
      <c r="J201" s="74">
        <v>3.6359401999999996E-15</v>
      </c>
      <c r="K201" s="74">
        <v>4.4086023999999997E-18</v>
      </c>
      <c r="L201" s="74">
        <v>2.5662393000000002E-15</v>
      </c>
      <c r="M201" s="74">
        <v>4.0157590999999998E-15</v>
      </c>
    </row>
    <row r="202" spans="3:13" x14ac:dyDescent="0.25">
      <c r="C202">
        <v>176</v>
      </c>
      <c r="D202" t="s">
        <v>519</v>
      </c>
      <c r="E202" t="s">
        <v>10</v>
      </c>
      <c r="F202" t="s">
        <v>192</v>
      </c>
      <c r="G202" s="74">
        <v>9.7475603000000001E-6</v>
      </c>
      <c r="H202">
        <v>0</v>
      </c>
      <c r="I202" s="74">
        <v>6.6634269999999997E-7</v>
      </c>
      <c r="J202" s="74">
        <v>2.4315412999999998E-6</v>
      </c>
      <c r="K202" s="74">
        <v>4.6959997000000002E-9</v>
      </c>
      <c r="L202" s="74">
        <v>2.5643498999999999E-6</v>
      </c>
      <c r="M202" s="74">
        <v>4.0806303999999997E-6</v>
      </c>
    </row>
    <row r="203" spans="3:13" x14ac:dyDescent="0.25">
      <c r="C203">
        <v>177</v>
      </c>
      <c r="D203" t="s">
        <v>713</v>
      </c>
      <c r="E203" t="s">
        <v>10</v>
      </c>
      <c r="F203" t="s">
        <v>305</v>
      </c>
      <c r="G203">
        <v>1.1794523E-3</v>
      </c>
      <c r="H203">
        <v>0</v>
      </c>
      <c r="I203" s="74">
        <v>4.3563060999999998E-6</v>
      </c>
      <c r="J203" s="74">
        <v>1.0756131E-5</v>
      </c>
      <c r="K203" s="74">
        <v>9.1075243999999998E-8</v>
      </c>
      <c r="L203" s="74">
        <v>8.2330620000000002E-6</v>
      </c>
      <c r="M203">
        <v>1.1560157000000001E-3</v>
      </c>
    </row>
    <row r="204" spans="3:13" x14ac:dyDescent="0.25">
      <c r="C204">
        <v>178</v>
      </c>
      <c r="D204" t="s">
        <v>714</v>
      </c>
      <c r="E204" t="s">
        <v>10</v>
      </c>
      <c r="F204" t="s">
        <v>192</v>
      </c>
      <c r="G204" s="74">
        <v>4.8143821E-26</v>
      </c>
      <c r="H204">
        <v>0</v>
      </c>
      <c r="I204" s="74">
        <v>6.5992566999999994E-27</v>
      </c>
      <c r="J204" s="74">
        <v>1.6394132E-26</v>
      </c>
      <c r="K204" s="74">
        <v>1.9085403E-28</v>
      </c>
      <c r="L204" s="74">
        <v>2.4732647E-26</v>
      </c>
      <c r="M204" s="74">
        <v>2.2693093E-28</v>
      </c>
    </row>
    <row r="205" spans="3:13" x14ac:dyDescent="0.25">
      <c r="C205">
        <v>179</v>
      </c>
      <c r="D205" t="s">
        <v>520</v>
      </c>
      <c r="E205" t="s">
        <v>10</v>
      </c>
      <c r="F205" t="s">
        <v>192</v>
      </c>
      <c r="G205" s="74">
        <v>2.6277628000000002E-10</v>
      </c>
      <c r="H205">
        <v>0</v>
      </c>
      <c r="I205" s="74">
        <v>4.2248640000000001E-12</v>
      </c>
      <c r="J205" s="74">
        <v>2.2133005000000002E-11</v>
      </c>
      <c r="K205" s="74">
        <v>8.7162229999999994E-14</v>
      </c>
      <c r="L205" s="74">
        <v>9.0655545000000001E-12</v>
      </c>
      <c r="M205" s="74">
        <v>2.2726570000000001E-10</v>
      </c>
    </row>
    <row r="206" spans="3:13" x14ac:dyDescent="0.25">
      <c r="C206">
        <v>180</v>
      </c>
      <c r="D206" t="s">
        <v>715</v>
      </c>
      <c r="E206" t="s">
        <v>10</v>
      </c>
      <c r="F206" t="s">
        <v>192</v>
      </c>
      <c r="G206" s="74">
        <v>5.2802899000000003E-29</v>
      </c>
      <c r="H206">
        <v>0</v>
      </c>
      <c r="I206" s="74">
        <v>7.2378942000000005E-30</v>
      </c>
      <c r="J206" s="74">
        <v>1.7980660999999999E-29</v>
      </c>
      <c r="K206" s="74">
        <v>2.0932376999999998E-31</v>
      </c>
      <c r="L206" s="74">
        <v>2.7126128000000001E-29</v>
      </c>
      <c r="M206" s="74">
        <v>2.4889198000000002E-31</v>
      </c>
    </row>
    <row r="207" spans="3:13" x14ac:dyDescent="0.25">
      <c r="C207">
        <v>181</v>
      </c>
      <c r="D207" t="s">
        <v>521</v>
      </c>
      <c r="E207" t="s">
        <v>10</v>
      </c>
      <c r="F207" t="s">
        <v>192</v>
      </c>
      <c r="G207" s="74">
        <v>4.0145130000000001E-12</v>
      </c>
      <c r="H207">
        <v>0</v>
      </c>
      <c r="I207" s="74">
        <v>1.4677074000000001E-13</v>
      </c>
      <c r="J207" s="74">
        <v>9.2722953000000005E-13</v>
      </c>
      <c r="K207" s="74">
        <v>8.8361445999999996E-16</v>
      </c>
      <c r="L207" s="74">
        <v>7.3455676999999997E-13</v>
      </c>
      <c r="M207" s="74">
        <v>2.2050723000000001E-12</v>
      </c>
    </row>
    <row r="208" spans="3:13" x14ac:dyDescent="0.25">
      <c r="C208">
        <v>182</v>
      </c>
      <c r="D208" t="s">
        <v>522</v>
      </c>
      <c r="E208" t="s">
        <v>10</v>
      </c>
      <c r="F208" t="s">
        <v>192</v>
      </c>
      <c r="G208" s="74">
        <v>9.0114894000000004E-5</v>
      </c>
      <c r="H208">
        <v>0</v>
      </c>
      <c r="I208" s="74">
        <v>6.1474001999999997E-6</v>
      </c>
      <c r="J208" s="74">
        <v>1.9259952000000001E-5</v>
      </c>
      <c r="K208" s="74">
        <v>7.7835050000000005E-8</v>
      </c>
      <c r="L208" s="74">
        <v>2.3846868999999999E-5</v>
      </c>
      <c r="M208" s="74">
        <v>4.0782838000000003E-5</v>
      </c>
    </row>
    <row r="209" spans="3:13" x14ac:dyDescent="0.25">
      <c r="C209">
        <v>183</v>
      </c>
      <c r="D209" t="s">
        <v>523</v>
      </c>
      <c r="E209" t="s">
        <v>10</v>
      </c>
      <c r="F209" t="s">
        <v>305</v>
      </c>
      <c r="G209">
        <v>7.4607407000000002E-3</v>
      </c>
      <c r="H209">
        <v>0</v>
      </c>
      <c r="I209" s="74">
        <v>2.6383555999999999E-5</v>
      </c>
      <c r="J209" s="74">
        <v>6.5396866000000004E-5</v>
      </c>
      <c r="K209" s="74">
        <v>5.5323342999999999E-7</v>
      </c>
      <c r="L209" s="74">
        <v>4.9732386E-5</v>
      </c>
      <c r="M209">
        <v>7.3186746999999996E-3</v>
      </c>
    </row>
    <row r="210" spans="3:13" x14ac:dyDescent="0.25">
      <c r="C210">
        <v>184</v>
      </c>
      <c r="D210" t="s">
        <v>524</v>
      </c>
      <c r="E210" t="s">
        <v>10</v>
      </c>
      <c r="F210" t="s">
        <v>192</v>
      </c>
      <c r="G210">
        <v>1.5531541E-3</v>
      </c>
      <c r="H210">
        <v>0</v>
      </c>
      <c r="I210">
        <v>1.6766362000000001E-4</v>
      </c>
      <c r="J210">
        <v>2.8679007999999999E-4</v>
      </c>
      <c r="K210" s="74">
        <v>8.1154847000000005E-7</v>
      </c>
      <c r="L210">
        <v>2.1757741000000001E-4</v>
      </c>
      <c r="M210">
        <v>8.8031142999999996E-4</v>
      </c>
    </row>
    <row r="211" spans="3:13" x14ac:dyDescent="0.25">
      <c r="C211">
        <v>185</v>
      </c>
      <c r="D211" t="s">
        <v>716</v>
      </c>
      <c r="E211" t="s">
        <v>10</v>
      </c>
      <c r="F211" t="s">
        <v>192</v>
      </c>
      <c r="G211" s="74">
        <v>2.2359488E-6</v>
      </c>
      <c r="H211">
        <v>0</v>
      </c>
      <c r="I211" s="74">
        <v>9.4309665999999998E-7</v>
      </c>
      <c r="J211" s="74">
        <v>9.3692322000000004E-7</v>
      </c>
      <c r="K211" s="74">
        <v>1.4994926E-9</v>
      </c>
      <c r="L211" s="74">
        <v>1.974796E-7</v>
      </c>
      <c r="M211" s="74">
        <v>1.569498E-7</v>
      </c>
    </row>
    <row r="212" spans="3:13" x14ac:dyDescent="0.25">
      <c r="C212">
        <v>186</v>
      </c>
      <c r="D212" t="s">
        <v>525</v>
      </c>
      <c r="E212" t="s">
        <v>10</v>
      </c>
      <c r="F212" t="s">
        <v>192</v>
      </c>
      <c r="G212" s="74">
        <v>7.4400997000000003E-9</v>
      </c>
      <c r="H212">
        <v>0</v>
      </c>
      <c r="I212" s="74">
        <v>8.3009223000000003E-11</v>
      </c>
      <c r="J212" s="74">
        <v>3.1695104000000001E-10</v>
      </c>
      <c r="K212" s="74">
        <v>4.4926677E-9</v>
      </c>
      <c r="L212" s="74">
        <v>2.2908814999999999E-9</v>
      </c>
      <c r="M212" s="74">
        <v>2.5659022999999998E-10</v>
      </c>
    </row>
    <row r="213" spans="3:13" x14ac:dyDescent="0.25">
      <c r="C213">
        <v>187</v>
      </c>
      <c r="D213" t="s">
        <v>529</v>
      </c>
      <c r="E213" t="s">
        <v>10</v>
      </c>
      <c r="F213" t="s">
        <v>192</v>
      </c>
      <c r="G213" s="74">
        <v>1.8546106000000002E-5</v>
      </c>
      <c r="H213">
        <v>0</v>
      </c>
      <c r="I213" s="74">
        <v>1.3566425000000001E-6</v>
      </c>
      <c r="J213" s="74">
        <v>3.9478930999999999E-6</v>
      </c>
      <c r="K213" s="74">
        <v>7.0648308999999998E-9</v>
      </c>
      <c r="L213" s="74">
        <v>1.9445868E-6</v>
      </c>
      <c r="M213" s="74">
        <v>1.1289917999999999E-5</v>
      </c>
    </row>
    <row r="214" spans="3:13" x14ac:dyDescent="0.25">
      <c r="C214">
        <v>188</v>
      </c>
      <c r="D214" t="s">
        <v>717</v>
      </c>
      <c r="E214" t="s">
        <v>10</v>
      </c>
      <c r="F214" t="s">
        <v>192</v>
      </c>
      <c r="G214" s="74">
        <v>1.3932839999999999E-5</v>
      </c>
      <c r="H214">
        <v>0</v>
      </c>
      <c r="I214" s="74">
        <v>1.0906237999999999E-6</v>
      </c>
      <c r="J214" s="74">
        <v>4.0886124000000002E-6</v>
      </c>
      <c r="K214" s="74">
        <v>4.4568823E-8</v>
      </c>
      <c r="L214" s="74">
        <v>7.1879700000000001E-6</v>
      </c>
      <c r="M214" s="74">
        <v>1.5210651999999999E-6</v>
      </c>
    </row>
    <row r="215" spans="3:13" x14ac:dyDescent="0.25">
      <c r="C215">
        <v>189</v>
      </c>
      <c r="D215" t="s">
        <v>532</v>
      </c>
      <c r="E215" t="s">
        <v>10</v>
      </c>
      <c r="F215" t="s">
        <v>192</v>
      </c>
      <c r="G215" s="74">
        <v>2.9544572E-8</v>
      </c>
      <c r="H215">
        <v>0</v>
      </c>
      <c r="I215" s="74">
        <v>9.0108710000000004E-11</v>
      </c>
      <c r="J215" s="74">
        <v>8.6900145999999999E-10</v>
      </c>
      <c r="K215" s="74">
        <v>1.7430020999999999E-12</v>
      </c>
      <c r="L215" s="74">
        <v>7.5161658E-10</v>
      </c>
      <c r="M215" s="74">
        <v>2.7832103E-8</v>
      </c>
    </row>
    <row r="216" spans="3:13" x14ac:dyDescent="0.25">
      <c r="C216">
        <v>190</v>
      </c>
      <c r="D216" t="s">
        <v>718</v>
      </c>
      <c r="E216" t="s">
        <v>10</v>
      </c>
      <c r="F216" t="s">
        <v>192</v>
      </c>
      <c r="G216" s="74">
        <v>6.0949646999999996E-9</v>
      </c>
      <c r="H216">
        <v>0</v>
      </c>
      <c r="I216" s="74">
        <v>3.4335151000000001E-10</v>
      </c>
      <c r="J216" s="74">
        <v>2.0439774999999998E-9</v>
      </c>
      <c r="K216" s="74">
        <v>2.1680904000000001E-12</v>
      </c>
      <c r="L216" s="74">
        <v>1.4272227E-9</v>
      </c>
      <c r="M216" s="74">
        <v>2.2782449000000001E-9</v>
      </c>
    </row>
    <row r="217" spans="3:13" x14ac:dyDescent="0.25">
      <c r="C217">
        <v>191</v>
      </c>
      <c r="D217" t="s">
        <v>719</v>
      </c>
      <c r="E217" t="s">
        <v>10</v>
      </c>
      <c r="F217" t="s">
        <v>192</v>
      </c>
      <c r="G217">
        <v>4.3706703000000001E-4</v>
      </c>
      <c r="H217">
        <v>0</v>
      </c>
      <c r="I217" s="74">
        <v>2.5493619000000001E-5</v>
      </c>
      <c r="J217">
        <v>1.2790602000000001E-4</v>
      </c>
      <c r="K217" s="74">
        <v>2.0199557999999999E-7</v>
      </c>
      <c r="L217">
        <v>1.0883547E-4</v>
      </c>
      <c r="M217">
        <v>1.7462991999999999E-4</v>
      </c>
    </row>
    <row r="218" spans="3:13" x14ac:dyDescent="0.25">
      <c r="C218">
        <v>192</v>
      </c>
      <c r="D218" t="s">
        <v>533</v>
      </c>
      <c r="E218" t="s">
        <v>10</v>
      </c>
      <c r="F218" t="s">
        <v>192</v>
      </c>
      <c r="G218" s="74">
        <v>2.2051981999999999E-8</v>
      </c>
      <c r="H218">
        <v>0</v>
      </c>
      <c r="I218" s="74">
        <v>2.3896003000000002E-9</v>
      </c>
      <c r="J218" s="74">
        <v>6.1527210000000001E-9</v>
      </c>
      <c r="K218" s="74">
        <v>4.1650186000000004E-12</v>
      </c>
      <c r="L218" s="74">
        <v>9.6139982000000003E-9</v>
      </c>
      <c r="M218" s="74">
        <v>3.8914976999999997E-9</v>
      </c>
    </row>
    <row r="219" spans="3:13" x14ac:dyDescent="0.25">
      <c r="C219">
        <v>193</v>
      </c>
      <c r="D219" t="s">
        <v>535</v>
      </c>
      <c r="E219" t="s">
        <v>10</v>
      </c>
      <c r="F219" t="s">
        <v>192</v>
      </c>
      <c r="G219" s="74">
        <v>4.5524725000000001E-8</v>
      </c>
      <c r="H219">
        <v>0</v>
      </c>
      <c r="I219" s="74">
        <v>3.2392648000000001E-9</v>
      </c>
      <c r="J219" s="74">
        <v>1.4158002000000001E-8</v>
      </c>
      <c r="K219" s="74">
        <v>1.9442147999999999E-11</v>
      </c>
      <c r="L219" s="74">
        <v>1.2870108E-8</v>
      </c>
      <c r="M219" s="74">
        <v>1.5237908000000001E-8</v>
      </c>
    </row>
    <row r="220" spans="3:13" x14ac:dyDescent="0.25">
      <c r="C220">
        <v>194</v>
      </c>
      <c r="D220" t="s">
        <v>541</v>
      </c>
      <c r="E220" t="s">
        <v>10</v>
      </c>
      <c r="F220" t="s">
        <v>192</v>
      </c>
      <c r="G220" s="74">
        <v>3.3414324E-17</v>
      </c>
      <c r="H220">
        <v>0</v>
      </c>
      <c r="I220" s="74">
        <v>4.5625071999999999E-18</v>
      </c>
      <c r="J220" s="74">
        <v>1.1335606E-17</v>
      </c>
      <c r="K220" s="74">
        <v>1.9875709E-19</v>
      </c>
      <c r="L220" s="74">
        <v>1.7146049E-17</v>
      </c>
      <c r="M220" s="74">
        <v>1.7140422999999999E-19</v>
      </c>
    </row>
    <row r="221" spans="3:13" x14ac:dyDescent="0.25">
      <c r="C221">
        <v>195</v>
      </c>
      <c r="D221" t="s">
        <v>546</v>
      </c>
      <c r="E221" t="s">
        <v>10</v>
      </c>
      <c r="F221" t="s">
        <v>192</v>
      </c>
      <c r="G221" s="74">
        <v>4.5059804000000001E-11</v>
      </c>
      <c r="H221">
        <v>0</v>
      </c>
      <c r="I221" s="74">
        <v>1.647388E-12</v>
      </c>
      <c r="J221" s="74">
        <v>1.0407435E-11</v>
      </c>
      <c r="K221" s="74">
        <v>9.9178891000000001E-15</v>
      </c>
      <c r="L221" s="74">
        <v>8.2448317999999995E-12</v>
      </c>
      <c r="M221" s="74">
        <v>2.4750232E-11</v>
      </c>
    </row>
    <row r="222" spans="3:13" x14ac:dyDescent="0.25">
      <c r="C222">
        <v>196</v>
      </c>
      <c r="D222" t="s">
        <v>547</v>
      </c>
      <c r="E222" t="s">
        <v>10</v>
      </c>
      <c r="F222" t="s">
        <v>192</v>
      </c>
      <c r="G222" s="74">
        <v>2.4877818000000002E-6</v>
      </c>
      <c r="H222">
        <v>0</v>
      </c>
      <c r="I222" s="74">
        <v>4.9984964000000002E-8</v>
      </c>
      <c r="J222" s="74">
        <v>2.4516590000000002E-7</v>
      </c>
      <c r="K222" s="74">
        <v>1.9789726999999999E-9</v>
      </c>
      <c r="L222" s="74">
        <v>1.3136136999999999E-6</v>
      </c>
      <c r="M222" s="74">
        <v>8.7703827999999998E-7</v>
      </c>
    </row>
    <row r="223" spans="3:13" x14ac:dyDescent="0.25">
      <c r="C223">
        <v>197</v>
      </c>
      <c r="D223" t="s">
        <v>720</v>
      </c>
      <c r="E223" t="s">
        <v>10</v>
      </c>
      <c r="F223" t="s">
        <v>192</v>
      </c>
      <c r="G223">
        <v>4.8337867000000003E-3</v>
      </c>
      <c r="H223">
        <v>0</v>
      </c>
      <c r="I223">
        <v>2.2903467000000001E-4</v>
      </c>
      <c r="J223">
        <v>7.6535168000000005E-4</v>
      </c>
      <c r="K223" s="74">
        <v>2.5374867999999998E-6</v>
      </c>
      <c r="L223">
        <v>2.3674545999999999E-3</v>
      </c>
      <c r="M223">
        <v>1.4694082E-3</v>
      </c>
    </row>
    <row r="224" spans="3:13" x14ac:dyDescent="0.25">
      <c r="C224">
        <v>198</v>
      </c>
      <c r="D224" t="s">
        <v>553</v>
      </c>
      <c r="E224" t="s">
        <v>10</v>
      </c>
      <c r="F224" t="s">
        <v>192</v>
      </c>
      <c r="G224" s="74">
        <v>9.9162154999999999E-7</v>
      </c>
      <c r="H224">
        <v>0</v>
      </c>
      <c r="I224" s="74">
        <v>9.7603672999999997E-8</v>
      </c>
      <c r="J224" s="74">
        <v>6.5342888000000001E-7</v>
      </c>
      <c r="K224" s="74">
        <v>4.6467435E-10</v>
      </c>
      <c r="L224" s="74">
        <v>1.5251407E-7</v>
      </c>
      <c r="M224" s="74">
        <v>8.7610250999999999E-8</v>
      </c>
    </row>
    <row r="225" spans="3:13" x14ac:dyDescent="0.25">
      <c r="C225">
        <v>199</v>
      </c>
      <c r="D225" t="s">
        <v>558</v>
      </c>
      <c r="E225" t="s">
        <v>10</v>
      </c>
      <c r="F225" t="s">
        <v>305</v>
      </c>
      <c r="G225">
        <v>0.36633547</v>
      </c>
      <c r="H225">
        <v>0</v>
      </c>
      <c r="I225">
        <v>5.6886786999999998E-3</v>
      </c>
      <c r="J225">
        <v>1.9030918000000001E-2</v>
      </c>
      <c r="K225">
        <v>4.9815456000000004E-4</v>
      </c>
      <c r="L225">
        <v>0.31571423999999998</v>
      </c>
      <c r="M225">
        <v>2.5403484E-2</v>
      </c>
    </row>
    <row r="226" spans="3:13" x14ac:dyDescent="0.25">
      <c r="C226">
        <v>200</v>
      </c>
      <c r="D226" t="s">
        <v>559</v>
      </c>
      <c r="E226" t="s">
        <v>10</v>
      </c>
      <c r="F226" t="s">
        <v>192</v>
      </c>
      <c r="G226" s="74">
        <v>4.769622E-14</v>
      </c>
      <c r="H226">
        <v>0</v>
      </c>
      <c r="I226" s="74">
        <v>4.9747983999999998E-15</v>
      </c>
      <c r="J226" s="74">
        <v>1.4247253000000002E-14</v>
      </c>
      <c r="K226" s="74">
        <v>1.2127793E-17</v>
      </c>
      <c r="L226" s="74">
        <v>1.87104E-14</v>
      </c>
      <c r="M226" s="74">
        <v>9.7516406000000007E-15</v>
      </c>
    </row>
    <row r="227" spans="3:13" x14ac:dyDescent="0.25">
      <c r="C227">
        <v>201</v>
      </c>
      <c r="D227" t="s">
        <v>560</v>
      </c>
      <c r="E227" t="s">
        <v>10</v>
      </c>
      <c r="F227" t="s">
        <v>192</v>
      </c>
      <c r="G227">
        <v>7.3674941999999997E-3</v>
      </c>
      <c r="H227">
        <v>0</v>
      </c>
      <c r="I227">
        <v>5.2342917999999999E-4</v>
      </c>
      <c r="J227">
        <v>1.8602528E-3</v>
      </c>
      <c r="K227" s="74">
        <v>1.4018564E-5</v>
      </c>
      <c r="L227">
        <v>2.1318794999999999E-3</v>
      </c>
      <c r="M227">
        <v>2.8379142E-3</v>
      </c>
    </row>
    <row r="228" spans="3:13" x14ac:dyDescent="0.25">
      <c r="C228">
        <v>202</v>
      </c>
      <c r="D228" t="s">
        <v>561</v>
      </c>
      <c r="E228" t="s">
        <v>10</v>
      </c>
      <c r="F228" t="s">
        <v>305</v>
      </c>
      <c r="G228">
        <v>7.6912586000000005E-2</v>
      </c>
      <c r="H228">
        <v>0</v>
      </c>
      <c r="I228">
        <v>4.2683156999999998E-3</v>
      </c>
      <c r="J228">
        <v>1.1388842E-2</v>
      </c>
      <c r="K228">
        <v>1.1259201E-4</v>
      </c>
      <c r="L228">
        <v>3.2574359999999997E-2</v>
      </c>
      <c r="M228">
        <v>2.8568475999999999E-2</v>
      </c>
    </row>
    <row r="229" spans="3:13" x14ac:dyDescent="0.25">
      <c r="C229">
        <v>203</v>
      </c>
      <c r="D229" t="s">
        <v>562</v>
      </c>
      <c r="E229" t="s">
        <v>10</v>
      </c>
      <c r="F229" t="s">
        <v>192</v>
      </c>
      <c r="G229" s="74">
        <v>8.3971676999999999E-13</v>
      </c>
      <c r="H229">
        <v>0</v>
      </c>
      <c r="I229" s="74">
        <v>5.4676370999999997E-14</v>
      </c>
      <c r="J229" s="74">
        <v>2.8335025999999998E-13</v>
      </c>
      <c r="K229" s="74">
        <v>4.2367498999999998E-16</v>
      </c>
      <c r="L229" s="74">
        <v>2.2618577000000001E-13</v>
      </c>
      <c r="M229" s="74">
        <v>2.7508069999999998E-13</v>
      </c>
    </row>
    <row r="230" spans="3:13" x14ac:dyDescent="0.25">
      <c r="C230">
        <v>204</v>
      </c>
      <c r="D230" t="s">
        <v>564</v>
      </c>
      <c r="E230" t="s">
        <v>10</v>
      </c>
      <c r="F230" t="s">
        <v>192</v>
      </c>
      <c r="G230" s="74">
        <v>3.9271421999999998E-7</v>
      </c>
      <c r="H230">
        <v>0</v>
      </c>
      <c r="I230" s="74">
        <v>3.0391424999999997E-8</v>
      </c>
      <c r="J230" s="74">
        <v>1.4933427999999999E-7</v>
      </c>
      <c r="K230" s="74">
        <v>3.0729294999999999E-9</v>
      </c>
      <c r="L230" s="74">
        <v>1.4630092999999999E-7</v>
      </c>
      <c r="M230" s="74">
        <v>6.3614657999999994E-8</v>
      </c>
    </row>
    <row r="231" spans="3:13" x14ac:dyDescent="0.25">
      <c r="C231">
        <v>205</v>
      </c>
      <c r="D231" t="s">
        <v>565</v>
      </c>
      <c r="E231" t="s">
        <v>10</v>
      </c>
      <c r="F231" t="s">
        <v>192</v>
      </c>
      <c r="G231" s="74">
        <v>2.5927533E-19</v>
      </c>
      <c r="H231">
        <v>0</v>
      </c>
      <c r="I231" s="74">
        <v>7.8173676000000001E-21</v>
      </c>
      <c r="J231" s="74">
        <v>8.9244975999999995E-20</v>
      </c>
      <c r="K231" s="74">
        <v>8.0481612000000003E-24</v>
      </c>
      <c r="L231" s="74">
        <v>1.5821128E-19</v>
      </c>
      <c r="M231" s="74">
        <v>3.9936563999999998E-21</v>
      </c>
    </row>
    <row r="232" spans="3:13" x14ac:dyDescent="0.25">
      <c r="C232">
        <v>206</v>
      </c>
      <c r="D232" t="s">
        <v>566</v>
      </c>
      <c r="E232" t="s">
        <v>10</v>
      </c>
      <c r="F232" t="s">
        <v>192</v>
      </c>
      <c r="G232" s="74">
        <v>3.8000601000000002E-11</v>
      </c>
      <c r="H232">
        <v>0</v>
      </c>
      <c r="I232" s="74">
        <v>5.9612621999999996E-12</v>
      </c>
      <c r="J232" s="74">
        <v>1.4611491E-11</v>
      </c>
      <c r="K232" s="74">
        <v>1.5083481E-13</v>
      </c>
      <c r="L232" s="74">
        <v>1.1249273E-11</v>
      </c>
      <c r="M232" s="74">
        <v>6.0277403000000001E-12</v>
      </c>
    </row>
    <row r="233" spans="3:13" x14ac:dyDescent="0.25">
      <c r="C233">
        <v>207</v>
      </c>
      <c r="D233" t="s">
        <v>567</v>
      </c>
      <c r="E233" t="s">
        <v>10</v>
      </c>
      <c r="F233" t="s">
        <v>192</v>
      </c>
      <c r="G233" s="74">
        <v>5.0740897000000003E-13</v>
      </c>
      <c r="H233">
        <v>0</v>
      </c>
      <c r="I233" s="74">
        <v>2.4525019000000001E-14</v>
      </c>
      <c r="J233" s="74">
        <v>1.9494255000000001E-13</v>
      </c>
      <c r="K233" s="74">
        <v>1.9087098E-16</v>
      </c>
      <c r="L233" s="74">
        <v>1.0511214E-13</v>
      </c>
      <c r="M233" s="74">
        <v>1.826384E-13</v>
      </c>
    </row>
    <row r="234" spans="3:13" x14ac:dyDescent="0.25">
      <c r="C234">
        <v>208</v>
      </c>
      <c r="D234" t="s">
        <v>568</v>
      </c>
      <c r="E234" t="s">
        <v>10</v>
      </c>
      <c r="F234" t="s">
        <v>192</v>
      </c>
      <c r="G234" s="74">
        <v>4.9778831000000001E-8</v>
      </c>
      <c r="H234">
        <v>0</v>
      </c>
      <c r="I234" s="74">
        <v>6.0481109000000004E-9</v>
      </c>
      <c r="J234" s="74">
        <v>1.8342911999999999E-8</v>
      </c>
      <c r="K234" s="74">
        <v>4.5715316000000002E-11</v>
      </c>
      <c r="L234" s="74">
        <v>2.3564253E-8</v>
      </c>
      <c r="M234" s="74">
        <v>1.7778405999999999E-9</v>
      </c>
    </row>
    <row r="235" spans="3:13" x14ac:dyDescent="0.25">
      <c r="C235">
        <v>209</v>
      </c>
      <c r="D235" t="s">
        <v>569</v>
      </c>
      <c r="E235" t="s">
        <v>10</v>
      </c>
      <c r="F235" t="s">
        <v>305</v>
      </c>
      <c r="G235">
        <v>0.26718162000000001</v>
      </c>
      <c r="H235">
        <v>0</v>
      </c>
      <c r="I235">
        <v>1.2895873999999999E-3</v>
      </c>
      <c r="J235">
        <v>3.0814546000000002E-3</v>
      </c>
      <c r="K235" s="74">
        <v>2.950902E-5</v>
      </c>
      <c r="L235">
        <v>2.3694711000000002E-3</v>
      </c>
      <c r="M235">
        <v>0.26041159000000003</v>
      </c>
    </row>
    <row r="236" spans="3:13" x14ac:dyDescent="0.25">
      <c r="C236">
        <v>210</v>
      </c>
      <c r="D236" t="s">
        <v>570</v>
      </c>
      <c r="E236" t="s">
        <v>10</v>
      </c>
      <c r="F236" t="s">
        <v>192</v>
      </c>
      <c r="G236" s="74">
        <v>1.0240151E-21</v>
      </c>
      <c r="H236">
        <v>0</v>
      </c>
      <c r="I236" s="74">
        <v>3.0796565999999999E-23</v>
      </c>
      <c r="J236" s="74">
        <v>3.5247818999999998E-22</v>
      </c>
      <c r="K236" s="74">
        <v>2.8904557999999999E-26</v>
      </c>
      <c r="L236" s="74">
        <v>6.2493051999999997E-22</v>
      </c>
      <c r="M236" s="74">
        <v>1.5780888000000001E-23</v>
      </c>
    </row>
    <row r="237" spans="3:13" x14ac:dyDescent="0.25">
      <c r="C237">
        <v>211</v>
      </c>
      <c r="D237" t="s">
        <v>571</v>
      </c>
      <c r="E237" t="s">
        <v>10</v>
      </c>
      <c r="F237" t="s">
        <v>192</v>
      </c>
      <c r="G237" s="74">
        <v>1.0811478E-18</v>
      </c>
      <c r="H237">
        <v>0</v>
      </c>
      <c r="I237" s="74">
        <v>6.1240689E-20</v>
      </c>
      <c r="J237" s="74">
        <v>3.6258348999999998E-19</v>
      </c>
      <c r="K237" s="74">
        <v>4.0655597999999998E-22</v>
      </c>
      <c r="L237" s="74">
        <v>2.5439579999999999E-19</v>
      </c>
      <c r="M237" s="74">
        <v>4.0252128E-19</v>
      </c>
    </row>
    <row r="238" spans="3:13" x14ac:dyDescent="0.25">
      <c r="C238">
        <v>212</v>
      </c>
      <c r="D238" t="s">
        <v>572</v>
      </c>
      <c r="E238" t="s">
        <v>10</v>
      </c>
      <c r="F238" t="s">
        <v>192</v>
      </c>
      <c r="G238" s="74">
        <v>4.0921131E-11</v>
      </c>
      <c r="H238">
        <v>0</v>
      </c>
      <c r="I238" s="74">
        <v>1.4960780000000001E-12</v>
      </c>
      <c r="J238" s="74">
        <v>9.4515278000000002E-12</v>
      </c>
      <c r="K238" s="74">
        <v>9.0069463E-15</v>
      </c>
      <c r="L238" s="74">
        <v>7.4875566999999998E-12</v>
      </c>
      <c r="M238" s="74">
        <v>2.2476961E-11</v>
      </c>
    </row>
    <row r="239" spans="3:13" x14ac:dyDescent="0.25">
      <c r="C239">
        <v>213</v>
      </c>
      <c r="D239" t="s">
        <v>721</v>
      </c>
      <c r="E239" t="s">
        <v>10</v>
      </c>
      <c r="F239" t="s">
        <v>305</v>
      </c>
      <c r="G239">
        <v>3.3622181999999998E-3</v>
      </c>
      <c r="H239">
        <v>0</v>
      </c>
      <c r="I239" s="74">
        <v>2.5927803000000001E-5</v>
      </c>
      <c r="J239">
        <v>1.1155077E-4</v>
      </c>
      <c r="K239" s="74">
        <v>4.3754910000000003E-6</v>
      </c>
      <c r="L239">
        <v>3.0991664000000001E-3</v>
      </c>
      <c r="M239">
        <v>1.2119771999999999E-4</v>
      </c>
    </row>
    <row r="240" spans="3:13" x14ac:dyDescent="0.25">
      <c r="C240">
        <v>214</v>
      </c>
      <c r="D240" t="s">
        <v>722</v>
      </c>
      <c r="E240" t="s">
        <v>10</v>
      </c>
      <c r="F240" t="s">
        <v>305</v>
      </c>
      <c r="G240">
        <v>50.889080999999997</v>
      </c>
      <c r="H240">
        <v>0</v>
      </c>
      <c r="I240">
        <v>0.1478236</v>
      </c>
      <c r="J240">
        <v>0.35985082000000002</v>
      </c>
      <c r="K240">
        <v>3.2447264E-3</v>
      </c>
      <c r="L240">
        <v>0.27466586999999998</v>
      </c>
      <c r="M240">
        <v>50.103496</v>
      </c>
    </row>
    <row r="241" spans="3:13" x14ac:dyDescent="0.25">
      <c r="C241">
        <v>215</v>
      </c>
      <c r="D241" t="s">
        <v>723</v>
      </c>
      <c r="E241" t="s">
        <v>10</v>
      </c>
      <c r="F241" t="s">
        <v>305</v>
      </c>
      <c r="G241">
        <v>0.31147175999999999</v>
      </c>
      <c r="H241">
        <v>0</v>
      </c>
      <c r="I241">
        <v>2.0131065E-2</v>
      </c>
      <c r="J241">
        <v>9.977374E-2</v>
      </c>
      <c r="K241">
        <v>1.3547038E-4</v>
      </c>
      <c r="L241">
        <v>7.8497520000000001E-2</v>
      </c>
      <c r="M241">
        <v>0.11293396999999999</v>
      </c>
    </row>
    <row r="242" spans="3:13" x14ac:dyDescent="0.25">
      <c r="C242">
        <v>216</v>
      </c>
      <c r="D242" t="s">
        <v>575</v>
      </c>
      <c r="E242" t="s">
        <v>10</v>
      </c>
      <c r="F242" t="s">
        <v>305</v>
      </c>
      <c r="G242">
        <v>90.738104000000007</v>
      </c>
      <c r="H242">
        <v>0</v>
      </c>
      <c r="I242">
        <v>0.46713858000000003</v>
      </c>
      <c r="J242">
        <v>1.2420514</v>
      </c>
      <c r="K242">
        <v>1.0422882E-2</v>
      </c>
      <c r="L242">
        <v>1.1850839</v>
      </c>
      <c r="M242">
        <v>87.833406999999994</v>
      </c>
    </row>
    <row r="243" spans="3:13" x14ac:dyDescent="0.25">
      <c r="C243">
        <v>217</v>
      </c>
      <c r="D243" t="s">
        <v>576</v>
      </c>
      <c r="E243" t="s">
        <v>10</v>
      </c>
      <c r="F243" t="s">
        <v>305</v>
      </c>
      <c r="G243">
        <v>3.1173495999999998</v>
      </c>
      <c r="H243">
        <v>0</v>
      </c>
      <c r="I243">
        <v>4.7869878999999997E-2</v>
      </c>
      <c r="J243">
        <v>0.27291602999999998</v>
      </c>
      <c r="K243">
        <v>4.1809992000000002E-4</v>
      </c>
      <c r="L243">
        <v>0.22045295000000001</v>
      </c>
      <c r="M243">
        <v>2.5756926</v>
      </c>
    </row>
    <row r="244" spans="3:13" x14ac:dyDescent="0.25">
      <c r="C244">
        <v>218</v>
      </c>
      <c r="D244" t="s">
        <v>724</v>
      </c>
      <c r="E244" t="s">
        <v>10</v>
      </c>
      <c r="F244" t="s">
        <v>192</v>
      </c>
      <c r="G244" s="74">
        <v>6.2294351999999995E-8</v>
      </c>
      <c r="H244">
        <v>0</v>
      </c>
      <c r="I244" s="74">
        <v>4.0262129E-9</v>
      </c>
      <c r="J244" s="74">
        <v>1.9954748000000001E-8</v>
      </c>
      <c r="K244" s="74">
        <v>2.7094075E-11</v>
      </c>
      <c r="L244" s="74">
        <v>1.5699503999999999E-8</v>
      </c>
      <c r="M244" s="74">
        <v>2.2586794E-8</v>
      </c>
    </row>
    <row r="245" spans="3:13" x14ac:dyDescent="0.25">
      <c r="C245">
        <v>219</v>
      </c>
      <c r="D245" t="s">
        <v>579</v>
      </c>
      <c r="E245" t="s">
        <v>10</v>
      </c>
      <c r="F245" t="s">
        <v>305</v>
      </c>
      <c r="G245">
        <v>5.5150708999999998E-4</v>
      </c>
      <c r="H245">
        <v>0</v>
      </c>
      <c r="I245" s="74">
        <v>1.9218294999999998E-6</v>
      </c>
      <c r="J245" s="74">
        <v>4.7706638999999998E-6</v>
      </c>
      <c r="K245" s="74">
        <v>4.0289125999999998E-8</v>
      </c>
      <c r="L245" s="74">
        <v>3.6210847999999999E-6</v>
      </c>
      <c r="M245">
        <v>5.4115323E-4</v>
      </c>
    </row>
    <row r="246" spans="3:13" x14ac:dyDescent="0.25">
      <c r="C246">
        <v>220</v>
      </c>
      <c r="D246" t="s">
        <v>580</v>
      </c>
      <c r="E246" t="s">
        <v>10</v>
      </c>
      <c r="F246" t="s">
        <v>192</v>
      </c>
      <c r="G246" s="74">
        <v>4.6630573999999999E-6</v>
      </c>
      <c r="H246">
        <v>0</v>
      </c>
      <c r="I246" s="74">
        <v>3.0987407E-7</v>
      </c>
      <c r="J246" s="74">
        <v>1.1361658000000001E-6</v>
      </c>
      <c r="K246" s="74">
        <v>2.7925354000000001E-9</v>
      </c>
      <c r="L246" s="74">
        <v>1.2039533E-6</v>
      </c>
      <c r="M246" s="74">
        <v>2.0102716999999999E-6</v>
      </c>
    </row>
    <row r="247" spans="3:13" x14ac:dyDescent="0.25">
      <c r="C247">
        <v>221</v>
      </c>
      <c r="D247" t="s">
        <v>581</v>
      </c>
      <c r="E247" t="s">
        <v>10</v>
      </c>
      <c r="F247" t="s">
        <v>192</v>
      </c>
      <c r="G247" s="74">
        <v>5.9382210000000001E-6</v>
      </c>
      <c r="H247">
        <v>0</v>
      </c>
      <c r="I247" s="74">
        <v>4.6994046000000001E-7</v>
      </c>
      <c r="J247" s="74">
        <v>1.7042953E-6</v>
      </c>
      <c r="K247" s="74">
        <v>2.9892833000000001E-9</v>
      </c>
      <c r="L247" s="74">
        <v>1.7874754E-6</v>
      </c>
      <c r="M247" s="74">
        <v>1.9735206E-6</v>
      </c>
    </row>
    <row r="248" spans="3:13" x14ac:dyDescent="0.25">
      <c r="C248">
        <v>222</v>
      </c>
      <c r="D248" t="s">
        <v>583</v>
      </c>
      <c r="E248" t="s">
        <v>10</v>
      </c>
      <c r="F248" t="s">
        <v>192</v>
      </c>
      <c r="G248">
        <v>1.8089574000000001E-2</v>
      </c>
      <c r="H248">
        <v>0</v>
      </c>
      <c r="I248">
        <v>1.4773268E-3</v>
      </c>
      <c r="J248">
        <v>4.0894813000000004E-3</v>
      </c>
      <c r="K248" s="74">
        <v>1.8338205E-5</v>
      </c>
      <c r="L248">
        <v>5.0286039999999999E-3</v>
      </c>
      <c r="M248">
        <v>7.4758233E-3</v>
      </c>
    </row>
    <row r="249" spans="3:13" x14ac:dyDescent="0.25">
      <c r="C249">
        <v>223</v>
      </c>
      <c r="D249" t="s">
        <v>585</v>
      </c>
      <c r="E249" t="s">
        <v>10</v>
      </c>
      <c r="F249" t="s">
        <v>192</v>
      </c>
      <c r="G249" s="74">
        <v>3.1132231E-6</v>
      </c>
      <c r="H249">
        <v>0</v>
      </c>
      <c r="I249" s="74">
        <v>3.4822548999999999E-8</v>
      </c>
      <c r="J249" s="74">
        <v>1.8157246999999999E-7</v>
      </c>
      <c r="K249" s="74">
        <v>2.1613233E-10</v>
      </c>
      <c r="L249" s="74">
        <v>1.7245162000000001E-7</v>
      </c>
      <c r="M249" s="74">
        <v>2.7241604E-6</v>
      </c>
    </row>
    <row r="250" spans="3:13" x14ac:dyDescent="0.25">
      <c r="C250">
        <v>224</v>
      </c>
      <c r="D250" t="s">
        <v>586</v>
      </c>
      <c r="E250" t="s">
        <v>10</v>
      </c>
      <c r="F250" t="s">
        <v>305</v>
      </c>
      <c r="G250">
        <v>0.85442525999999996</v>
      </c>
      <c r="H250">
        <v>0</v>
      </c>
      <c r="I250">
        <v>3.2958401E-3</v>
      </c>
      <c r="J250">
        <v>8.0944471000000007E-3</v>
      </c>
      <c r="K250" s="74">
        <v>6.9877759999999994E-5</v>
      </c>
      <c r="L250">
        <v>6.2043345999999999E-3</v>
      </c>
      <c r="M250">
        <v>0.83676075999999999</v>
      </c>
    </row>
    <row r="251" spans="3:13" x14ac:dyDescent="0.25">
      <c r="C251">
        <v>225</v>
      </c>
      <c r="D251" t="s">
        <v>587</v>
      </c>
      <c r="E251" t="s">
        <v>10</v>
      </c>
      <c r="F251" t="s">
        <v>192</v>
      </c>
      <c r="G251">
        <v>3.430006E-2</v>
      </c>
      <c r="H251">
        <v>0</v>
      </c>
      <c r="I251">
        <v>6.6536408999999996E-4</v>
      </c>
      <c r="J251">
        <v>1.0027774999999999E-2</v>
      </c>
      <c r="K251">
        <v>2.5814251999999998E-4</v>
      </c>
      <c r="L251">
        <v>5.4792455000000004E-3</v>
      </c>
      <c r="M251">
        <v>1.7869532E-2</v>
      </c>
    </row>
    <row r="252" spans="3:13" x14ac:dyDescent="0.25">
      <c r="C252">
        <v>226</v>
      </c>
      <c r="D252" t="s">
        <v>725</v>
      </c>
      <c r="E252" t="s">
        <v>10</v>
      </c>
      <c r="F252" t="s">
        <v>305</v>
      </c>
      <c r="G252">
        <v>1.9520347E-2</v>
      </c>
      <c r="H252">
        <v>0</v>
      </c>
      <c r="I252" s="74">
        <v>6.8066144000000002E-5</v>
      </c>
      <c r="J252">
        <v>1.6895408E-4</v>
      </c>
      <c r="K252" s="74">
        <v>1.4268903E-6</v>
      </c>
      <c r="L252">
        <v>1.2825373999999999E-4</v>
      </c>
      <c r="M252">
        <v>1.9153646E-2</v>
      </c>
    </row>
    <row r="253" spans="3:13" x14ac:dyDescent="0.25">
      <c r="C253">
        <v>227</v>
      </c>
      <c r="D253" t="s">
        <v>588</v>
      </c>
      <c r="E253" t="s">
        <v>10</v>
      </c>
      <c r="F253" t="s">
        <v>192</v>
      </c>
      <c r="G253" s="74">
        <v>2.3970276999999998E-12</v>
      </c>
      <c r="H253">
        <v>0</v>
      </c>
      <c r="I253" s="74">
        <v>3.9352494000000003E-14</v>
      </c>
      <c r="J253" s="74">
        <v>1.1306689E-12</v>
      </c>
      <c r="K253" s="74">
        <v>3.3577978999999999E-16</v>
      </c>
      <c r="L253" s="74">
        <v>2.1932785999999999E-13</v>
      </c>
      <c r="M253" s="74">
        <v>1.0073427E-12</v>
      </c>
    </row>
    <row r="254" spans="3:13" x14ac:dyDescent="0.25">
      <c r="C254">
        <v>228</v>
      </c>
      <c r="D254" t="s">
        <v>590</v>
      </c>
      <c r="E254" t="s">
        <v>10</v>
      </c>
      <c r="F254" t="s">
        <v>192</v>
      </c>
      <c r="G254" s="74">
        <v>9.4704433999999997E-10</v>
      </c>
      <c r="H254">
        <v>0</v>
      </c>
      <c r="I254" s="74">
        <v>4.1704424999999997E-11</v>
      </c>
      <c r="J254" s="74">
        <v>7.2878144000000005E-10</v>
      </c>
      <c r="K254" s="74">
        <v>2.7947019E-13</v>
      </c>
      <c r="L254" s="74">
        <v>1.5909382E-10</v>
      </c>
      <c r="M254" s="74">
        <v>1.7185174E-11</v>
      </c>
    </row>
    <row r="255" spans="3:13" x14ac:dyDescent="0.25">
      <c r="C255">
        <v>229</v>
      </c>
      <c r="D255" t="s">
        <v>726</v>
      </c>
      <c r="E255" t="s">
        <v>10</v>
      </c>
      <c r="F255" t="s">
        <v>192</v>
      </c>
      <c r="G255">
        <v>1.1762061E-3</v>
      </c>
      <c r="H255">
        <v>0</v>
      </c>
      <c r="I255">
        <v>2.047315E-4</v>
      </c>
      <c r="J255">
        <v>3.3639458999999998E-4</v>
      </c>
      <c r="K255" s="74">
        <v>8.3458129000000002E-7</v>
      </c>
      <c r="L255" s="74">
        <v>8.4118237999999994E-5</v>
      </c>
      <c r="M255">
        <v>5.5012715000000002E-4</v>
      </c>
    </row>
    <row r="256" spans="3:13" x14ac:dyDescent="0.25">
      <c r="C256">
        <v>230</v>
      </c>
      <c r="D256" t="s">
        <v>593</v>
      </c>
      <c r="E256" t="s">
        <v>10</v>
      </c>
      <c r="F256" t="s">
        <v>192</v>
      </c>
      <c r="G256">
        <v>4.1297109000000001E-4</v>
      </c>
      <c r="H256">
        <v>0</v>
      </c>
      <c r="I256" s="74">
        <v>2.1934213999999999E-5</v>
      </c>
      <c r="J256" s="74">
        <v>8.0782502E-5</v>
      </c>
      <c r="K256" s="74">
        <v>5.7929879999999999E-7</v>
      </c>
      <c r="L256" s="74">
        <v>8.7072531999999998E-5</v>
      </c>
      <c r="M256">
        <v>2.2260254999999999E-4</v>
      </c>
    </row>
    <row r="257" spans="3:13" x14ac:dyDescent="0.25">
      <c r="C257">
        <v>231</v>
      </c>
      <c r="D257" t="s">
        <v>727</v>
      </c>
      <c r="E257" t="s">
        <v>10</v>
      </c>
      <c r="F257" t="s">
        <v>305</v>
      </c>
      <c r="G257">
        <v>2.3667996E-2</v>
      </c>
      <c r="H257">
        <v>0</v>
      </c>
      <c r="I257" s="74">
        <v>8.6040079000000006E-5</v>
      </c>
      <c r="J257">
        <v>2.1273999000000001E-4</v>
      </c>
      <c r="K257" s="74">
        <v>1.8006253E-6</v>
      </c>
      <c r="L257">
        <v>1.6245927E-4</v>
      </c>
      <c r="M257">
        <v>2.3204955999999999E-2</v>
      </c>
    </row>
    <row r="258" spans="3:13" x14ac:dyDescent="0.25">
      <c r="C258">
        <v>232</v>
      </c>
      <c r="D258" t="s">
        <v>728</v>
      </c>
      <c r="E258" t="s">
        <v>10</v>
      </c>
      <c r="F258" t="s">
        <v>305</v>
      </c>
      <c r="G258">
        <v>1.8310947</v>
      </c>
      <c r="H258">
        <v>0</v>
      </c>
      <c r="I258">
        <v>0.14250534000000001</v>
      </c>
      <c r="J258">
        <v>0.30854267000000002</v>
      </c>
      <c r="K258">
        <v>3.9527058999999998E-3</v>
      </c>
      <c r="L258">
        <v>0.24383224000000001</v>
      </c>
      <c r="M258">
        <v>1.1322618</v>
      </c>
    </row>
    <row r="259" spans="3:13" x14ac:dyDescent="0.25">
      <c r="C259">
        <v>233</v>
      </c>
      <c r="D259" t="s">
        <v>595</v>
      </c>
      <c r="E259" t="s">
        <v>10</v>
      </c>
      <c r="F259" t="s">
        <v>192</v>
      </c>
      <c r="G259">
        <v>0.10522606</v>
      </c>
      <c r="H259">
        <v>0</v>
      </c>
      <c r="I259">
        <v>6.1263385E-3</v>
      </c>
      <c r="J259">
        <v>3.5454338000000002E-2</v>
      </c>
      <c r="K259">
        <v>1.2575271999999999E-4</v>
      </c>
      <c r="L259">
        <v>2.2315155999999999E-2</v>
      </c>
      <c r="M259">
        <v>4.1204472999999998E-2</v>
      </c>
    </row>
    <row r="260" spans="3:13" x14ac:dyDescent="0.25">
      <c r="C260">
        <v>234</v>
      </c>
      <c r="D260" t="s">
        <v>729</v>
      </c>
      <c r="E260" t="s">
        <v>10</v>
      </c>
      <c r="F260" t="s">
        <v>192</v>
      </c>
      <c r="G260" s="74">
        <v>1.0728708E-7</v>
      </c>
      <c r="H260">
        <v>0</v>
      </c>
      <c r="I260" s="74">
        <v>2.7637755E-9</v>
      </c>
      <c r="J260" s="74">
        <v>8.9710610999999994E-9</v>
      </c>
      <c r="K260" s="74">
        <v>4.2772222000000001E-11</v>
      </c>
      <c r="L260" s="74">
        <v>7.1201633000000002E-9</v>
      </c>
      <c r="M260" s="74">
        <v>8.8389308999999994E-8</v>
      </c>
    </row>
    <row r="261" spans="3:13" x14ac:dyDescent="0.25">
      <c r="C261">
        <v>235</v>
      </c>
      <c r="D261" t="s">
        <v>730</v>
      </c>
      <c r="E261" t="s">
        <v>10</v>
      </c>
      <c r="F261" t="s">
        <v>192</v>
      </c>
      <c r="G261" s="74">
        <v>2.8195685000000002E-6</v>
      </c>
      <c r="H261">
        <v>0</v>
      </c>
      <c r="I261" s="74">
        <v>7.2139339999999998E-8</v>
      </c>
      <c r="J261" s="74">
        <v>1.8860759000000001E-7</v>
      </c>
      <c r="K261" s="74">
        <v>1.3422016000000001E-9</v>
      </c>
      <c r="L261" s="74">
        <v>1.4255666999999999E-7</v>
      </c>
      <c r="M261" s="74">
        <v>2.4149227000000001E-6</v>
      </c>
    </row>
    <row r="262" spans="3:13" x14ac:dyDescent="0.25">
      <c r="C262">
        <v>236</v>
      </c>
      <c r="D262" t="s">
        <v>731</v>
      </c>
      <c r="E262" t="s">
        <v>10</v>
      </c>
      <c r="F262" t="s">
        <v>192</v>
      </c>
      <c r="G262" s="74">
        <v>5.2622157999999999E-6</v>
      </c>
      <c r="H262">
        <v>0</v>
      </c>
      <c r="I262" s="74">
        <v>1.2215382000000001E-7</v>
      </c>
      <c r="J262" s="74">
        <v>6.2605286000000002E-7</v>
      </c>
      <c r="K262" s="74">
        <v>1.7079396999999999E-9</v>
      </c>
      <c r="L262" s="74">
        <v>5.5871415999999995E-7</v>
      </c>
      <c r="M262" s="74">
        <v>3.953587E-6</v>
      </c>
    </row>
    <row r="263" spans="3:13" x14ac:dyDescent="0.25">
      <c r="C263">
        <v>237</v>
      </c>
      <c r="D263" t="s">
        <v>732</v>
      </c>
      <c r="E263" t="s">
        <v>10</v>
      </c>
      <c r="F263" t="s">
        <v>192</v>
      </c>
      <c r="G263">
        <v>6.0291128999999999E-2</v>
      </c>
      <c r="H263">
        <v>0</v>
      </c>
      <c r="I263">
        <v>1.9647556E-4</v>
      </c>
      <c r="J263">
        <v>2.2429315999999999E-3</v>
      </c>
      <c r="K263" s="74">
        <v>4.1745236999999996E-6</v>
      </c>
      <c r="L263">
        <v>1.6810879E-3</v>
      </c>
      <c r="M263">
        <v>5.6166459000000002E-2</v>
      </c>
    </row>
    <row r="264" spans="3:13" x14ac:dyDescent="0.25">
      <c r="C264">
        <v>238</v>
      </c>
      <c r="D264" t="s">
        <v>602</v>
      </c>
      <c r="E264" t="s">
        <v>10</v>
      </c>
      <c r="F264" t="s">
        <v>192</v>
      </c>
      <c r="G264" s="74">
        <v>1.4676308999999999E-9</v>
      </c>
      <c r="H264">
        <v>0</v>
      </c>
      <c r="I264" s="74">
        <v>1.6817387999999999E-10</v>
      </c>
      <c r="J264" s="74">
        <v>1.1543851000000001E-9</v>
      </c>
      <c r="K264" s="74">
        <v>2.7011773999999999E-13</v>
      </c>
      <c r="L264" s="74">
        <v>7.8631032999999999E-11</v>
      </c>
      <c r="M264" s="74">
        <v>6.6170802999999994E-11</v>
      </c>
    </row>
    <row r="265" spans="3:13" x14ac:dyDescent="0.25">
      <c r="C265">
        <v>239</v>
      </c>
      <c r="D265" t="s">
        <v>603</v>
      </c>
      <c r="E265" t="s">
        <v>10</v>
      </c>
      <c r="F265" t="s">
        <v>192</v>
      </c>
      <c r="G265" s="74">
        <v>1.6261243000000001E-11</v>
      </c>
      <c r="H265">
        <v>0</v>
      </c>
      <c r="I265" s="74">
        <v>7.6876855999999995E-14</v>
      </c>
      <c r="J265" s="74">
        <v>1.5374042999999999E-11</v>
      </c>
      <c r="K265" s="74">
        <v>5.3646210999999996E-16</v>
      </c>
      <c r="L265" s="74">
        <v>4.0026098E-13</v>
      </c>
      <c r="M265" s="74">
        <v>4.0952641E-13</v>
      </c>
    </row>
    <row r="266" spans="3:13" x14ac:dyDescent="0.25">
      <c r="C266">
        <v>240</v>
      </c>
      <c r="D266" t="s">
        <v>604</v>
      </c>
      <c r="E266" t="s">
        <v>10</v>
      </c>
      <c r="F266" t="s">
        <v>192</v>
      </c>
      <c r="G266" s="74">
        <v>8.0918609000000003E-21</v>
      </c>
      <c r="H266">
        <v>0</v>
      </c>
      <c r="I266" s="74">
        <v>2.4335729000000001E-22</v>
      </c>
      <c r="J266" s="74">
        <v>2.785315E-21</v>
      </c>
      <c r="K266" s="74">
        <v>2.2840647000000001E-25</v>
      </c>
      <c r="L266" s="74">
        <v>4.9382581999999998E-21</v>
      </c>
      <c r="M266" s="74">
        <v>1.2470202999999999E-22</v>
      </c>
    </row>
    <row r="267" spans="3:13" x14ac:dyDescent="0.25">
      <c r="C267">
        <v>241</v>
      </c>
      <c r="D267" t="s">
        <v>733</v>
      </c>
      <c r="E267" t="s">
        <v>10</v>
      </c>
      <c r="F267" t="s">
        <v>305</v>
      </c>
      <c r="G267">
        <v>2.9948269E-2</v>
      </c>
      <c r="H267">
        <v>0</v>
      </c>
      <c r="I267">
        <v>1.0954505E-4</v>
      </c>
      <c r="J267">
        <v>2.7071212E-4</v>
      </c>
      <c r="K267" s="74">
        <v>2.2913577000000001E-6</v>
      </c>
      <c r="L267">
        <v>2.0692452E-4</v>
      </c>
      <c r="M267">
        <v>2.9358796E-2</v>
      </c>
    </row>
    <row r="268" spans="3:13" x14ac:dyDescent="0.25">
      <c r="C268">
        <v>242</v>
      </c>
      <c r="D268" t="s">
        <v>605</v>
      </c>
      <c r="E268" t="s">
        <v>10</v>
      </c>
      <c r="F268" t="s">
        <v>192</v>
      </c>
      <c r="G268" s="74">
        <v>8.7617437999999998E-23</v>
      </c>
      <c r="H268">
        <v>0</v>
      </c>
      <c r="I268" s="74">
        <v>1.1963586E-23</v>
      </c>
      <c r="J268" s="74">
        <v>2.9723677999999999E-23</v>
      </c>
      <c r="K268" s="74">
        <v>5.2117931999999996E-25</v>
      </c>
      <c r="L268" s="74">
        <v>4.4959546000000002E-23</v>
      </c>
      <c r="M268" s="74">
        <v>4.4944963E-25</v>
      </c>
    </row>
    <row r="269" spans="3:13" x14ac:dyDescent="0.25">
      <c r="C269">
        <v>243</v>
      </c>
      <c r="D269" t="s">
        <v>734</v>
      </c>
      <c r="E269" t="s">
        <v>10</v>
      </c>
      <c r="F269" t="s">
        <v>305</v>
      </c>
      <c r="G269">
        <v>2.9760351000000002E-3</v>
      </c>
      <c r="H269">
        <v>0</v>
      </c>
      <c r="I269" s="74">
        <v>1.4069118E-5</v>
      </c>
      <c r="J269" s="74">
        <v>3.3730996999999998E-5</v>
      </c>
      <c r="K269" s="74">
        <v>3.2053156000000002E-7</v>
      </c>
      <c r="L269" s="74">
        <v>2.5878884E-5</v>
      </c>
      <c r="M269">
        <v>2.9020355E-3</v>
      </c>
    </row>
    <row r="270" spans="3:13" x14ac:dyDescent="0.25">
      <c r="C270">
        <v>244</v>
      </c>
      <c r="D270" t="s">
        <v>735</v>
      </c>
      <c r="E270" t="s">
        <v>10</v>
      </c>
      <c r="F270" t="s">
        <v>305</v>
      </c>
      <c r="G270">
        <v>1.5773021E-4</v>
      </c>
      <c r="H270">
        <v>0</v>
      </c>
      <c r="I270" s="74">
        <v>5.4854241999999995E-7</v>
      </c>
      <c r="J270" s="74">
        <v>1.3619348000000001E-6</v>
      </c>
      <c r="K270" s="74">
        <v>1.1500727999999999E-8</v>
      </c>
      <c r="L270" s="74">
        <v>1.0334448E-6</v>
      </c>
      <c r="M270">
        <v>1.5477477999999999E-4</v>
      </c>
    </row>
    <row r="271" spans="3:13" x14ac:dyDescent="0.25">
      <c r="C271">
        <v>245</v>
      </c>
      <c r="D271" t="s">
        <v>608</v>
      </c>
      <c r="E271" t="s">
        <v>10</v>
      </c>
      <c r="F271" t="s">
        <v>192</v>
      </c>
      <c r="G271" s="74">
        <v>5.9351703999999999E-7</v>
      </c>
      <c r="H271">
        <v>0</v>
      </c>
      <c r="I271" s="74">
        <v>5.2937654000000003E-8</v>
      </c>
      <c r="J271" s="74">
        <v>2.1042985E-7</v>
      </c>
      <c r="K271" s="74">
        <v>2.0662654000000001E-10</v>
      </c>
      <c r="L271" s="74">
        <v>2.2952046000000001E-7</v>
      </c>
      <c r="M271" s="74">
        <v>1.0042245E-7</v>
      </c>
    </row>
    <row r="272" spans="3:13" x14ac:dyDescent="0.25">
      <c r="C272">
        <v>246</v>
      </c>
      <c r="D272" t="s">
        <v>612</v>
      </c>
      <c r="E272" t="s">
        <v>10</v>
      </c>
      <c r="F272" t="s">
        <v>305</v>
      </c>
      <c r="G272">
        <v>1.2459009000000001</v>
      </c>
      <c r="H272">
        <v>0</v>
      </c>
      <c r="I272">
        <v>8.0524362000000002E-2</v>
      </c>
      <c r="J272">
        <v>0.39909540999999998</v>
      </c>
      <c r="K272">
        <v>5.4190003999999995E-4</v>
      </c>
      <c r="L272">
        <v>0.31400323000000002</v>
      </c>
      <c r="M272">
        <v>0.45173598999999998</v>
      </c>
    </row>
    <row r="273" spans="3:13" x14ac:dyDescent="0.25">
      <c r="C273">
        <v>247</v>
      </c>
      <c r="D273" t="s">
        <v>613</v>
      </c>
      <c r="E273" t="s">
        <v>10</v>
      </c>
      <c r="F273" t="s">
        <v>305</v>
      </c>
      <c r="G273">
        <v>22.621023999999998</v>
      </c>
      <c r="H273">
        <v>0</v>
      </c>
      <c r="I273">
        <v>0.10918337</v>
      </c>
      <c r="J273">
        <v>0.26089242000000001</v>
      </c>
      <c r="K273">
        <v>2.4983914000000001E-3</v>
      </c>
      <c r="L273">
        <v>0.20061208999999999</v>
      </c>
      <c r="M273">
        <v>22.047837999999999</v>
      </c>
    </row>
    <row r="274" spans="3:13" x14ac:dyDescent="0.25">
      <c r="C274">
        <v>248</v>
      </c>
      <c r="D274" t="s">
        <v>614</v>
      </c>
      <c r="E274" t="s">
        <v>10</v>
      </c>
      <c r="F274" t="s">
        <v>305</v>
      </c>
      <c r="G274">
        <v>9.5314326000000005E-3</v>
      </c>
      <c r="H274">
        <v>0</v>
      </c>
      <c r="I274">
        <v>7.5971831999999996E-4</v>
      </c>
      <c r="J274">
        <v>1.9663864999999998E-3</v>
      </c>
      <c r="K274" s="74">
        <v>1.4553878E-5</v>
      </c>
      <c r="L274">
        <v>1.5061447000000001E-3</v>
      </c>
      <c r="M274">
        <v>5.2846292E-3</v>
      </c>
    </row>
    <row r="275" spans="3:13" x14ac:dyDescent="0.25">
      <c r="C275">
        <v>249</v>
      </c>
      <c r="D275" t="s">
        <v>615</v>
      </c>
      <c r="E275" t="s">
        <v>10</v>
      </c>
      <c r="F275" t="s">
        <v>305</v>
      </c>
      <c r="G275">
        <v>0.26726460000000002</v>
      </c>
      <c r="H275">
        <v>0</v>
      </c>
      <c r="I275">
        <v>1.2900622000000001E-3</v>
      </c>
      <c r="J275">
        <v>3.0825840000000002E-3</v>
      </c>
      <c r="K275" s="74">
        <v>2.9519993999999999E-5</v>
      </c>
      <c r="L275">
        <v>2.3703412999999999E-3</v>
      </c>
      <c r="M275">
        <v>0.2604921</v>
      </c>
    </row>
    <row r="276" spans="3:13" x14ac:dyDescent="0.25">
      <c r="C276">
        <v>250</v>
      </c>
      <c r="D276" t="s">
        <v>616</v>
      </c>
      <c r="E276" t="s">
        <v>10</v>
      </c>
      <c r="F276" t="s">
        <v>192</v>
      </c>
      <c r="G276" s="74">
        <v>4.9974890999999999E-6</v>
      </c>
      <c r="H276">
        <v>0</v>
      </c>
      <c r="I276" s="74">
        <v>4.5038708999999998E-7</v>
      </c>
      <c r="J276" s="74">
        <v>1.7068232999999999E-6</v>
      </c>
      <c r="K276" s="74">
        <v>1.3066229999999999E-9</v>
      </c>
      <c r="L276" s="74">
        <v>1.9631159E-6</v>
      </c>
      <c r="M276" s="74">
        <v>8.7585615000000002E-7</v>
      </c>
    </row>
    <row r="277" spans="3:13" x14ac:dyDescent="0.25">
      <c r="C277">
        <v>251</v>
      </c>
      <c r="D277" t="s">
        <v>617</v>
      </c>
      <c r="E277" t="s">
        <v>10</v>
      </c>
      <c r="F277" t="s">
        <v>192</v>
      </c>
      <c r="G277">
        <v>1.2786279999999999E-4</v>
      </c>
      <c r="H277">
        <v>0</v>
      </c>
      <c r="I277" s="74">
        <v>1.0130027999999999E-5</v>
      </c>
      <c r="J277" s="74">
        <v>3.2412641000000001E-5</v>
      </c>
      <c r="K277" s="74">
        <v>2.9359983999999998E-7</v>
      </c>
      <c r="L277" s="74">
        <v>3.8153233999999999E-5</v>
      </c>
      <c r="M277" s="74">
        <v>4.6873292999999998E-5</v>
      </c>
    </row>
    <row r="278" spans="3:13" x14ac:dyDescent="0.25">
      <c r="C278">
        <v>252</v>
      </c>
      <c r="D278" t="s">
        <v>736</v>
      </c>
      <c r="E278" t="s">
        <v>10</v>
      </c>
      <c r="F278" t="s">
        <v>192</v>
      </c>
      <c r="G278">
        <v>3.5162219999999998E-3</v>
      </c>
      <c r="H278">
        <v>0</v>
      </c>
      <c r="I278">
        <v>2.4430335999999999E-4</v>
      </c>
      <c r="J278">
        <v>1.0010856000000001E-3</v>
      </c>
      <c r="K278" s="74">
        <v>4.1218916000000003E-6</v>
      </c>
      <c r="L278">
        <v>1.8048157E-3</v>
      </c>
      <c r="M278">
        <v>4.6189545000000003E-4</v>
      </c>
    </row>
    <row r="279" spans="3:13" x14ac:dyDescent="0.25">
      <c r="C279">
        <v>253</v>
      </c>
      <c r="D279" t="s">
        <v>618</v>
      </c>
      <c r="E279" t="s">
        <v>10</v>
      </c>
      <c r="F279" t="s">
        <v>192</v>
      </c>
      <c r="G279" s="74">
        <v>2.9223913E-6</v>
      </c>
      <c r="H279">
        <v>0</v>
      </c>
      <c r="I279" s="74">
        <v>5.8059709999999999E-8</v>
      </c>
      <c r="J279" s="74">
        <v>3.1827826E-7</v>
      </c>
      <c r="K279" s="74">
        <v>4.7285199000000005E-10</v>
      </c>
      <c r="L279" s="74">
        <v>2.5548458999999998E-7</v>
      </c>
      <c r="M279" s="74">
        <v>2.2900958999999998E-6</v>
      </c>
    </row>
    <row r="280" spans="3:13" x14ac:dyDescent="0.25">
      <c r="C280">
        <v>254</v>
      </c>
      <c r="D280" t="s">
        <v>619</v>
      </c>
      <c r="E280" t="s">
        <v>10</v>
      </c>
      <c r="F280" t="s">
        <v>192</v>
      </c>
      <c r="G280" s="74">
        <v>6.6017851999999996E-11</v>
      </c>
      <c r="H280">
        <v>0</v>
      </c>
      <c r="I280" s="74">
        <v>1.1077024E-11</v>
      </c>
      <c r="J280" s="74">
        <v>2.5817739999999999E-11</v>
      </c>
      <c r="K280" s="74">
        <v>2.8844748999999998E-13</v>
      </c>
      <c r="L280" s="74">
        <v>1.9808599E-11</v>
      </c>
      <c r="M280" s="74">
        <v>9.0260410000000008E-12</v>
      </c>
    </row>
    <row r="281" spans="3:13" x14ac:dyDescent="0.25">
      <c r="C281">
        <v>255</v>
      </c>
      <c r="D281" t="s">
        <v>737</v>
      </c>
      <c r="E281" t="s">
        <v>10</v>
      </c>
      <c r="F281" t="s">
        <v>192</v>
      </c>
      <c r="G281" s="74">
        <v>2.9729059E-8</v>
      </c>
      <c r="H281">
        <v>0</v>
      </c>
      <c r="I281" s="74">
        <v>3.019358E-9</v>
      </c>
      <c r="J281" s="74">
        <v>1.1418054000000001E-8</v>
      </c>
      <c r="K281" s="74">
        <v>2.1051499E-11</v>
      </c>
      <c r="L281" s="74">
        <v>1.2272186E-8</v>
      </c>
      <c r="M281" s="74">
        <v>2.9984096000000001E-9</v>
      </c>
    </row>
    <row r="282" spans="3:13" x14ac:dyDescent="0.25">
      <c r="C282">
        <v>256</v>
      </c>
      <c r="D282" t="s">
        <v>738</v>
      </c>
      <c r="E282" t="s">
        <v>10</v>
      </c>
      <c r="F282" t="s">
        <v>192</v>
      </c>
      <c r="G282" s="74">
        <v>2.0442637E-8</v>
      </c>
      <c r="H282">
        <v>0</v>
      </c>
      <c r="I282" s="74">
        <v>7.1430574000000004E-10</v>
      </c>
      <c r="J282" s="74">
        <v>5.6106159999999998E-9</v>
      </c>
      <c r="K282" s="74">
        <v>1.6258918E-11</v>
      </c>
      <c r="L282" s="74">
        <v>7.0613250999999997E-9</v>
      </c>
      <c r="M282" s="74">
        <v>7.0401309E-9</v>
      </c>
    </row>
    <row r="283" spans="3:13" x14ac:dyDescent="0.25">
      <c r="C283">
        <v>257</v>
      </c>
      <c r="D283" t="s">
        <v>620</v>
      </c>
      <c r="E283" t="s">
        <v>10</v>
      </c>
      <c r="F283" t="s">
        <v>192</v>
      </c>
      <c r="G283" s="74">
        <v>3.0313627E-22</v>
      </c>
      <c r="H283">
        <v>0</v>
      </c>
      <c r="I283" s="74">
        <v>9.1166197999999996E-24</v>
      </c>
      <c r="J283" s="74">
        <v>1.0434312E-22</v>
      </c>
      <c r="K283" s="74">
        <v>8.5565341999999995E-27</v>
      </c>
      <c r="L283" s="74">
        <v>1.8499640000000001E-22</v>
      </c>
      <c r="M283" s="74">
        <v>4.6715715000000004E-24</v>
      </c>
    </row>
    <row r="284" spans="3:13" x14ac:dyDescent="0.25">
      <c r="C284">
        <v>258</v>
      </c>
      <c r="D284" t="s">
        <v>622</v>
      </c>
      <c r="E284" t="s">
        <v>10</v>
      </c>
      <c r="F284" t="s">
        <v>192</v>
      </c>
      <c r="G284" s="74">
        <v>3.2003721E-13</v>
      </c>
      <c r="H284">
        <v>0</v>
      </c>
      <c r="I284" s="74">
        <v>1.7596366E-14</v>
      </c>
      <c r="J284" s="74">
        <v>1.0835255E-13</v>
      </c>
      <c r="K284" s="74">
        <v>1.2690202000000001E-16</v>
      </c>
      <c r="L284" s="74">
        <v>8.2744172999999996E-14</v>
      </c>
      <c r="M284" s="74">
        <v>1.1121722E-13</v>
      </c>
    </row>
    <row r="285" spans="3:13" x14ac:dyDescent="0.25">
      <c r="C285">
        <v>259</v>
      </c>
      <c r="D285" t="s">
        <v>739</v>
      </c>
      <c r="E285" t="s">
        <v>10</v>
      </c>
      <c r="F285" t="s">
        <v>192</v>
      </c>
      <c r="G285" s="74">
        <v>1.2424212E-26</v>
      </c>
      <c r="H285">
        <v>0</v>
      </c>
      <c r="I285" s="74">
        <v>1.7030338999999999E-27</v>
      </c>
      <c r="J285" s="74">
        <v>4.2307437000000002E-27</v>
      </c>
      <c r="K285" s="74">
        <v>4.9252651E-29</v>
      </c>
      <c r="L285" s="74">
        <v>6.3826184000000003E-27</v>
      </c>
      <c r="M285" s="74">
        <v>5.8562820000000005E-29</v>
      </c>
    </row>
    <row r="286" spans="3:13" x14ac:dyDescent="0.25">
      <c r="C286">
        <v>260</v>
      </c>
      <c r="D286" t="s">
        <v>740</v>
      </c>
      <c r="E286" t="s">
        <v>10</v>
      </c>
      <c r="F286" t="s">
        <v>192</v>
      </c>
      <c r="G286" s="74">
        <v>5.2802899000000003E-27</v>
      </c>
      <c r="H286">
        <v>0</v>
      </c>
      <c r="I286" s="74">
        <v>7.2378941999999997E-28</v>
      </c>
      <c r="J286" s="74">
        <v>1.7980660999999999E-27</v>
      </c>
      <c r="K286" s="74">
        <v>2.0932377000000001E-29</v>
      </c>
      <c r="L286" s="74">
        <v>2.7126128000000001E-27</v>
      </c>
      <c r="M286" s="74">
        <v>2.4889198000000001E-29</v>
      </c>
    </row>
    <row r="287" spans="3:13" x14ac:dyDescent="0.25">
      <c r="C287">
        <v>261</v>
      </c>
      <c r="D287" t="s">
        <v>623</v>
      </c>
      <c r="E287" t="s">
        <v>10</v>
      </c>
      <c r="F287" t="s">
        <v>192</v>
      </c>
      <c r="G287" s="74">
        <v>6.4516370999999997E-6</v>
      </c>
      <c r="H287">
        <v>0</v>
      </c>
      <c r="I287" s="74">
        <v>6.5015554000000001E-7</v>
      </c>
      <c r="J287" s="74">
        <v>2.4130955E-6</v>
      </c>
      <c r="K287" s="74">
        <v>1.3568246000000001E-9</v>
      </c>
      <c r="L287" s="74">
        <v>2.3774644000000001E-6</v>
      </c>
      <c r="M287" s="74">
        <v>1.0095648E-6</v>
      </c>
    </row>
    <row r="288" spans="3:13" x14ac:dyDescent="0.25">
      <c r="C288">
        <v>262</v>
      </c>
      <c r="D288" t="s">
        <v>625</v>
      </c>
      <c r="E288" t="s">
        <v>10</v>
      </c>
      <c r="F288" t="s">
        <v>305</v>
      </c>
      <c r="G288">
        <v>0.30923774999999998</v>
      </c>
      <c r="H288">
        <v>0</v>
      </c>
      <c r="I288">
        <v>1.4925769000000001E-3</v>
      </c>
      <c r="J288">
        <v>3.5664957000000001E-3</v>
      </c>
      <c r="K288" s="74">
        <v>3.4153933000000002E-5</v>
      </c>
      <c r="L288">
        <v>2.7424413000000001E-3</v>
      </c>
      <c r="M288">
        <v>0.30140208000000002</v>
      </c>
    </row>
    <row r="289" spans="3:13" x14ac:dyDescent="0.25">
      <c r="C289">
        <v>263</v>
      </c>
      <c r="D289" t="s">
        <v>626</v>
      </c>
      <c r="E289" t="s">
        <v>10</v>
      </c>
      <c r="F289" t="s">
        <v>305</v>
      </c>
      <c r="G289">
        <v>0.34503990000000001</v>
      </c>
      <c r="H289">
        <v>0</v>
      </c>
      <c r="I289">
        <v>1.6653807E-3</v>
      </c>
      <c r="J289">
        <v>3.9794084000000004E-3</v>
      </c>
      <c r="K289" s="74">
        <v>3.8108120000000003E-5</v>
      </c>
      <c r="L289">
        <v>3.0599487000000001E-3</v>
      </c>
      <c r="M289">
        <v>0.33629704999999999</v>
      </c>
    </row>
    <row r="290" spans="3:13" x14ac:dyDescent="0.25">
      <c r="C290">
        <v>264</v>
      </c>
      <c r="D290" t="s">
        <v>627</v>
      </c>
      <c r="E290" t="s">
        <v>10</v>
      </c>
      <c r="F290" t="s">
        <v>305</v>
      </c>
      <c r="G290">
        <v>0.75230414999999995</v>
      </c>
      <c r="H290">
        <v>0</v>
      </c>
      <c r="I290">
        <v>5.4162276000000002E-3</v>
      </c>
      <c r="J290">
        <v>1.4869019000000001E-2</v>
      </c>
      <c r="K290">
        <v>2.4579581E-4</v>
      </c>
      <c r="L290">
        <v>0.11264902</v>
      </c>
      <c r="M290">
        <v>0.61912407999999997</v>
      </c>
    </row>
    <row r="291" spans="3:13" x14ac:dyDescent="0.25">
      <c r="C291">
        <v>265</v>
      </c>
      <c r="D291" t="s">
        <v>628</v>
      </c>
      <c r="E291" t="s">
        <v>10</v>
      </c>
      <c r="F291" t="s">
        <v>305</v>
      </c>
      <c r="G291">
        <v>10.429976</v>
      </c>
      <c r="H291">
        <v>0</v>
      </c>
      <c r="I291">
        <v>5.0351158E-2</v>
      </c>
      <c r="J291">
        <v>0.12031281000000001</v>
      </c>
      <c r="K291">
        <v>1.1521770999999999E-3</v>
      </c>
      <c r="L291">
        <v>9.2514246999999994E-2</v>
      </c>
      <c r="M291">
        <v>10.165646000000001</v>
      </c>
    </row>
    <row r="292" spans="3:13" x14ac:dyDescent="0.25">
      <c r="C292">
        <v>266</v>
      </c>
      <c r="D292" t="s">
        <v>741</v>
      </c>
      <c r="E292" t="s">
        <v>10</v>
      </c>
      <c r="F292" t="s">
        <v>192</v>
      </c>
      <c r="G292" s="74">
        <v>1.0407804E-12</v>
      </c>
      <c r="H292">
        <v>0</v>
      </c>
      <c r="I292" s="74">
        <v>7.0124858999999998E-14</v>
      </c>
      <c r="J292" s="74">
        <v>3.4088571999999999E-13</v>
      </c>
      <c r="K292" s="74">
        <v>5.3324076000000002E-16</v>
      </c>
      <c r="L292" s="74">
        <v>2.9204037999999999E-13</v>
      </c>
      <c r="M292" s="74">
        <v>3.3719616E-13</v>
      </c>
    </row>
    <row r="293" spans="3:13" x14ac:dyDescent="0.25">
      <c r="C293">
        <v>267</v>
      </c>
      <c r="D293" t="s">
        <v>629</v>
      </c>
      <c r="E293" t="s">
        <v>10</v>
      </c>
      <c r="F293" t="s">
        <v>192</v>
      </c>
      <c r="G293" s="74">
        <v>1.3925228E-5</v>
      </c>
      <c r="H293">
        <v>0</v>
      </c>
      <c r="I293" s="74">
        <v>9.8114362000000006E-7</v>
      </c>
      <c r="J293" s="74">
        <v>3.0462983000000001E-6</v>
      </c>
      <c r="K293" s="74">
        <v>2.8252748000000001E-8</v>
      </c>
      <c r="L293" s="74">
        <v>3.8420546999999996E-6</v>
      </c>
      <c r="M293" s="74">
        <v>6.0274791000000003E-6</v>
      </c>
    </row>
    <row r="294" spans="3:13" x14ac:dyDescent="0.25">
      <c r="C294">
        <v>268</v>
      </c>
      <c r="D294" t="s">
        <v>630</v>
      </c>
      <c r="E294" t="s">
        <v>10</v>
      </c>
      <c r="F294" t="s">
        <v>192</v>
      </c>
      <c r="G294" s="74">
        <v>2.655844E-6</v>
      </c>
      <c r="H294">
        <v>0</v>
      </c>
      <c r="I294" s="74">
        <v>1.4375462999999999E-7</v>
      </c>
      <c r="J294" s="74">
        <v>7.0518925000000001E-7</v>
      </c>
      <c r="K294" s="74">
        <v>1.0141734000000001E-9</v>
      </c>
      <c r="L294" s="74">
        <v>5.5470857999999995E-7</v>
      </c>
      <c r="M294" s="74">
        <v>1.2511773E-6</v>
      </c>
    </row>
    <row r="295" spans="3:13" x14ac:dyDescent="0.25">
      <c r="C295">
        <v>269</v>
      </c>
      <c r="D295" t="s">
        <v>742</v>
      </c>
      <c r="E295" t="s">
        <v>10</v>
      </c>
      <c r="F295" t="s">
        <v>632</v>
      </c>
      <c r="G295" s="74">
        <v>1.2582109999999999E-16</v>
      </c>
      <c r="H295">
        <v>0</v>
      </c>
      <c r="I295" s="74">
        <v>6.0749100999999999E-19</v>
      </c>
      <c r="J295" s="74">
        <v>1.8882212999999999E-18</v>
      </c>
      <c r="K295" s="74">
        <v>7.0278433999999996E-17</v>
      </c>
      <c r="L295" s="74">
        <v>5.0760155000000001E-17</v>
      </c>
      <c r="M295" s="74">
        <v>2.2867990000000001E-18</v>
      </c>
    </row>
    <row r="296" spans="3:13" x14ac:dyDescent="0.25">
      <c r="C296">
        <v>270</v>
      </c>
      <c r="D296" t="s">
        <v>743</v>
      </c>
      <c r="E296" t="s">
        <v>10</v>
      </c>
      <c r="F296" t="s">
        <v>632</v>
      </c>
      <c r="G296">
        <v>6.2923563000000002E-2</v>
      </c>
      <c r="H296">
        <v>0</v>
      </c>
      <c r="I296">
        <v>1.1460984E-2</v>
      </c>
      <c r="J296">
        <v>2.4714379000000002E-2</v>
      </c>
      <c r="K296">
        <v>3.1266924999999999E-4</v>
      </c>
      <c r="L296">
        <v>1.9514875000000001E-2</v>
      </c>
      <c r="M296">
        <v>6.9206557999999998E-3</v>
      </c>
    </row>
    <row r="297" spans="3:13" x14ac:dyDescent="0.25">
      <c r="C297">
        <v>271</v>
      </c>
      <c r="D297" t="s">
        <v>744</v>
      </c>
      <c r="E297" t="s">
        <v>10</v>
      </c>
      <c r="F297" t="s">
        <v>632</v>
      </c>
      <c r="G297">
        <v>2.8150791000000001E-2</v>
      </c>
      <c r="H297">
        <v>0</v>
      </c>
      <c r="I297">
        <v>4.0975539999999998E-3</v>
      </c>
      <c r="J297">
        <v>1.1568316E-2</v>
      </c>
      <c r="K297" s="74">
        <v>6.2857616999999999E-5</v>
      </c>
      <c r="L297">
        <v>1.0103334E-2</v>
      </c>
      <c r="M297">
        <v>2.3187299000000001E-3</v>
      </c>
    </row>
    <row r="298" spans="3:13" x14ac:dyDescent="0.25">
      <c r="C298">
        <v>272</v>
      </c>
      <c r="D298" t="s">
        <v>745</v>
      </c>
      <c r="E298" t="s">
        <v>10</v>
      </c>
      <c r="F298" t="s">
        <v>632</v>
      </c>
      <c r="G298">
        <v>1.0762137E-2</v>
      </c>
      <c r="H298">
        <v>0</v>
      </c>
      <c r="I298">
        <v>1.7520655999999999E-3</v>
      </c>
      <c r="J298">
        <v>4.2348078000000004E-3</v>
      </c>
      <c r="K298" s="74">
        <v>3.9252906999999997E-5</v>
      </c>
      <c r="L298">
        <v>3.777229E-3</v>
      </c>
      <c r="M298">
        <v>9.5878141999999997E-4</v>
      </c>
    </row>
    <row r="299" spans="3:13" x14ac:dyDescent="0.25">
      <c r="C299">
        <v>273</v>
      </c>
      <c r="D299" t="s">
        <v>746</v>
      </c>
      <c r="E299" t="s">
        <v>10</v>
      </c>
      <c r="F299" t="s">
        <v>632</v>
      </c>
      <c r="G299">
        <v>8.6005022999999996E-4</v>
      </c>
      <c r="H299">
        <v>0</v>
      </c>
      <c r="I299">
        <v>1.6565608000000001E-4</v>
      </c>
      <c r="J299">
        <v>3.5767165E-4</v>
      </c>
      <c r="K299" s="74">
        <v>4.7371946E-6</v>
      </c>
      <c r="L299">
        <v>2.7909885E-4</v>
      </c>
      <c r="M299" s="74">
        <v>5.2886449999999999E-5</v>
      </c>
    </row>
    <row r="300" spans="3:13" x14ac:dyDescent="0.25">
      <c r="C300">
        <v>274</v>
      </c>
      <c r="D300" t="s">
        <v>747</v>
      </c>
      <c r="E300" t="s">
        <v>10</v>
      </c>
      <c r="F300" t="s">
        <v>632</v>
      </c>
      <c r="G300">
        <v>8.2036661999999993E-3</v>
      </c>
      <c r="H300">
        <v>0</v>
      </c>
      <c r="I300">
        <v>1.5911734999999999E-3</v>
      </c>
      <c r="J300">
        <v>3.4618247999999999E-3</v>
      </c>
      <c r="K300" s="74">
        <v>4.4453864E-5</v>
      </c>
      <c r="L300">
        <v>2.6998281000000001E-3</v>
      </c>
      <c r="M300">
        <v>4.0638594999999999E-4</v>
      </c>
    </row>
    <row r="301" spans="3:13" x14ac:dyDescent="0.25">
      <c r="C301">
        <v>275</v>
      </c>
      <c r="D301" t="s">
        <v>748</v>
      </c>
      <c r="E301" t="s">
        <v>10</v>
      </c>
      <c r="F301" t="s">
        <v>632</v>
      </c>
      <c r="G301">
        <v>7.1897069999999993E-2</v>
      </c>
      <c r="H301">
        <v>0</v>
      </c>
      <c r="I301">
        <v>1.1725259E-2</v>
      </c>
      <c r="J301">
        <v>3.1532943000000001E-2</v>
      </c>
      <c r="K301">
        <v>2.0313865000000001E-4</v>
      </c>
      <c r="L301">
        <v>2.3571333999999999E-2</v>
      </c>
      <c r="M301">
        <v>4.8643957999999999E-3</v>
      </c>
    </row>
    <row r="302" spans="3:13" x14ac:dyDescent="0.25">
      <c r="C302">
        <v>276</v>
      </c>
      <c r="D302" t="s">
        <v>749</v>
      </c>
      <c r="E302" t="s">
        <v>10</v>
      </c>
      <c r="F302" t="s">
        <v>632</v>
      </c>
      <c r="G302">
        <v>2.9278333000000001</v>
      </c>
      <c r="H302">
        <v>0</v>
      </c>
      <c r="I302">
        <v>1.4485916E-2</v>
      </c>
      <c r="J302">
        <v>3.8470422999999997E-2</v>
      </c>
      <c r="K302">
        <v>1.6132418999999999E-4</v>
      </c>
      <c r="L302">
        <v>2.9818883000000001E-2</v>
      </c>
      <c r="M302">
        <v>2.8448967999999999</v>
      </c>
    </row>
    <row r="303" spans="3:13" x14ac:dyDescent="0.25">
      <c r="C303">
        <v>277</v>
      </c>
      <c r="D303" t="s">
        <v>750</v>
      </c>
      <c r="E303" t="s">
        <v>10</v>
      </c>
      <c r="F303" t="s">
        <v>632</v>
      </c>
      <c r="G303">
        <v>0.10784555999999999</v>
      </c>
      <c r="H303">
        <v>0</v>
      </c>
      <c r="I303">
        <v>1.2230575E-2</v>
      </c>
      <c r="J303">
        <v>2.6762713E-2</v>
      </c>
      <c r="K303">
        <v>1.017873E-4</v>
      </c>
      <c r="L303">
        <v>2.2202466000000001E-2</v>
      </c>
      <c r="M303">
        <v>4.6548017999999997E-2</v>
      </c>
    </row>
    <row r="304" spans="3:13" x14ac:dyDescent="0.25">
      <c r="C304">
        <v>278</v>
      </c>
      <c r="D304" t="s">
        <v>751</v>
      </c>
      <c r="E304" t="s">
        <v>10</v>
      </c>
      <c r="F304" t="s">
        <v>632</v>
      </c>
      <c r="G304">
        <v>2.4209877000000001E-2</v>
      </c>
      <c r="H304">
        <v>0</v>
      </c>
      <c r="I304">
        <v>4.0480454000000003E-3</v>
      </c>
      <c r="J304">
        <v>1.0691776E-2</v>
      </c>
      <c r="K304" s="74">
        <v>7.1736870999999995E-5</v>
      </c>
      <c r="L304">
        <v>7.8694739E-3</v>
      </c>
      <c r="M304">
        <v>1.5288446999999999E-3</v>
      </c>
    </row>
    <row r="305" spans="3:13" x14ac:dyDescent="0.25">
      <c r="C305">
        <v>279</v>
      </c>
      <c r="D305" t="s">
        <v>752</v>
      </c>
      <c r="E305" t="s">
        <v>10</v>
      </c>
      <c r="F305" t="s">
        <v>632</v>
      </c>
      <c r="G305">
        <v>0.94777305999999995</v>
      </c>
      <c r="H305">
        <v>0</v>
      </c>
      <c r="I305">
        <v>0.15181581</v>
      </c>
      <c r="J305">
        <v>0.41094164999999999</v>
      </c>
      <c r="K305">
        <v>2.6175986999999999E-3</v>
      </c>
      <c r="L305">
        <v>0.31589298999999998</v>
      </c>
      <c r="M305">
        <v>6.6505007000000005E-2</v>
      </c>
    </row>
    <row r="306" spans="3:13" x14ac:dyDescent="0.25">
      <c r="C306">
        <v>280</v>
      </c>
      <c r="D306" t="s">
        <v>753</v>
      </c>
      <c r="E306" t="s">
        <v>10</v>
      </c>
      <c r="F306" t="s">
        <v>632</v>
      </c>
      <c r="G306" s="74">
        <v>7.9962562999999999E-9</v>
      </c>
      <c r="H306">
        <v>0</v>
      </c>
      <c r="I306" s="74">
        <v>1.7975737999999999E-10</v>
      </c>
      <c r="J306" s="74">
        <v>1.708494E-9</v>
      </c>
      <c r="K306" s="74">
        <v>3.4055322E-12</v>
      </c>
      <c r="L306" s="74">
        <v>2.4074322000000001E-9</v>
      </c>
      <c r="M306" s="74">
        <v>3.6971671999999999E-9</v>
      </c>
    </row>
    <row r="307" spans="3:13" x14ac:dyDescent="0.25">
      <c r="C307">
        <v>281</v>
      </c>
      <c r="D307" t="s">
        <v>754</v>
      </c>
      <c r="E307" t="s">
        <v>10</v>
      </c>
      <c r="F307" t="s">
        <v>632</v>
      </c>
      <c r="G307" s="74">
        <v>6.0068828000000003E-6</v>
      </c>
      <c r="H307">
        <v>0</v>
      </c>
      <c r="I307" s="74">
        <v>1.009468E-6</v>
      </c>
      <c r="J307" s="74">
        <v>2.6538828999999999E-6</v>
      </c>
      <c r="K307" s="74">
        <v>1.7986882E-8</v>
      </c>
      <c r="L307" s="74">
        <v>1.9481034000000001E-6</v>
      </c>
      <c r="M307" s="74">
        <v>3.7744151999999998E-7</v>
      </c>
    </row>
    <row r="308" spans="3:13" x14ac:dyDescent="0.25">
      <c r="C308">
        <v>282</v>
      </c>
      <c r="D308" t="s">
        <v>755</v>
      </c>
      <c r="E308" t="s">
        <v>10</v>
      </c>
      <c r="F308" t="s">
        <v>632</v>
      </c>
      <c r="G308">
        <v>3.5257692999999999E-3</v>
      </c>
      <c r="H308">
        <v>0</v>
      </c>
      <c r="I308">
        <v>6.8528123999999995E-4</v>
      </c>
      <c r="J308">
        <v>1.4665660999999999E-3</v>
      </c>
      <c r="K308" s="74">
        <v>1.8729639000000001E-5</v>
      </c>
      <c r="L308">
        <v>1.1416247E-3</v>
      </c>
      <c r="M308">
        <v>2.1356764E-4</v>
      </c>
    </row>
    <row r="309" spans="3:13" x14ac:dyDescent="0.25">
      <c r="C309">
        <v>283</v>
      </c>
      <c r="D309" t="s">
        <v>756</v>
      </c>
      <c r="E309" t="s">
        <v>10</v>
      </c>
      <c r="F309" t="s">
        <v>632</v>
      </c>
      <c r="G309">
        <v>3.2894999000000001E-2</v>
      </c>
      <c r="H309">
        <v>0</v>
      </c>
      <c r="I309">
        <v>6.1315140999999998E-3</v>
      </c>
      <c r="J309">
        <v>1.3293087E-2</v>
      </c>
      <c r="K309">
        <v>1.6872995999999999E-4</v>
      </c>
      <c r="L309">
        <v>1.0612297999999999E-2</v>
      </c>
      <c r="M309">
        <v>2.6893696999999999E-3</v>
      </c>
    </row>
    <row r="310" spans="3:13" x14ac:dyDescent="0.25">
      <c r="C310">
        <v>284</v>
      </c>
      <c r="D310" t="s">
        <v>757</v>
      </c>
      <c r="E310" t="s">
        <v>10</v>
      </c>
      <c r="F310" t="s">
        <v>632</v>
      </c>
      <c r="G310" s="74">
        <v>3.4598192000000002E-5</v>
      </c>
      <c r="H310">
        <v>0</v>
      </c>
      <c r="I310" s="74">
        <v>6.3621257000000001E-6</v>
      </c>
      <c r="J310" s="74">
        <v>1.4536695000000001E-5</v>
      </c>
      <c r="K310" s="74">
        <v>1.801805E-7</v>
      </c>
      <c r="L310" s="74">
        <v>1.102449E-5</v>
      </c>
      <c r="M310" s="74">
        <v>2.4947014E-6</v>
      </c>
    </row>
    <row r="311" spans="3:13" x14ac:dyDescent="0.25">
      <c r="C311">
        <v>285</v>
      </c>
      <c r="D311" t="s">
        <v>758</v>
      </c>
      <c r="E311" t="s">
        <v>10</v>
      </c>
      <c r="F311" t="s">
        <v>632</v>
      </c>
      <c r="G311" s="74">
        <v>9.2101245999999998E-5</v>
      </c>
      <c r="H311">
        <v>0</v>
      </c>
      <c r="I311" s="74">
        <v>1.7650901E-5</v>
      </c>
      <c r="J311" s="74">
        <v>3.8734133000000003E-5</v>
      </c>
      <c r="K311" s="74">
        <v>4.8820914999999999E-7</v>
      </c>
      <c r="L311" s="74">
        <v>3.0333333E-5</v>
      </c>
      <c r="M311" s="74">
        <v>4.8946694999999998E-6</v>
      </c>
    </row>
    <row r="312" spans="3:13" x14ac:dyDescent="0.25">
      <c r="C312">
        <v>286</v>
      </c>
      <c r="D312" t="s">
        <v>759</v>
      </c>
      <c r="E312" t="s">
        <v>10</v>
      </c>
      <c r="F312" t="s">
        <v>632</v>
      </c>
      <c r="G312">
        <v>4.2796757999999997E-2</v>
      </c>
      <c r="H312">
        <v>0</v>
      </c>
      <c r="I312">
        <v>8.2041282000000007E-3</v>
      </c>
      <c r="J312">
        <v>1.7723260000000001E-2</v>
      </c>
      <c r="K312">
        <v>2.3125475999999999E-4</v>
      </c>
      <c r="L312">
        <v>1.4057837E-2</v>
      </c>
      <c r="M312">
        <v>2.5802783999999998E-3</v>
      </c>
    </row>
    <row r="313" spans="3:13" x14ac:dyDescent="0.25">
      <c r="C313">
        <v>287</v>
      </c>
      <c r="D313" t="s">
        <v>760</v>
      </c>
      <c r="E313" t="s">
        <v>10</v>
      </c>
      <c r="F313" t="s">
        <v>632</v>
      </c>
      <c r="G313">
        <v>5.9663502000000001E-4</v>
      </c>
      <c r="H313">
        <v>0</v>
      </c>
      <c r="I313">
        <v>2.0524434000000001E-4</v>
      </c>
      <c r="J313">
        <v>1.9615729999999999E-4</v>
      </c>
      <c r="K313">
        <v>1.6162558E-4</v>
      </c>
      <c r="L313" s="74">
        <v>1.3234811000000001E-5</v>
      </c>
      <c r="M313" s="74">
        <v>2.0372993E-5</v>
      </c>
    </row>
    <row r="314" spans="3:13" x14ac:dyDescent="0.25">
      <c r="C314">
        <v>288</v>
      </c>
      <c r="D314" t="s">
        <v>761</v>
      </c>
      <c r="E314" t="s">
        <v>10</v>
      </c>
      <c r="F314" t="s">
        <v>632</v>
      </c>
      <c r="G314" s="74">
        <v>6.8241129000000002E-6</v>
      </c>
      <c r="H314">
        <v>0</v>
      </c>
      <c r="I314" s="74">
        <v>8.6794292999999996E-7</v>
      </c>
      <c r="J314" s="74">
        <v>2.5739973000000002E-6</v>
      </c>
      <c r="K314" s="74">
        <v>2.2038821999999999E-8</v>
      </c>
      <c r="L314" s="74">
        <v>2.9260165000000002E-6</v>
      </c>
      <c r="M314" s="74">
        <v>4.3411734999999999E-7</v>
      </c>
    </row>
    <row r="315" spans="3:13" x14ac:dyDescent="0.25">
      <c r="C315">
        <v>289</v>
      </c>
      <c r="D315" t="s">
        <v>762</v>
      </c>
      <c r="E315" t="s">
        <v>10</v>
      </c>
      <c r="F315" t="s">
        <v>632</v>
      </c>
      <c r="G315">
        <v>1.4495031E-2</v>
      </c>
      <c r="H315">
        <v>0</v>
      </c>
      <c r="I315">
        <v>2.8376891E-3</v>
      </c>
      <c r="J315">
        <v>6.0904280000000002E-3</v>
      </c>
      <c r="K315" s="74">
        <v>8.1004162000000002E-5</v>
      </c>
      <c r="L315">
        <v>4.7782865999999998E-3</v>
      </c>
      <c r="M315">
        <v>7.0762345000000004E-4</v>
      </c>
    </row>
    <row r="316" spans="3:13" x14ac:dyDescent="0.25">
      <c r="C316">
        <v>290</v>
      </c>
      <c r="D316" t="s">
        <v>763</v>
      </c>
      <c r="E316" t="s">
        <v>10</v>
      </c>
      <c r="F316" t="s">
        <v>632</v>
      </c>
      <c r="G316">
        <v>0.18784551999999999</v>
      </c>
      <c r="H316">
        <v>0</v>
      </c>
      <c r="I316">
        <v>2.0212766E-2</v>
      </c>
      <c r="J316">
        <v>4.4545754E-2</v>
      </c>
      <c r="K316">
        <v>5.0976381999999997E-4</v>
      </c>
      <c r="L316">
        <v>3.5909993000000001E-2</v>
      </c>
      <c r="M316">
        <v>8.6667242000000005E-2</v>
      </c>
    </row>
    <row r="317" spans="3:13" x14ac:dyDescent="0.25">
      <c r="C317">
        <v>291</v>
      </c>
      <c r="D317" t="s">
        <v>764</v>
      </c>
      <c r="E317" t="s">
        <v>10</v>
      </c>
      <c r="F317" t="s">
        <v>632</v>
      </c>
      <c r="G317">
        <v>7.6767029000000004E-3</v>
      </c>
      <c r="H317">
        <v>0</v>
      </c>
      <c r="I317">
        <v>1.4913539E-3</v>
      </c>
      <c r="J317">
        <v>3.2047878E-3</v>
      </c>
      <c r="K317" s="74">
        <v>4.2514279999999999E-5</v>
      </c>
      <c r="L317">
        <v>2.5203907000000002E-3</v>
      </c>
      <c r="M317">
        <v>4.1765625E-4</v>
      </c>
    </row>
    <row r="318" spans="3:13" x14ac:dyDescent="0.25">
      <c r="C318">
        <v>292</v>
      </c>
      <c r="D318" t="s">
        <v>765</v>
      </c>
      <c r="E318" t="s">
        <v>10</v>
      </c>
      <c r="F318" t="s">
        <v>632</v>
      </c>
      <c r="G318">
        <v>3.1081424000000001E-3</v>
      </c>
      <c r="H318">
        <v>0</v>
      </c>
      <c r="I318" s="74">
        <v>2.7775236E-5</v>
      </c>
      <c r="J318">
        <v>2.8722613000000002E-3</v>
      </c>
      <c r="K318" s="74">
        <v>1.3772450000000001E-5</v>
      </c>
      <c r="L318">
        <v>1.2011984E-4</v>
      </c>
      <c r="M318" s="74">
        <v>7.4213607999999999E-5</v>
      </c>
    </row>
    <row r="319" spans="3:13" x14ac:dyDescent="0.25">
      <c r="C319">
        <v>293</v>
      </c>
      <c r="D319" t="s">
        <v>766</v>
      </c>
      <c r="E319" t="s">
        <v>10</v>
      </c>
      <c r="F319" t="s">
        <v>632</v>
      </c>
      <c r="G319">
        <v>7.1021356000000001E-3</v>
      </c>
      <c r="H319">
        <v>0</v>
      </c>
      <c r="I319">
        <v>1.3322293E-3</v>
      </c>
      <c r="J319">
        <v>2.9246071000000001E-3</v>
      </c>
      <c r="K319" s="74">
        <v>3.6184828999999999E-5</v>
      </c>
      <c r="L319">
        <v>2.3861324000000001E-3</v>
      </c>
      <c r="M319">
        <v>4.2298204999999999E-4</v>
      </c>
    </row>
    <row r="320" spans="3:13" x14ac:dyDescent="0.25">
      <c r="C320">
        <v>294</v>
      </c>
      <c r="D320" t="s">
        <v>767</v>
      </c>
      <c r="E320" t="s">
        <v>10</v>
      </c>
      <c r="F320" t="s">
        <v>632</v>
      </c>
      <c r="G320">
        <v>6.8631580000000001E-4</v>
      </c>
      <c r="H320">
        <v>0</v>
      </c>
      <c r="I320">
        <v>1.3423054E-4</v>
      </c>
      <c r="J320">
        <v>2.8834713000000002E-4</v>
      </c>
      <c r="K320" s="74">
        <v>3.8387716999999998E-6</v>
      </c>
      <c r="L320">
        <v>2.2590290999999999E-4</v>
      </c>
      <c r="M320" s="74">
        <v>3.3996445000000002E-5</v>
      </c>
    </row>
    <row r="321" spans="3:13" x14ac:dyDescent="0.25">
      <c r="C321">
        <v>295</v>
      </c>
      <c r="D321" t="s">
        <v>768</v>
      </c>
      <c r="E321" t="s">
        <v>10</v>
      </c>
      <c r="F321" t="s">
        <v>632</v>
      </c>
      <c r="G321">
        <v>5.4852806000000004E-4</v>
      </c>
      <c r="H321">
        <v>0</v>
      </c>
      <c r="I321">
        <v>1.0701913E-4</v>
      </c>
      <c r="J321">
        <v>2.3035574000000001E-4</v>
      </c>
      <c r="K321" s="74">
        <v>3.0593819999999998E-6</v>
      </c>
      <c r="L321">
        <v>1.8027205999999999E-4</v>
      </c>
      <c r="M321" s="74">
        <v>2.7821747E-5</v>
      </c>
    </row>
    <row r="322" spans="3:13" x14ac:dyDescent="0.25">
      <c r="C322">
        <v>296</v>
      </c>
      <c r="D322" t="s">
        <v>769</v>
      </c>
      <c r="E322" t="s">
        <v>10</v>
      </c>
      <c r="F322" t="s">
        <v>632</v>
      </c>
      <c r="G322" s="74">
        <v>3.0781457E-6</v>
      </c>
      <c r="H322">
        <v>0</v>
      </c>
      <c r="I322" s="74">
        <v>3.4220894000000001E-7</v>
      </c>
      <c r="J322" s="74">
        <v>8.9811229999999997E-7</v>
      </c>
      <c r="K322" s="74">
        <v>4.1298509999999998E-10</v>
      </c>
      <c r="L322" s="74">
        <v>1.2837427999999999E-6</v>
      </c>
      <c r="M322" s="74">
        <v>5.5366860000000001E-7</v>
      </c>
    </row>
    <row r="323" spans="3:13" x14ac:dyDescent="0.25">
      <c r="C323">
        <v>297</v>
      </c>
      <c r="D323" t="s">
        <v>770</v>
      </c>
      <c r="E323" t="s">
        <v>10</v>
      </c>
      <c r="F323" t="s">
        <v>632</v>
      </c>
      <c r="G323" s="74">
        <v>3.9464794000000001E-6</v>
      </c>
      <c r="H323">
        <v>0</v>
      </c>
      <c r="I323" s="74">
        <v>4.3939769000000002E-7</v>
      </c>
      <c r="J323" s="74">
        <v>1.1452327000000001E-6</v>
      </c>
      <c r="K323" s="74">
        <v>1.6650102999999999E-9</v>
      </c>
      <c r="L323" s="74">
        <v>1.6486207000000001E-6</v>
      </c>
      <c r="M323" s="74">
        <v>7.1156326000000002E-7</v>
      </c>
    </row>
    <row r="324" spans="3:13" x14ac:dyDescent="0.25">
      <c r="C324">
        <v>298</v>
      </c>
      <c r="D324" t="s">
        <v>771</v>
      </c>
      <c r="E324" t="s">
        <v>10</v>
      </c>
      <c r="F324" t="s">
        <v>632</v>
      </c>
      <c r="G324" s="74">
        <v>1.0991923E-5</v>
      </c>
      <c r="H324">
        <v>0</v>
      </c>
      <c r="I324" s="74">
        <v>1.2206331E-6</v>
      </c>
      <c r="J324" s="74">
        <v>3.2148323E-6</v>
      </c>
      <c r="K324" s="74">
        <v>3.1678576999999999E-9</v>
      </c>
      <c r="L324" s="74">
        <v>4.5794853000000004E-6</v>
      </c>
      <c r="M324" s="74">
        <v>1.9738040000000002E-6</v>
      </c>
    </row>
    <row r="325" spans="3:13" x14ac:dyDescent="0.25">
      <c r="C325">
        <v>299</v>
      </c>
      <c r="D325" t="s">
        <v>772</v>
      </c>
      <c r="E325" t="s">
        <v>10</v>
      </c>
      <c r="F325" t="s">
        <v>632</v>
      </c>
      <c r="G325" s="74">
        <v>1.6417712E-5</v>
      </c>
      <c r="H325">
        <v>0</v>
      </c>
      <c r="I325" s="74">
        <v>1.8275939E-6</v>
      </c>
      <c r="J325" s="74">
        <v>4.7730415000000001E-6</v>
      </c>
      <c r="K325" s="74">
        <v>2.1969480000000001E-9</v>
      </c>
      <c r="L325" s="74">
        <v>6.8558849999999997E-6</v>
      </c>
      <c r="M325" s="74">
        <v>2.9589945999999999E-6</v>
      </c>
    </row>
    <row r="326" spans="3:13" x14ac:dyDescent="0.25">
      <c r="C326">
        <v>300</v>
      </c>
      <c r="D326" t="s">
        <v>773</v>
      </c>
      <c r="E326" t="s">
        <v>10</v>
      </c>
      <c r="F326" t="s">
        <v>632</v>
      </c>
      <c r="G326" s="74">
        <v>7.8177241000000003E-6</v>
      </c>
      <c r="H326">
        <v>0</v>
      </c>
      <c r="I326" s="74">
        <v>8.6915028000000003E-7</v>
      </c>
      <c r="J326" s="74">
        <v>2.2796213999999999E-6</v>
      </c>
      <c r="K326" s="74">
        <v>1.9335450999999999E-9</v>
      </c>
      <c r="L326" s="74">
        <v>3.2607133999999999E-6</v>
      </c>
      <c r="M326" s="74">
        <v>1.4063054000000001E-6</v>
      </c>
    </row>
    <row r="327" spans="3:13" x14ac:dyDescent="0.25">
      <c r="C327">
        <v>301</v>
      </c>
      <c r="D327" t="s">
        <v>774</v>
      </c>
      <c r="E327" t="s">
        <v>10</v>
      </c>
      <c r="F327" t="s">
        <v>632</v>
      </c>
      <c r="G327" s="74">
        <v>1.358209E-6</v>
      </c>
      <c r="H327">
        <v>0</v>
      </c>
      <c r="I327" s="74">
        <v>1.5077082E-7</v>
      </c>
      <c r="J327" s="74">
        <v>3.9400797000000001E-7</v>
      </c>
      <c r="K327" s="74">
        <v>3.1123244E-9</v>
      </c>
      <c r="L327" s="74">
        <v>5.6637108000000001E-7</v>
      </c>
      <c r="M327" s="74">
        <v>2.4394683E-7</v>
      </c>
    </row>
    <row r="328" spans="3:13" x14ac:dyDescent="0.25">
      <c r="C328">
        <v>302</v>
      </c>
      <c r="D328" t="s">
        <v>775</v>
      </c>
      <c r="E328" t="s">
        <v>10</v>
      </c>
      <c r="F328" t="s">
        <v>632</v>
      </c>
      <c r="G328">
        <v>2.6298367999999998E-3</v>
      </c>
      <c r="H328">
        <v>0</v>
      </c>
      <c r="I328">
        <v>4.1228993000000001E-4</v>
      </c>
      <c r="J328">
        <v>1.1368557E-3</v>
      </c>
      <c r="K328" s="74">
        <v>7.2263789000000001E-6</v>
      </c>
      <c r="L328">
        <v>9.0416119000000001E-4</v>
      </c>
      <c r="M328">
        <v>1.6930362E-4</v>
      </c>
    </row>
    <row r="329" spans="3:13" x14ac:dyDescent="0.25">
      <c r="C329">
        <v>303</v>
      </c>
      <c r="D329" t="s">
        <v>776</v>
      </c>
      <c r="E329" t="s">
        <v>10</v>
      </c>
      <c r="F329" t="s">
        <v>632</v>
      </c>
      <c r="G329">
        <v>1.0911082E-3</v>
      </c>
      <c r="H329">
        <v>0</v>
      </c>
      <c r="I329">
        <v>2.1371814000000001E-4</v>
      </c>
      <c r="J329">
        <v>4.5851339999999999E-4</v>
      </c>
      <c r="K329" s="74">
        <v>6.1148356999999998E-6</v>
      </c>
      <c r="L329">
        <v>3.5945698000000001E-4</v>
      </c>
      <c r="M329" s="74">
        <v>5.3304823000000001E-5</v>
      </c>
    </row>
    <row r="330" spans="3:13" x14ac:dyDescent="0.25">
      <c r="C330">
        <v>304</v>
      </c>
      <c r="D330" t="s">
        <v>777</v>
      </c>
      <c r="E330" t="s">
        <v>10</v>
      </c>
      <c r="F330" t="s">
        <v>632</v>
      </c>
      <c r="G330" s="74">
        <v>4.1719387000000001E-11</v>
      </c>
      <c r="H330">
        <v>0</v>
      </c>
      <c r="I330" s="74">
        <v>5.6084428000000005E-13</v>
      </c>
      <c r="J330" s="74">
        <v>2.6547060000000001E-11</v>
      </c>
      <c r="K330" s="74">
        <v>5.5406484000000003E-14</v>
      </c>
      <c r="L330" s="74">
        <v>1.3218158E-11</v>
      </c>
      <c r="M330" s="74">
        <v>1.3379189E-12</v>
      </c>
    </row>
    <row r="331" spans="3:13" x14ac:dyDescent="0.25">
      <c r="C331">
        <v>305</v>
      </c>
      <c r="D331" t="s">
        <v>778</v>
      </c>
      <c r="E331" t="s">
        <v>10</v>
      </c>
      <c r="F331" t="s">
        <v>632</v>
      </c>
      <c r="G331">
        <v>8.3532319999999993E-2</v>
      </c>
      <c r="H331">
        <v>0</v>
      </c>
      <c r="I331">
        <v>1.3846338999999999E-2</v>
      </c>
      <c r="J331">
        <v>3.6830633000000002E-2</v>
      </c>
      <c r="K331">
        <v>2.4655962E-4</v>
      </c>
      <c r="L331">
        <v>2.7364531000000001E-2</v>
      </c>
      <c r="M331">
        <v>5.2442577000000002E-3</v>
      </c>
    </row>
    <row r="332" spans="3:13" x14ac:dyDescent="0.25">
      <c r="C332">
        <v>306</v>
      </c>
      <c r="D332" t="s">
        <v>779</v>
      </c>
      <c r="E332" t="s">
        <v>10</v>
      </c>
      <c r="F332" t="s">
        <v>632</v>
      </c>
      <c r="G332">
        <v>1.6383325000000001E-2</v>
      </c>
      <c r="H332">
        <v>0</v>
      </c>
      <c r="I332">
        <v>2.6934339000000002E-3</v>
      </c>
      <c r="J332">
        <v>7.1886273000000001E-3</v>
      </c>
      <c r="K332" s="74">
        <v>4.7151516999999997E-5</v>
      </c>
      <c r="L332">
        <v>5.3663790000000001E-3</v>
      </c>
      <c r="M332">
        <v>1.0877335E-3</v>
      </c>
    </row>
    <row r="333" spans="3:13" x14ac:dyDescent="0.25">
      <c r="C333">
        <v>307</v>
      </c>
      <c r="D333" t="s">
        <v>780</v>
      </c>
      <c r="E333" t="s">
        <v>10</v>
      </c>
      <c r="F333" t="s">
        <v>632</v>
      </c>
      <c r="G333">
        <v>9.7348511000000006E-3</v>
      </c>
      <c r="H333">
        <v>0</v>
      </c>
      <c r="I333">
        <v>1.3092244E-3</v>
      </c>
      <c r="J333">
        <v>3.5148313E-3</v>
      </c>
      <c r="K333" s="74">
        <v>1.8479737E-5</v>
      </c>
      <c r="L333">
        <v>3.6460111999999999E-3</v>
      </c>
      <c r="M333">
        <v>1.2463044999999999E-3</v>
      </c>
    </row>
    <row r="334" spans="3:13" x14ac:dyDescent="0.25">
      <c r="C334">
        <v>308</v>
      </c>
      <c r="D334" t="s">
        <v>781</v>
      </c>
      <c r="E334" t="s">
        <v>10</v>
      </c>
      <c r="F334" t="s">
        <v>632</v>
      </c>
      <c r="G334">
        <v>3.0515489E-2</v>
      </c>
      <c r="H334">
        <v>0</v>
      </c>
      <c r="I334">
        <v>5.9083273000000002E-3</v>
      </c>
      <c r="J334">
        <v>1.2715026000000001E-2</v>
      </c>
      <c r="K334">
        <v>1.6768725E-4</v>
      </c>
      <c r="L334">
        <v>1.0012889000000001E-2</v>
      </c>
      <c r="M334">
        <v>1.7115590999999999E-3</v>
      </c>
    </row>
    <row r="335" spans="3:13" x14ac:dyDescent="0.25">
      <c r="C335">
        <v>309</v>
      </c>
      <c r="D335" t="s">
        <v>782</v>
      </c>
      <c r="E335" t="s">
        <v>10</v>
      </c>
      <c r="F335" t="s">
        <v>632</v>
      </c>
      <c r="G335">
        <v>6.1457871999999997E-2</v>
      </c>
      <c r="H335">
        <v>0</v>
      </c>
      <c r="I335">
        <v>9.8671220000000007E-3</v>
      </c>
      <c r="J335">
        <v>2.6607698999999999E-2</v>
      </c>
      <c r="K335">
        <v>1.7199182999999999E-4</v>
      </c>
      <c r="L335">
        <v>2.0493436E-2</v>
      </c>
      <c r="M335">
        <v>4.3176229999999996E-3</v>
      </c>
    </row>
    <row r="336" spans="3:13" x14ac:dyDescent="0.25">
      <c r="C336">
        <v>310</v>
      </c>
      <c r="D336" t="s">
        <v>783</v>
      </c>
      <c r="E336" t="s">
        <v>10</v>
      </c>
      <c r="F336" t="s">
        <v>632</v>
      </c>
      <c r="G336">
        <v>3.3511737000000001E-3</v>
      </c>
      <c r="H336">
        <v>0</v>
      </c>
      <c r="I336">
        <v>5.3289077000000002E-4</v>
      </c>
      <c r="J336">
        <v>1.4289857E-3</v>
      </c>
      <c r="K336" s="74">
        <v>9.5012295000000005E-6</v>
      </c>
      <c r="L336">
        <v>1.1481911E-3</v>
      </c>
      <c r="M336">
        <v>2.3160486000000001E-4</v>
      </c>
    </row>
    <row r="337" spans="3:13" x14ac:dyDescent="0.25">
      <c r="C337">
        <v>311</v>
      </c>
      <c r="D337" t="s">
        <v>784</v>
      </c>
      <c r="E337" t="s">
        <v>10</v>
      </c>
      <c r="F337" t="s">
        <v>632</v>
      </c>
      <c r="G337">
        <v>6.6911132999999999E-4</v>
      </c>
      <c r="H337">
        <v>0</v>
      </c>
      <c r="I337">
        <v>1.3064515E-4</v>
      </c>
      <c r="J337">
        <v>2.8131051000000002E-4</v>
      </c>
      <c r="K337" s="74">
        <v>3.7284206999999999E-6</v>
      </c>
      <c r="L337">
        <v>2.2024123000000001E-4</v>
      </c>
      <c r="M337" s="74">
        <v>3.3186024000000003E-5</v>
      </c>
    </row>
    <row r="338" spans="3:13" x14ac:dyDescent="0.25">
      <c r="C338">
        <v>312</v>
      </c>
      <c r="D338" t="s">
        <v>785</v>
      </c>
      <c r="E338" t="s">
        <v>10</v>
      </c>
      <c r="F338" t="s">
        <v>632</v>
      </c>
      <c r="G338">
        <v>5.0333067E-4</v>
      </c>
      <c r="H338">
        <v>0</v>
      </c>
      <c r="I338" s="74">
        <v>9.8126719999999998E-5</v>
      </c>
      <c r="J338">
        <v>2.1047962E-4</v>
      </c>
      <c r="K338" s="74">
        <v>2.8019728E-6</v>
      </c>
      <c r="L338">
        <v>1.6511389000000001E-4</v>
      </c>
      <c r="M338" s="74">
        <v>2.6808471E-5</v>
      </c>
    </row>
    <row r="339" spans="3:13" x14ac:dyDescent="0.25">
      <c r="C339">
        <v>313</v>
      </c>
      <c r="D339" t="s">
        <v>786</v>
      </c>
      <c r="E339" t="s">
        <v>10</v>
      </c>
      <c r="F339" t="s">
        <v>632</v>
      </c>
      <c r="G339">
        <v>3.7344607E-3</v>
      </c>
      <c r="H339">
        <v>0</v>
      </c>
      <c r="I339">
        <v>7.3131911999999998E-4</v>
      </c>
      <c r="J339">
        <v>1.569715E-3</v>
      </c>
      <c r="K339" s="74">
        <v>2.0901677000000001E-5</v>
      </c>
      <c r="L339">
        <v>1.2305336E-3</v>
      </c>
      <c r="M339">
        <v>1.8199127999999999E-4</v>
      </c>
    </row>
    <row r="340" spans="3:13" x14ac:dyDescent="0.25">
      <c r="C340">
        <v>314</v>
      </c>
      <c r="D340" t="s">
        <v>787</v>
      </c>
      <c r="E340" t="s">
        <v>10</v>
      </c>
      <c r="F340" t="s">
        <v>632</v>
      </c>
      <c r="G340" s="74">
        <v>2.6504420999999999E-6</v>
      </c>
      <c r="H340">
        <v>0</v>
      </c>
      <c r="I340" s="74">
        <v>1.9924429000000001E-8</v>
      </c>
      <c r="J340" s="74">
        <v>8.6686578999999995E-8</v>
      </c>
      <c r="K340" s="74">
        <v>3.5481081999999999E-9</v>
      </c>
      <c r="L340" s="74">
        <v>2.5170651E-6</v>
      </c>
      <c r="M340" s="74">
        <v>2.3217872999999999E-8</v>
      </c>
    </row>
    <row r="341" spans="3:13" x14ac:dyDescent="0.25">
      <c r="C341">
        <v>315</v>
      </c>
      <c r="D341" t="s">
        <v>788</v>
      </c>
      <c r="E341" t="s">
        <v>10</v>
      </c>
      <c r="F341" t="s">
        <v>632</v>
      </c>
      <c r="G341">
        <v>4.3957257E-4</v>
      </c>
      <c r="H341">
        <v>0</v>
      </c>
      <c r="I341" s="74">
        <v>8.6125456999999996E-5</v>
      </c>
      <c r="J341">
        <v>1.8479443E-4</v>
      </c>
      <c r="K341" s="74">
        <v>2.4639343000000002E-6</v>
      </c>
      <c r="L341">
        <v>1.4482235E-4</v>
      </c>
      <c r="M341" s="74">
        <v>2.1366406999999998E-5</v>
      </c>
    </row>
    <row r="342" spans="3:13" x14ac:dyDescent="0.25">
      <c r="C342">
        <v>316</v>
      </c>
      <c r="D342" t="s">
        <v>789</v>
      </c>
      <c r="E342" t="s">
        <v>10</v>
      </c>
      <c r="F342" t="s">
        <v>632</v>
      </c>
      <c r="G342" s="74">
        <v>5.6797095000000002E-6</v>
      </c>
      <c r="H342">
        <v>0</v>
      </c>
      <c r="I342" s="74">
        <v>1.112833E-6</v>
      </c>
      <c r="J342" s="74">
        <v>2.3891891000000002E-6</v>
      </c>
      <c r="K342" s="74">
        <v>3.1839242999999999E-8</v>
      </c>
      <c r="L342" s="74">
        <v>1.8705766E-6</v>
      </c>
      <c r="M342" s="74">
        <v>2.7527159999999998E-7</v>
      </c>
    </row>
    <row r="343" spans="3:13" x14ac:dyDescent="0.25">
      <c r="C343">
        <v>317</v>
      </c>
      <c r="D343" t="s">
        <v>790</v>
      </c>
      <c r="E343" t="s">
        <v>10</v>
      </c>
      <c r="F343" t="s">
        <v>632</v>
      </c>
      <c r="G343">
        <v>4.0506761000000002E-2</v>
      </c>
      <c r="H343">
        <v>0</v>
      </c>
      <c r="I343">
        <v>6.7693019999999996E-3</v>
      </c>
      <c r="J343">
        <v>1.7925594999999999E-2</v>
      </c>
      <c r="K343">
        <v>1.20358E-4</v>
      </c>
      <c r="L343">
        <v>1.3126023000000001E-2</v>
      </c>
      <c r="M343">
        <v>2.5654827999999998E-3</v>
      </c>
    </row>
    <row r="344" spans="3:13" x14ac:dyDescent="0.25">
      <c r="C344">
        <v>318</v>
      </c>
      <c r="D344" t="s">
        <v>791</v>
      </c>
      <c r="E344" t="s">
        <v>10</v>
      </c>
      <c r="F344" t="s">
        <v>632</v>
      </c>
      <c r="G344">
        <v>2.7195524999999998E-3</v>
      </c>
      <c r="H344">
        <v>0</v>
      </c>
      <c r="I344">
        <v>4.5318490000000001E-4</v>
      </c>
      <c r="J344">
        <v>1.1989175E-3</v>
      </c>
      <c r="K344" s="74">
        <v>7.9943223000000007E-6</v>
      </c>
      <c r="L344">
        <v>8.8399517999999998E-4</v>
      </c>
      <c r="M344">
        <v>1.7546055E-4</v>
      </c>
    </row>
    <row r="345" spans="3:13" x14ac:dyDescent="0.25">
      <c r="C345">
        <v>319</v>
      </c>
      <c r="D345" t="s">
        <v>792</v>
      </c>
      <c r="E345" t="s">
        <v>10</v>
      </c>
      <c r="F345" t="s">
        <v>632</v>
      </c>
      <c r="G345">
        <v>3.2172981E-4</v>
      </c>
      <c r="H345">
        <v>0</v>
      </c>
      <c r="I345" s="74">
        <v>5.8402502999999997E-5</v>
      </c>
      <c r="J345">
        <v>1.2988157000000001E-4</v>
      </c>
      <c r="K345" s="74">
        <v>1.6495543000000001E-6</v>
      </c>
      <c r="L345">
        <v>1.0136035E-4</v>
      </c>
      <c r="M345" s="74">
        <v>3.0435828000000001E-5</v>
      </c>
    </row>
    <row r="346" spans="3:13" x14ac:dyDescent="0.25">
      <c r="C346">
        <v>320</v>
      </c>
      <c r="D346" t="s">
        <v>793</v>
      </c>
      <c r="E346" t="s">
        <v>10</v>
      </c>
      <c r="F346" t="s">
        <v>632</v>
      </c>
      <c r="G346">
        <v>5.0955080000000003E-3</v>
      </c>
      <c r="H346">
        <v>0</v>
      </c>
      <c r="I346">
        <v>8.9432892999999998E-4</v>
      </c>
      <c r="J346">
        <v>2.0378223E-3</v>
      </c>
      <c r="K346" s="74">
        <v>2.2464493999999998E-5</v>
      </c>
      <c r="L346">
        <v>1.7501496000000001E-3</v>
      </c>
      <c r="M346">
        <v>3.9074272999999998E-4</v>
      </c>
    </row>
    <row r="347" spans="3:13" x14ac:dyDescent="0.25">
      <c r="C347">
        <v>321</v>
      </c>
      <c r="D347" t="s">
        <v>794</v>
      </c>
      <c r="E347" t="s">
        <v>10</v>
      </c>
      <c r="F347" t="s">
        <v>632</v>
      </c>
      <c r="G347" s="74">
        <v>1.4127443E-8</v>
      </c>
      <c r="H347">
        <v>0</v>
      </c>
      <c r="I347" s="74">
        <v>2.6298431999999999E-9</v>
      </c>
      <c r="J347" s="74">
        <v>5.9410318000000003E-9</v>
      </c>
      <c r="K347" s="74">
        <v>6.9226324000000001E-11</v>
      </c>
      <c r="L347" s="74">
        <v>4.6548282E-9</v>
      </c>
      <c r="M347" s="74">
        <v>8.3251303000000001E-10</v>
      </c>
    </row>
    <row r="348" spans="3:13" x14ac:dyDescent="0.25">
      <c r="C348">
        <v>322</v>
      </c>
      <c r="D348" t="s">
        <v>795</v>
      </c>
      <c r="E348" t="s">
        <v>10</v>
      </c>
      <c r="F348" t="s">
        <v>632</v>
      </c>
      <c r="G348">
        <v>3.8186308999999998E-3</v>
      </c>
      <c r="H348">
        <v>0</v>
      </c>
      <c r="I348">
        <v>6.4056113999999998E-4</v>
      </c>
      <c r="J348">
        <v>1.6903465999999999E-3</v>
      </c>
      <c r="K348" s="74">
        <v>1.1422937999999999E-5</v>
      </c>
      <c r="L348">
        <v>1.2363509000000001E-3</v>
      </c>
      <c r="M348">
        <v>2.3994928000000001E-4</v>
      </c>
    </row>
    <row r="349" spans="3:13" x14ac:dyDescent="0.25">
      <c r="C349">
        <v>323</v>
      </c>
      <c r="D349" t="s">
        <v>796</v>
      </c>
      <c r="E349" t="s">
        <v>10</v>
      </c>
      <c r="F349" t="s">
        <v>632</v>
      </c>
      <c r="G349" s="74">
        <v>5.5258098999999998E-7</v>
      </c>
      <c r="H349">
        <v>0</v>
      </c>
      <c r="I349" s="74">
        <v>6.1087390999999999E-8</v>
      </c>
      <c r="J349" s="74">
        <v>1.6002036000000001E-7</v>
      </c>
      <c r="K349" s="74">
        <v>2.845087E-9</v>
      </c>
      <c r="L349" s="74">
        <v>2.2989799E-7</v>
      </c>
      <c r="M349" s="74">
        <v>9.8730161E-8</v>
      </c>
    </row>
    <row r="350" spans="3:13" x14ac:dyDescent="0.25">
      <c r="C350">
        <v>324</v>
      </c>
      <c r="D350" t="s">
        <v>797</v>
      </c>
      <c r="E350" t="s">
        <v>10</v>
      </c>
      <c r="F350" t="s">
        <v>632</v>
      </c>
      <c r="G350">
        <v>4.3343138999999998E-4</v>
      </c>
      <c r="H350">
        <v>0</v>
      </c>
      <c r="I350" s="74">
        <v>7.1648798999999995E-5</v>
      </c>
      <c r="J350">
        <v>1.8963648999999999E-4</v>
      </c>
      <c r="K350" s="74">
        <v>1.2593226E-6</v>
      </c>
      <c r="L350">
        <v>1.4324712999999999E-4</v>
      </c>
      <c r="M350" s="74">
        <v>2.7639644999999999E-5</v>
      </c>
    </row>
    <row r="351" spans="3:13" x14ac:dyDescent="0.25">
      <c r="C351">
        <v>325</v>
      </c>
      <c r="D351" t="s">
        <v>798</v>
      </c>
      <c r="E351" t="s">
        <v>10</v>
      </c>
      <c r="F351" t="s">
        <v>632</v>
      </c>
      <c r="G351" s="74">
        <v>9.9207012000000003E-7</v>
      </c>
      <c r="H351">
        <v>0</v>
      </c>
      <c r="I351" s="74">
        <v>1.3693304000000001E-7</v>
      </c>
      <c r="J351" s="74">
        <v>3.4018554999999998E-7</v>
      </c>
      <c r="K351" s="74">
        <v>5.9286107999999999E-11</v>
      </c>
      <c r="L351" s="74">
        <v>5.1135089999999997E-7</v>
      </c>
      <c r="M351" s="74">
        <v>3.5413503000000001E-9</v>
      </c>
    </row>
    <row r="352" spans="3:13" x14ac:dyDescent="0.25">
      <c r="C352">
        <v>326</v>
      </c>
      <c r="D352" t="s">
        <v>799</v>
      </c>
      <c r="E352" t="s">
        <v>10</v>
      </c>
      <c r="F352" t="s">
        <v>632</v>
      </c>
      <c r="G352" s="74">
        <v>4.7002560999999999E-7</v>
      </c>
      <c r="H352">
        <v>0</v>
      </c>
      <c r="I352" s="74">
        <v>1.7183944999999999E-8</v>
      </c>
      <c r="J352" s="74">
        <v>1.0856101999999999E-7</v>
      </c>
      <c r="K352" s="74">
        <v>1.0344488000000001E-10</v>
      </c>
      <c r="L352" s="74">
        <v>8.6002453999999997E-8</v>
      </c>
      <c r="M352" s="74">
        <v>2.5817475000000001E-7</v>
      </c>
    </row>
    <row r="353" spans="3:13" x14ac:dyDescent="0.25">
      <c r="C353">
        <v>327</v>
      </c>
      <c r="D353" t="s">
        <v>800</v>
      </c>
      <c r="E353" t="s">
        <v>10</v>
      </c>
      <c r="F353" t="s">
        <v>632</v>
      </c>
      <c r="G353">
        <v>4.4939715999999996E-3</v>
      </c>
      <c r="H353">
        <v>0</v>
      </c>
      <c r="I353">
        <v>8.8008824999999998E-4</v>
      </c>
      <c r="J353">
        <v>1.8870703999999999E-3</v>
      </c>
      <c r="K353" s="74">
        <v>2.5130275000000001E-5</v>
      </c>
      <c r="L353">
        <v>1.4794779E-3</v>
      </c>
      <c r="M353">
        <v>2.2220475999999999E-4</v>
      </c>
    </row>
    <row r="354" spans="3:13" x14ac:dyDescent="0.25">
      <c r="C354">
        <v>328</v>
      </c>
      <c r="D354" t="s">
        <v>801</v>
      </c>
      <c r="E354" t="s">
        <v>10</v>
      </c>
      <c r="F354" t="s">
        <v>632</v>
      </c>
      <c r="G354">
        <v>1.8036015999999998E-2</v>
      </c>
      <c r="H354">
        <v>0</v>
      </c>
      <c r="I354">
        <v>3.5306356000000001E-3</v>
      </c>
      <c r="J354">
        <v>7.5734039000000001E-3</v>
      </c>
      <c r="K354">
        <v>1.0101303000000001E-4</v>
      </c>
      <c r="L354">
        <v>5.9362751E-3</v>
      </c>
      <c r="M354">
        <v>8.9468879999999998E-4</v>
      </c>
    </row>
    <row r="355" spans="3:13" x14ac:dyDescent="0.25">
      <c r="C355">
        <v>329</v>
      </c>
      <c r="D355" t="s">
        <v>802</v>
      </c>
      <c r="E355" t="s">
        <v>10</v>
      </c>
      <c r="F355" t="s">
        <v>632</v>
      </c>
      <c r="G355" s="74">
        <v>1.2805915E-5</v>
      </c>
      <c r="H355">
        <v>0</v>
      </c>
      <c r="I355" s="74">
        <v>8.2775288E-7</v>
      </c>
      <c r="J355" s="74">
        <v>4.1019764999999997E-6</v>
      </c>
      <c r="K355" s="74">
        <v>5.5601115999999998E-9</v>
      </c>
      <c r="L355" s="74">
        <v>3.2247088E-6</v>
      </c>
      <c r="M355" s="74">
        <v>4.6459161000000002E-6</v>
      </c>
    </row>
    <row r="356" spans="3:13" x14ac:dyDescent="0.25">
      <c r="C356">
        <v>330</v>
      </c>
      <c r="D356" t="s">
        <v>803</v>
      </c>
      <c r="E356" t="s">
        <v>10</v>
      </c>
      <c r="F356" t="s">
        <v>632</v>
      </c>
      <c r="G356" s="74">
        <v>4.0229250999999997E-5</v>
      </c>
      <c r="H356">
        <v>0</v>
      </c>
      <c r="I356" s="74">
        <v>4.6142926000000003E-6</v>
      </c>
      <c r="J356" s="74">
        <v>1.1638260000000001E-5</v>
      </c>
      <c r="K356" s="74">
        <v>5.1998476999999997E-9</v>
      </c>
      <c r="L356" s="74">
        <v>1.7142546999999999E-5</v>
      </c>
      <c r="M356" s="74">
        <v>6.8289510000000003E-6</v>
      </c>
    </row>
    <row r="357" spans="3:13" x14ac:dyDescent="0.25">
      <c r="C357">
        <v>331</v>
      </c>
      <c r="D357" t="s">
        <v>804</v>
      </c>
      <c r="E357" t="s">
        <v>10</v>
      </c>
      <c r="F357" t="s">
        <v>632</v>
      </c>
      <c r="G357">
        <v>1.4482990999999999E-3</v>
      </c>
      <c r="H357">
        <v>0</v>
      </c>
      <c r="I357">
        <v>1.7883541999999999E-4</v>
      </c>
      <c r="J357">
        <v>5.8012147000000003E-4</v>
      </c>
      <c r="K357" s="74">
        <v>2.3616921999999998E-6</v>
      </c>
      <c r="L357">
        <v>4.5366904999999999E-4</v>
      </c>
      <c r="M357">
        <v>2.3331148E-4</v>
      </c>
    </row>
    <row r="358" spans="3:13" x14ac:dyDescent="0.25">
      <c r="C358">
        <v>332</v>
      </c>
      <c r="D358" t="s">
        <v>805</v>
      </c>
      <c r="E358" t="s">
        <v>10</v>
      </c>
      <c r="F358" t="s">
        <v>632</v>
      </c>
      <c r="G358" s="74">
        <v>5.9772780999999999E-5</v>
      </c>
      <c r="H358">
        <v>0</v>
      </c>
      <c r="I358" s="74">
        <v>1.5621593999999999E-6</v>
      </c>
      <c r="J358" s="74">
        <v>4.8898633000000003E-5</v>
      </c>
      <c r="K358" s="74">
        <v>1.279264E-8</v>
      </c>
      <c r="L358" s="74">
        <v>6.7113486999999996E-6</v>
      </c>
      <c r="M358" s="74">
        <v>2.5878472000000001E-6</v>
      </c>
    </row>
    <row r="359" spans="3:13" x14ac:dyDescent="0.25">
      <c r="C359">
        <v>333</v>
      </c>
      <c r="D359" t="s">
        <v>806</v>
      </c>
      <c r="E359" t="s">
        <v>10</v>
      </c>
      <c r="F359" t="s">
        <v>632</v>
      </c>
      <c r="G359">
        <v>1.2592483000000001E-4</v>
      </c>
      <c r="H359">
        <v>0</v>
      </c>
      <c r="I359" s="74">
        <v>8.1395700000000004E-6</v>
      </c>
      <c r="J359" s="74">
        <v>4.0336102E-5</v>
      </c>
      <c r="K359" s="74">
        <v>5.4674430999999999E-8</v>
      </c>
      <c r="L359" s="74">
        <v>3.1709637E-5</v>
      </c>
      <c r="M359" s="74">
        <v>4.5684842000000002E-5</v>
      </c>
    </row>
    <row r="360" spans="3:13" x14ac:dyDescent="0.25">
      <c r="C360">
        <v>334</v>
      </c>
      <c r="D360" t="s">
        <v>807</v>
      </c>
      <c r="E360" t="s">
        <v>10</v>
      </c>
      <c r="F360" t="s">
        <v>632</v>
      </c>
      <c r="G360">
        <v>1.0004776E-4</v>
      </c>
      <c r="H360">
        <v>0</v>
      </c>
      <c r="I360" s="74">
        <v>3.7197115999999999E-6</v>
      </c>
      <c r="J360" s="74">
        <v>9.8227541999999992E-6</v>
      </c>
      <c r="K360" s="74">
        <v>4.2413244000000002E-8</v>
      </c>
      <c r="L360" s="74">
        <v>1.1941378E-5</v>
      </c>
      <c r="M360" s="74">
        <v>7.4521504000000006E-5</v>
      </c>
    </row>
    <row r="361" spans="3:13" x14ac:dyDescent="0.25">
      <c r="C361">
        <v>335</v>
      </c>
      <c r="D361" t="s">
        <v>808</v>
      </c>
      <c r="E361" t="s">
        <v>10</v>
      </c>
      <c r="F361" t="s">
        <v>632</v>
      </c>
      <c r="G361">
        <v>3.2951069999999999E-2</v>
      </c>
      <c r="H361">
        <v>0</v>
      </c>
      <c r="I361">
        <v>6.2475242999999996E-3</v>
      </c>
      <c r="J361">
        <v>1.3666431E-2</v>
      </c>
      <c r="K361">
        <v>1.7201261999999999E-4</v>
      </c>
      <c r="L361">
        <v>1.099983E-2</v>
      </c>
      <c r="M361">
        <v>1.8652727999999999E-3</v>
      </c>
    </row>
    <row r="362" spans="3:13" x14ac:dyDescent="0.25">
      <c r="C362">
        <v>336</v>
      </c>
      <c r="D362" t="s">
        <v>809</v>
      </c>
      <c r="E362" t="s">
        <v>10</v>
      </c>
      <c r="F362" t="s">
        <v>632</v>
      </c>
      <c r="G362">
        <v>1.5274061000000001</v>
      </c>
      <c r="H362">
        <v>0</v>
      </c>
      <c r="I362">
        <v>0.2069289</v>
      </c>
      <c r="J362">
        <v>0.57547970000000004</v>
      </c>
      <c r="K362">
        <v>2.5067327E-3</v>
      </c>
      <c r="L362">
        <v>0.56841969999999997</v>
      </c>
      <c r="M362">
        <v>0.17407106</v>
      </c>
    </row>
    <row r="363" spans="3:13" x14ac:dyDescent="0.25">
      <c r="C363">
        <v>337</v>
      </c>
      <c r="D363" t="s">
        <v>810</v>
      </c>
      <c r="E363" t="s">
        <v>10</v>
      </c>
      <c r="F363" t="s">
        <v>632</v>
      </c>
      <c r="G363">
        <v>1.5390479E-2</v>
      </c>
      <c r="H363">
        <v>0</v>
      </c>
      <c r="I363">
        <v>3.0155391999999999E-3</v>
      </c>
      <c r="J363">
        <v>6.4722523000000001E-3</v>
      </c>
      <c r="K363" s="74">
        <v>8.6277373999999997E-5</v>
      </c>
      <c r="L363">
        <v>5.0694640000000001E-3</v>
      </c>
      <c r="M363">
        <v>7.4694642999999998E-4</v>
      </c>
    </row>
    <row r="364" spans="3:13" x14ac:dyDescent="0.25">
      <c r="C364">
        <v>338</v>
      </c>
      <c r="D364" t="s">
        <v>811</v>
      </c>
      <c r="E364" t="s">
        <v>10</v>
      </c>
      <c r="F364" t="s">
        <v>632</v>
      </c>
      <c r="G364">
        <v>0.24646805999999999</v>
      </c>
      <c r="H364">
        <v>0</v>
      </c>
      <c r="I364">
        <v>3.3542563999999997E-2</v>
      </c>
      <c r="J364">
        <v>9.5995371999999995E-2</v>
      </c>
      <c r="K364">
        <v>4.7937400000000002E-4</v>
      </c>
      <c r="L364">
        <v>8.7267164999999994E-2</v>
      </c>
      <c r="M364">
        <v>2.9183582999999999E-2</v>
      </c>
    </row>
    <row r="365" spans="3:13" x14ac:dyDescent="0.25">
      <c r="C365">
        <v>339</v>
      </c>
      <c r="D365" t="s">
        <v>812</v>
      </c>
      <c r="E365" t="s">
        <v>10</v>
      </c>
      <c r="F365" t="s">
        <v>632</v>
      </c>
      <c r="G365">
        <v>7.1770641999999998E-4</v>
      </c>
      <c r="H365">
        <v>0</v>
      </c>
      <c r="I365" s="74">
        <v>6.0797093000000002E-5</v>
      </c>
      <c r="J365">
        <v>2.1537311000000001E-4</v>
      </c>
      <c r="K365" s="74">
        <v>1.0963115E-6</v>
      </c>
      <c r="L365">
        <v>3.5357603999999998E-4</v>
      </c>
      <c r="M365" s="74">
        <v>8.6863865999999994E-5</v>
      </c>
    </row>
    <row r="366" spans="3:13" x14ac:dyDescent="0.25">
      <c r="C366">
        <v>340</v>
      </c>
      <c r="D366" t="s">
        <v>813</v>
      </c>
      <c r="E366" t="s">
        <v>10</v>
      </c>
      <c r="F366" t="s">
        <v>632</v>
      </c>
      <c r="G366">
        <v>9.3583146000000006E-2</v>
      </c>
      <c r="H366">
        <v>0</v>
      </c>
      <c r="I366">
        <v>1.8018805999999998E-2</v>
      </c>
      <c r="J366">
        <v>3.8989632000000003E-2</v>
      </c>
      <c r="K366">
        <v>5.0504912999999995E-4</v>
      </c>
      <c r="L366">
        <v>3.1085591999999999E-2</v>
      </c>
      <c r="M366">
        <v>4.9840669000000004E-3</v>
      </c>
    </row>
    <row r="367" spans="3:13" x14ac:dyDescent="0.25">
      <c r="C367">
        <v>341</v>
      </c>
      <c r="D367" t="s">
        <v>814</v>
      </c>
      <c r="E367" t="s">
        <v>10</v>
      </c>
      <c r="F367" t="s">
        <v>632</v>
      </c>
      <c r="G367">
        <v>1.3617328E-2</v>
      </c>
      <c r="H367">
        <v>0</v>
      </c>
      <c r="I367">
        <v>2.5699468999999999E-3</v>
      </c>
      <c r="J367">
        <v>5.6198691E-3</v>
      </c>
      <c r="K367" s="74">
        <v>7.0452266999999999E-5</v>
      </c>
      <c r="L367">
        <v>4.5463226000000004E-3</v>
      </c>
      <c r="M367">
        <v>8.1073742000000002E-4</v>
      </c>
    </row>
    <row r="368" spans="3:13" x14ac:dyDescent="0.25">
      <c r="C368">
        <v>342</v>
      </c>
      <c r="D368" t="s">
        <v>815</v>
      </c>
      <c r="E368" t="s">
        <v>10</v>
      </c>
      <c r="F368" t="s">
        <v>632</v>
      </c>
      <c r="G368">
        <v>7.4762913999999996E-3</v>
      </c>
      <c r="H368">
        <v>0</v>
      </c>
      <c r="I368">
        <v>1.3771872000000001E-3</v>
      </c>
      <c r="J368">
        <v>3.0581420999999998E-3</v>
      </c>
      <c r="K368" s="74">
        <v>3.6578653999999997E-5</v>
      </c>
      <c r="L368">
        <v>2.5256315000000001E-3</v>
      </c>
      <c r="M368">
        <v>4.7875197E-4</v>
      </c>
    </row>
    <row r="369" spans="3:13" x14ac:dyDescent="0.25">
      <c r="C369">
        <v>343</v>
      </c>
      <c r="D369" t="s">
        <v>816</v>
      </c>
      <c r="E369" t="s">
        <v>10</v>
      </c>
      <c r="F369" t="s">
        <v>632</v>
      </c>
      <c r="G369">
        <v>1.1854565000000001E-3</v>
      </c>
      <c r="H369">
        <v>0</v>
      </c>
      <c r="I369">
        <v>1.9910587000000001E-4</v>
      </c>
      <c r="J369">
        <v>5.2407479000000001E-4</v>
      </c>
      <c r="K369" s="74">
        <v>3.5484398000000002E-6</v>
      </c>
      <c r="L369">
        <v>3.8426302000000001E-4</v>
      </c>
      <c r="M369" s="74">
        <v>7.4464425000000007E-5</v>
      </c>
    </row>
    <row r="370" spans="3:13" x14ac:dyDescent="0.25">
      <c r="C370">
        <v>344</v>
      </c>
      <c r="D370" t="s">
        <v>817</v>
      </c>
      <c r="E370" t="s">
        <v>10</v>
      </c>
      <c r="F370" t="s">
        <v>632</v>
      </c>
      <c r="G370">
        <v>2.6173051999999999E-2</v>
      </c>
      <c r="H370">
        <v>0</v>
      </c>
      <c r="I370">
        <v>4.3603237E-3</v>
      </c>
      <c r="J370">
        <v>1.1513255999999999E-2</v>
      </c>
      <c r="K370" s="74">
        <v>7.8165788000000004E-5</v>
      </c>
      <c r="L370">
        <v>8.5453182000000006E-3</v>
      </c>
      <c r="M370">
        <v>1.6759876999999999E-3</v>
      </c>
    </row>
    <row r="371" spans="3:13" x14ac:dyDescent="0.25">
      <c r="C371">
        <v>345</v>
      </c>
      <c r="D371" t="s">
        <v>818</v>
      </c>
      <c r="E371" t="s">
        <v>10</v>
      </c>
      <c r="F371" t="s">
        <v>632</v>
      </c>
      <c r="G371">
        <v>4.8343872E-3</v>
      </c>
      <c r="H371">
        <v>0</v>
      </c>
      <c r="I371">
        <v>8.1191886000000005E-4</v>
      </c>
      <c r="J371">
        <v>2.1349594000000002E-3</v>
      </c>
      <c r="K371" s="74">
        <v>1.4467252999999999E-5</v>
      </c>
      <c r="L371">
        <v>1.5690024E-3</v>
      </c>
      <c r="M371">
        <v>3.0403929999999997E-4</v>
      </c>
    </row>
    <row r="372" spans="3:13" x14ac:dyDescent="0.25">
      <c r="C372">
        <v>346</v>
      </c>
      <c r="D372" t="s">
        <v>819</v>
      </c>
      <c r="E372" t="s">
        <v>10</v>
      </c>
      <c r="F372" t="s">
        <v>632</v>
      </c>
      <c r="G372">
        <v>5.1217302999999998E-4</v>
      </c>
      <c r="H372">
        <v>0</v>
      </c>
      <c r="I372" s="74">
        <v>8.477809E-5</v>
      </c>
      <c r="J372">
        <v>2.2486296E-4</v>
      </c>
      <c r="K372" s="74">
        <v>1.4983745999999999E-6</v>
      </c>
      <c r="L372">
        <v>1.6550172E-4</v>
      </c>
      <c r="M372" s="74">
        <v>3.5531887999999998E-5</v>
      </c>
    </row>
    <row r="373" spans="3:13" x14ac:dyDescent="0.25">
      <c r="C373">
        <v>347</v>
      </c>
      <c r="D373" t="s">
        <v>820</v>
      </c>
      <c r="E373" t="s">
        <v>10</v>
      </c>
      <c r="F373" t="s">
        <v>632</v>
      </c>
      <c r="G373">
        <v>1.312901E-2</v>
      </c>
      <c r="H373">
        <v>0</v>
      </c>
      <c r="I373">
        <v>2.5713029E-3</v>
      </c>
      <c r="J373">
        <v>5.5197487999999999E-3</v>
      </c>
      <c r="K373" s="74">
        <v>7.3563196999999999E-5</v>
      </c>
      <c r="L373">
        <v>4.3242717999999996E-3</v>
      </c>
      <c r="M373">
        <v>6.4012328999999996E-4</v>
      </c>
    </row>
    <row r="374" spans="3:13" x14ac:dyDescent="0.25">
      <c r="C374">
        <v>348</v>
      </c>
      <c r="D374" t="s">
        <v>821</v>
      </c>
      <c r="E374" t="s">
        <v>10</v>
      </c>
      <c r="F374" t="s">
        <v>632</v>
      </c>
      <c r="G374" s="74">
        <v>3.5054055E-9</v>
      </c>
      <c r="H374">
        <v>0</v>
      </c>
      <c r="I374" s="74">
        <v>2.7930055E-11</v>
      </c>
      <c r="J374" s="74">
        <v>6.4885215999999999E-11</v>
      </c>
      <c r="K374" s="74">
        <v>6.8070072999999997E-13</v>
      </c>
      <c r="L374" s="74">
        <v>5.0290864000000003E-11</v>
      </c>
      <c r="M374" s="74">
        <v>3.3616186999999998E-9</v>
      </c>
    </row>
    <row r="375" spans="3:13" x14ac:dyDescent="0.25">
      <c r="C375">
        <v>349</v>
      </c>
      <c r="D375" t="s">
        <v>822</v>
      </c>
      <c r="E375" t="s">
        <v>10</v>
      </c>
      <c r="F375" t="s">
        <v>632</v>
      </c>
      <c r="G375" s="74">
        <v>8.3425586000000001E-11</v>
      </c>
      <c r="H375">
        <v>0</v>
      </c>
      <c r="I375" s="74">
        <v>1.5648195000000001E-11</v>
      </c>
      <c r="J375" s="74">
        <v>3.3806583000000002E-11</v>
      </c>
      <c r="K375" s="74">
        <v>4.3564639000000002E-13</v>
      </c>
      <c r="L375" s="74">
        <v>2.6734389999999999E-11</v>
      </c>
      <c r="M375" s="74">
        <v>6.8007715999999996E-12</v>
      </c>
    </row>
    <row r="376" spans="3:13" x14ac:dyDescent="0.25">
      <c r="C376">
        <v>350</v>
      </c>
      <c r="D376" t="s">
        <v>823</v>
      </c>
      <c r="E376" t="s">
        <v>10</v>
      </c>
      <c r="F376" t="s">
        <v>632</v>
      </c>
      <c r="G376">
        <v>30.619070000000001</v>
      </c>
      <c r="H376">
        <v>0</v>
      </c>
      <c r="I376">
        <v>3.7941004E-2</v>
      </c>
      <c r="J376">
        <v>0.10096902000000001</v>
      </c>
      <c r="K376">
        <v>6.6375736000000003E-4</v>
      </c>
      <c r="L376">
        <v>7.5598819999999997E-2</v>
      </c>
      <c r="M376">
        <v>30.403898000000002</v>
      </c>
    </row>
    <row r="377" spans="3:13" x14ac:dyDescent="0.25">
      <c r="C377">
        <v>351</v>
      </c>
      <c r="D377" t="s">
        <v>824</v>
      </c>
      <c r="E377" t="s">
        <v>10</v>
      </c>
      <c r="F377" t="s">
        <v>632</v>
      </c>
      <c r="G377" s="74">
        <v>1.5830286999999999E-8</v>
      </c>
      <c r="H377">
        <v>0</v>
      </c>
      <c r="I377" s="74">
        <v>1.6006507000000001E-10</v>
      </c>
      <c r="J377" s="74">
        <v>4.4859389000000001E-10</v>
      </c>
      <c r="K377" s="74">
        <v>5.9981899999999999E-12</v>
      </c>
      <c r="L377" s="74">
        <v>5.1338308999999995E-10</v>
      </c>
      <c r="M377" s="74">
        <v>1.4702246999999999E-8</v>
      </c>
    </row>
    <row r="378" spans="3:13" x14ac:dyDescent="0.25">
      <c r="C378">
        <v>352</v>
      </c>
      <c r="D378" t="s">
        <v>825</v>
      </c>
      <c r="E378" t="s">
        <v>10</v>
      </c>
      <c r="F378" t="s">
        <v>632</v>
      </c>
      <c r="G378">
        <v>3.4091319999999999E-4</v>
      </c>
      <c r="H378">
        <v>0</v>
      </c>
      <c r="I378" s="74">
        <v>4.9970192999999999E-5</v>
      </c>
      <c r="J378">
        <v>1.3958836E-4</v>
      </c>
      <c r="K378" s="74">
        <v>7.1580474999999996E-7</v>
      </c>
      <c r="L378">
        <v>1.1799298000000001E-4</v>
      </c>
      <c r="M378" s="74">
        <v>3.2645860000000003E-5</v>
      </c>
    </row>
    <row r="379" spans="3:13" x14ac:dyDescent="0.25">
      <c r="C379">
        <v>353</v>
      </c>
      <c r="D379" t="s">
        <v>631</v>
      </c>
      <c r="E379" t="s">
        <v>10</v>
      </c>
      <c r="F379" t="s">
        <v>632</v>
      </c>
      <c r="G379" s="74">
        <v>1.4889531999999999E-6</v>
      </c>
      <c r="H379">
        <v>0</v>
      </c>
      <c r="I379" s="74">
        <v>1.6575132000000001E-7</v>
      </c>
      <c r="J379" s="74">
        <v>4.3284971000000002E-7</v>
      </c>
      <c r="K379" s="74">
        <v>1.9928218999999999E-10</v>
      </c>
      <c r="L379" s="74">
        <v>6.2178582999999997E-7</v>
      </c>
      <c r="M379" s="74">
        <v>2.6836701000000002E-7</v>
      </c>
    </row>
    <row r="380" spans="3:13" x14ac:dyDescent="0.25">
      <c r="C380">
        <v>354</v>
      </c>
      <c r="D380" t="s">
        <v>640</v>
      </c>
      <c r="E380" t="s">
        <v>10</v>
      </c>
      <c r="F380" t="s">
        <v>192</v>
      </c>
      <c r="G380" s="74">
        <v>1.7074167999999999E-6</v>
      </c>
      <c r="H380">
        <v>0</v>
      </c>
      <c r="I380" s="74">
        <v>4.4328827000000001E-8</v>
      </c>
      <c r="J380" s="74">
        <v>2.3504279E-7</v>
      </c>
      <c r="K380" s="74">
        <v>3.3961865E-10</v>
      </c>
      <c r="L380" s="74">
        <v>1.8737444E-7</v>
      </c>
      <c r="M380" s="74">
        <v>1.2403311E-6</v>
      </c>
    </row>
    <row r="381" spans="3:13" x14ac:dyDescent="0.25">
      <c r="C381">
        <v>355</v>
      </c>
      <c r="D381" t="s">
        <v>642</v>
      </c>
      <c r="E381" t="s">
        <v>10</v>
      </c>
      <c r="F381" t="s">
        <v>192</v>
      </c>
      <c r="G381">
        <v>3.1952309000000002E-4</v>
      </c>
      <c r="H381">
        <v>0</v>
      </c>
      <c r="I381" s="74">
        <v>2.8827409999999998E-5</v>
      </c>
      <c r="J381">
        <v>1.0741586999999999E-4</v>
      </c>
      <c r="K381" s="74">
        <v>1.0997869E-7</v>
      </c>
      <c r="L381">
        <v>1.1284592E-4</v>
      </c>
      <c r="M381" s="74">
        <v>7.0323912999999995E-5</v>
      </c>
    </row>
    <row r="382" spans="3:13" x14ac:dyDescent="0.25">
      <c r="C382">
        <v>356</v>
      </c>
      <c r="D382" t="s">
        <v>643</v>
      </c>
      <c r="E382" t="s">
        <v>10</v>
      </c>
      <c r="F382" t="s">
        <v>305</v>
      </c>
      <c r="G382">
        <v>0.97979967000000001</v>
      </c>
      <c r="H382">
        <v>0</v>
      </c>
      <c r="I382">
        <v>1.6085349000000001E-3</v>
      </c>
      <c r="J382">
        <v>4.0920727000000002E-3</v>
      </c>
      <c r="K382" s="74">
        <v>3.1366696000000001E-5</v>
      </c>
      <c r="L382">
        <v>3.0710358E-3</v>
      </c>
      <c r="M382">
        <v>0.97099665999999996</v>
      </c>
    </row>
    <row r="383" spans="3:13" x14ac:dyDescent="0.25">
      <c r="C383">
        <v>357</v>
      </c>
      <c r="D383" t="s">
        <v>645</v>
      </c>
      <c r="E383" t="s">
        <v>10</v>
      </c>
      <c r="F383" t="s">
        <v>305</v>
      </c>
      <c r="G383">
        <v>5.4706200999999997</v>
      </c>
      <c r="H383">
        <v>0</v>
      </c>
      <c r="I383">
        <v>7.4108599000000004E-3</v>
      </c>
      <c r="J383">
        <v>1.9064948000000002E-2</v>
      </c>
      <c r="K383">
        <v>1.4054087E-4</v>
      </c>
      <c r="L383">
        <v>1.4203281E-2</v>
      </c>
      <c r="M383">
        <v>5.4298004999999998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6CE2-588A-40CE-9BA8-F52B2CBD13E2}">
  <dimension ref="A2:U49"/>
  <sheetViews>
    <sheetView tabSelected="1" topLeftCell="A19" zoomScale="84" workbookViewId="0">
      <selection activeCell="K27" sqref="K27:L27"/>
    </sheetView>
  </sheetViews>
  <sheetFormatPr defaultRowHeight="15" x14ac:dyDescent="0.25"/>
  <cols>
    <col min="1" max="1" width="31.140625" customWidth="1"/>
    <col min="2" max="2" width="17.85546875" customWidth="1"/>
    <col min="3" max="3" width="18.140625" customWidth="1"/>
    <col min="4" max="4" width="17.42578125" customWidth="1"/>
    <col min="5" max="5" width="16.7109375" customWidth="1"/>
    <col min="6" max="6" width="15.140625" customWidth="1"/>
    <col min="7" max="7" width="15.28515625" customWidth="1"/>
    <col min="8" max="8" width="13.42578125" customWidth="1"/>
    <col min="9" max="9" width="20.5703125" customWidth="1"/>
    <col min="11" max="11" width="12.85546875" customWidth="1"/>
    <col min="12" max="12" width="16.42578125" customWidth="1"/>
    <col min="13" max="13" width="16.5703125" customWidth="1"/>
  </cols>
  <sheetData>
    <row r="2" spans="1:21" x14ac:dyDescent="0.25">
      <c r="A2" t="s">
        <v>250</v>
      </c>
      <c r="B2" t="s">
        <v>251</v>
      </c>
    </row>
    <row r="3" spans="1:21" x14ac:dyDescent="0.25">
      <c r="A3" t="s">
        <v>252</v>
      </c>
      <c r="B3" t="s">
        <v>646</v>
      </c>
    </row>
    <row r="4" spans="1:21" x14ac:dyDescent="0.25">
      <c r="A4" t="s">
        <v>254</v>
      </c>
      <c r="B4" t="s">
        <v>255</v>
      </c>
    </row>
    <row r="5" spans="1:21" x14ac:dyDescent="0.25">
      <c r="A5" t="s">
        <v>256</v>
      </c>
      <c r="B5" t="s">
        <v>257</v>
      </c>
    </row>
    <row r="6" spans="1:21" x14ac:dyDescent="0.25">
      <c r="A6" t="s">
        <v>258</v>
      </c>
      <c r="B6" t="s">
        <v>826</v>
      </c>
    </row>
    <row r="7" spans="1:21" x14ac:dyDescent="0.25">
      <c r="A7" t="s">
        <v>648</v>
      </c>
      <c r="B7" t="s">
        <v>649</v>
      </c>
    </row>
    <row r="8" spans="1:21" x14ac:dyDescent="0.25">
      <c r="A8" t="s">
        <v>265</v>
      </c>
      <c r="B8" t="s">
        <v>262</v>
      </c>
    </row>
    <row r="9" spans="1:21" x14ac:dyDescent="0.25">
      <c r="A9" t="s">
        <v>266</v>
      </c>
      <c r="B9" t="s">
        <v>262</v>
      </c>
    </row>
    <row r="10" spans="1:21" x14ac:dyDescent="0.25">
      <c r="A10" t="s">
        <v>267</v>
      </c>
      <c r="B10" t="s">
        <v>827</v>
      </c>
    </row>
    <row r="11" spans="1:21" x14ac:dyDescent="0.25">
      <c r="A11" t="s">
        <v>269</v>
      </c>
      <c r="B11" t="s">
        <v>270</v>
      </c>
    </row>
    <row r="13" spans="1:21" ht="51.95" customHeight="1" x14ac:dyDescent="0.25">
      <c r="A13" t="s">
        <v>827</v>
      </c>
      <c r="B13" t="s">
        <v>272</v>
      </c>
      <c r="C13" t="s">
        <v>273</v>
      </c>
      <c r="D13" t="s">
        <v>274</v>
      </c>
      <c r="E13" t="s">
        <v>275</v>
      </c>
      <c r="F13" t="s">
        <v>276</v>
      </c>
      <c r="G13" t="s">
        <v>277</v>
      </c>
      <c r="H13" t="s">
        <v>11</v>
      </c>
      <c r="I13" s="75" t="s">
        <v>660</v>
      </c>
    </row>
    <row r="14" spans="1:21" x14ac:dyDescent="0.25">
      <c r="A14" t="s">
        <v>828</v>
      </c>
      <c r="B14" t="s">
        <v>829</v>
      </c>
      <c r="C14">
        <v>0.16462848999999999</v>
      </c>
      <c r="D14">
        <v>0</v>
      </c>
      <c r="E14">
        <v>1.7977678000000001E-3</v>
      </c>
      <c r="F14">
        <v>1.1801069000000001E-2</v>
      </c>
      <c r="G14" s="74">
        <v>7.4891522999999996E-5</v>
      </c>
      <c r="H14">
        <v>0.13661224</v>
      </c>
      <c r="I14">
        <v>1.4342515E-2</v>
      </c>
      <c r="R14" t="s">
        <v>857</v>
      </c>
      <c r="S14" t="s">
        <v>854</v>
      </c>
      <c r="T14" t="s">
        <v>855</v>
      </c>
    </row>
    <row r="15" spans="1:21" x14ac:dyDescent="0.25">
      <c r="A15" t="s">
        <v>830</v>
      </c>
      <c r="B15" t="s">
        <v>829</v>
      </c>
      <c r="C15">
        <v>8.8616476999999999E-2</v>
      </c>
      <c r="D15">
        <v>0</v>
      </c>
      <c r="E15">
        <v>4.8667401000000001E-3</v>
      </c>
      <c r="F15">
        <v>1.5439266E-2</v>
      </c>
      <c r="G15" s="74">
        <v>8.4089803000000004E-5</v>
      </c>
      <c r="H15">
        <v>1.8545461999999999E-2</v>
      </c>
      <c r="I15">
        <v>4.9680918999999997E-2</v>
      </c>
      <c r="R15" t="s">
        <v>275</v>
      </c>
      <c r="S15">
        <v>1039500</v>
      </c>
      <c r="U15">
        <f>S15/330</f>
        <v>3150</v>
      </c>
    </row>
    <row r="16" spans="1:21" x14ac:dyDescent="0.25">
      <c r="A16" t="s">
        <v>831</v>
      </c>
      <c r="B16" t="s">
        <v>832</v>
      </c>
      <c r="C16">
        <v>4.0634047000000003E-3</v>
      </c>
      <c r="D16">
        <v>0</v>
      </c>
      <c r="E16">
        <v>1.7462325E-4</v>
      </c>
      <c r="F16">
        <v>7.6687287999999999E-4</v>
      </c>
      <c r="G16" s="74">
        <v>2.5255697000000002E-6</v>
      </c>
      <c r="H16">
        <v>1.1916009E-3</v>
      </c>
      <c r="I16">
        <v>1.9277821000000001E-3</v>
      </c>
      <c r="R16" t="s">
        <v>276</v>
      </c>
      <c r="S16">
        <v>1740014.45</v>
      </c>
      <c r="U16">
        <f t="shared" ref="U16" si="0">S16/330</f>
        <v>5272.77106060606</v>
      </c>
    </row>
    <row r="17" spans="1:21" x14ac:dyDescent="0.25">
      <c r="A17" t="s">
        <v>833</v>
      </c>
      <c r="B17" t="s">
        <v>834</v>
      </c>
      <c r="C17">
        <v>257.26047999999997</v>
      </c>
      <c r="D17">
        <v>0</v>
      </c>
      <c r="E17">
        <v>1.2295130999999999</v>
      </c>
      <c r="F17">
        <v>3.3634176999999998</v>
      </c>
      <c r="G17">
        <v>2.5132425E-2</v>
      </c>
      <c r="H17">
        <v>2.6027805000000002</v>
      </c>
      <c r="I17">
        <v>250.03963999999999</v>
      </c>
      <c r="R17" t="s">
        <v>277</v>
      </c>
      <c r="S17">
        <v>7615377</v>
      </c>
      <c r="U17">
        <f>S17/330</f>
        <v>23076.9</v>
      </c>
    </row>
    <row r="18" spans="1:21" x14ac:dyDescent="0.25">
      <c r="A18" t="s">
        <v>835</v>
      </c>
      <c r="B18" t="s">
        <v>836</v>
      </c>
      <c r="C18" s="74">
        <v>4.9363220000000005E-7</v>
      </c>
      <c r="D18">
        <v>0</v>
      </c>
      <c r="E18" s="74">
        <v>7.2438778000000001E-9</v>
      </c>
      <c r="F18" s="74">
        <v>4.5317598999999997E-8</v>
      </c>
      <c r="G18" s="74">
        <v>3.1299494E-10</v>
      </c>
      <c r="H18" s="74">
        <v>3.8395170999999999E-8</v>
      </c>
      <c r="I18" s="74">
        <v>4.0236255999999998E-7</v>
      </c>
      <c r="R18" t="s">
        <v>11</v>
      </c>
      <c r="S18">
        <v>4009500</v>
      </c>
      <c r="T18">
        <v>200541</v>
      </c>
      <c r="U18">
        <f t="shared" ref="U18" si="1">S18/330</f>
        <v>12150</v>
      </c>
    </row>
    <row r="19" spans="1:21" x14ac:dyDescent="0.25">
      <c r="A19" t="s">
        <v>837</v>
      </c>
      <c r="B19" t="s">
        <v>838</v>
      </c>
      <c r="C19">
        <v>3.7377796999999999E-3</v>
      </c>
      <c r="D19">
        <v>0</v>
      </c>
      <c r="E19" s="74">
        <v>2.6763686000000001E-5</v>
      </c>
      <c r="F19">
        <v>1.2590371E-4</v>
      </c>
      <c r="G19" s="74">
        <v>4.5609979999999998E-7</v>
      </c>
      <c r="H19">
        <v>3.1013768000000001E-3</v>
      </c>
      <c r="I19">
        <v>4.8327948000000001E-4</v>
      </c>
      <c r="R19" t="s">
        <v>856</v>
      </c>
      <c r="T19">
        <v>18185112</v>
      </c>
      <c r="U19">
        <f>T19/330</f>
        <v>55106.400000000001</v>
      </c>
    </row>
    <row r="20" spans="1:21" x14ac:dyDescent="0.25">
      <c r="A20" t="s">
        <v>839</v>
      </c>
      <c r="B20" t="s">
        <v>840</v>
      </c>
      <c r="C20">
        <v>455.84381999999999</v>
      </c>
      <c r="D20">
        <v>0</v>
      </c>
      <c r="E20">
        <v>23.664072000000001</v>
      </c>
      <c r="F20">
        <v>87.429699999999997</v>
      </c>
      <c r="G20">
        <v>0.21267752000000001</v>
      </c>
      <c r="H20">
        <v>116.13248</v>
      </c>
      <c r="I20">
        <v>228.4049</v>
      </c>
    </row>
    <row r="21" spans="1:21" x14ac:dyDescent="0.25">
      <c r="A21" t="s">
        <v>841</v>
      </c>
      <c r="B21" t="s">
        <v>842</v>
      </c>
      <c r="C21">
        <v>100.19541</v>
      </c>
      <c r="D21">
        <v>0</v>
      </c>
      <c r="E21">
        <v>6.9372321000000001</v>
      </c>
      <c r="F21">
        <v>29.664373999999999</v>
      </c>
      <c r="G21">
        <v>5.4378073999999998E-2</v>
      </c>
      <c r="H21">
        <v>32.592308000000003</v>
      </c>
      <c r="I21">
        <v>30.947113999999999</v>
      </c>
    </row>
    <row r="22" spans="1:21" x14ac:dyDescent="0.25">
      <c r="A22" t="s">
        <v>843</v>
      </c>
      <c r="B22" t="s">
        <v>844</v>
      </c>
      <c r="C22">
        <v>7.5535435999999997E-2</v>
      </c>
      <c r="D22">
        <v>0</v>
      </c>
      <c r="E22">
        <v>2.3768700000000001E-3</v>
      </c>
      <c r="F22">
        <v>1.1291092000000001E-2</v>
      </c>
      <c r="G22" s="74">
        <v>2.7847000999999999E-5</v>
      </c>
      <c r="H22">
        <v>2.3979486000000001E-2</v>
      </c>
      <c r="I22">
        <v>3.7860141E-2</v>
      </c>
      <c r="N22">
        <v>1039500.0000000001</v>
      </c>
    </row>
    <row r="23" spans="1:21" x14ac:dyDescent="0.25">
      <c r="A23" t="s">
        <v>845</v>
      </c>
      <c r="B23" t="s">
        <v>846</v>
      </c>
      <c r="C23">
        <v>6.1235788999999999E-2</v>
      </c>
      <c r="D23">
        <v>0</v>
      </c>
      <c r="E23">
        <v>2.6822197999999998E-3</v>
      </c>
      <c r="F23">
        <v>1.6118027E-2</v>
      </c>
      <c r="G23" s="74">
        <v>1.8378908E-5</v>
      </c>
      <c r="H23">
        <v>1.2751035000000001E-2</v>
      </c>
      <c r="I23">
        <v>2.9666128999999999E-2</v>
      </c>
      <c r="N23">
        <v>1740014.457831325</v>
      </c>
    </row>
    <row r="24" spans="1:21" x14ac:dyDescent="0.25">
      <c r="A24" t="s">
        <v>847</v>
      </c>
      <c r="B24" t="s">
        <v>844</v>
      </c>
      <c r="C24">
        <v>1.9036259E-2</v>
      </c>
      <c r="D24">
        <v>0</v>
      </c>
      <c r="E24">
        <v>6.4295547000000003E-4</v>
      </c>
      <c r="F24">
        <v>4.1751414000000004E-3</v>
      </c>
      <c r="G24" s="74">
        <v>7.5537095000000004E-6</v>
      </c>
      <c r="H24">
        <v>6.7029285000000001E-3</v>
      </c>
      <c r="I24">
        <v>7.5076798E-3</v>
      </c>
      <c r="N24">
        <v>7615485.5421686759</v>
      </c>
    </row>
    <row r="25" spans="1:21" x14ac:dyDescent="0.25">
      <c r="A25" t="s">
        <v>848</v>
      </c>
      <c r="B25" t="s">
        <v>849</v>
      </c>
      <c r="C25">
        <v>2.2451073000000002E-3</v>
      </c>
      <c r="D25">
        <v>0</v>
      </c>
      <c r="E25" s="74">
        <v>5.8804261999999998E-5</v>
      </c>
      <c r="F25">
        <v>2.0857598999999999E-4</v>
      </c>
      <c r="G25" s="74">
        <v>3.3280566000000001E-7</v>
      </c>
      <c r="H25">
        <v>1.7566379E-3</v>
      </c>
      <c r="I25">
        <v>2.2075630000000001E-4</v>
      </c>
    </row>
    <row r="26" spans="1:21" x14ac:dyDescent="0.25">
      <c r="A26" t="s">
        <v>850</v>
      </c>
      <c r="B26" t="s">
        <v>657</v>
      </c>
      <c r="C26">
        <v>3.9702025999999999</v>
      </c>
      <c r="D26">
        <v>0</v>
      </c>
      <c r="E26">
        <v>9.9304656000000005E-2</v>
      </c>
      <c r="F26">
        <v>0.38892611999999999</v>
      </c>
      <c r="G26">
        <v>1.4371620000000001E-3</v>
      </c>
      <c r="H26">
        <v>1.6372819000000001</v>
      </c>
      <c r="I26">
        <v>1.8432527000000001</v>
      </c>
    </row>
    <row r="27" spans="1:21" x14ac:dyDescent="0.25">
      <c r="A27" t="s">
        <v>851</v>
      </c>
      <c r="B27" t="s">
        <v>659</v>
      </c>
      <c r="C27">
        <v>138.49816999999999</v>
      </c>
      <c r="D27">
        <v>0</v>
      </c>
      <c r="E27">
        <v>1.3689119000000001</v>
      </c>
      <c r="F27">
        <v>6.5245077</v>
      </c>
      <c r="G27">
        <v>2.2049033999999999E-2</v>
      </c>
      <c r="H27">
        <v>66.188508999999996</v>
      </c>
      <c r="I27">
        <v>64.394192000000004</v>
      </c>
      <c r="K27" s="80" t="s">
        <v>903</v>
      </c>
      <c r="L27" s="80"/>
    </row>
    <row r="28" spans="1:21" x14ac:dyDescent="0.25">
      <c r="A28" t="s">
        <v>852</v>
      </c>
      <c r="B28" t="s">
        <v>853</v>
      </c>
      <c r="C28">
        <v>0.17962866999999999</v>
      </c>
      <c r="D28">
        <v>0</v>
      </c>
      <c r="E28">
        <v>1.8621533999999999E-2</v>
      </c>
      <c r="F28">
        <v>6.3937517999999999E-2</v>
      </c>
      <c r="G28" s="74">
        <v>5.0861115000000001E-5</v>
      </c>
      <c r="H28">
        <v>6.9922079999999998E-2</v>
      </c>
      <c r="I28">
        <v>2.7096681000000001E-2</v>
      </c>
      <c r="K28" s="90" t="s">
        <v>902</v>
      </c>
      <c r="L28" s="90"/>
    </row>
    <row r="29" spans="1:21" ht="30" x14ac:dyDescent="0.25">
      <c r="K29" s="77" t="str">
        <f>A21</f>
        <v>Terrestrial ecotoxicity</v>
      </c>
      <c r="L29" s="77" t="str">
        <f>A20</f>
        <v>Aquatic ecotoxicity</v>
      </c>
    </row>
    <row r="30" spans="1:21" x14ac:dyDescent="0.25">
      <c r="D30" t="s">
        <v>900</v>
      </c>
      <c r="E30">
        <v>6.33</v>
      </c>
      <c r="F30">
        <v>234</v>
      </c>
      <c r="G30">
        <v>0.34</v>
      </c>
      <c r="K30" s="24">
        <f>L35</f>
        <v>420138.43540606054</v>
      </c>
      <c r="L30" s="24">
        <f>M35</f>
        <v>1261614.0741818179</v>
      </c>
    </row>
    <row r="31" spans="1:21" x14ac:dyDescent="0.25">
      <c r="D31" t="s">
        <v>901</v>
      </c>
      <c r="E31">
        <v>1.86</v>
      </c>
      <c r="F31">
        <v>79.3</v>
      </c>
      <c r="G31">
        <v>8.6999999999999994E-2</v>
      </c>
      <c r="K31" s="24" t="s">
        <v>899</v>
      </c>
      <c r="L31" s="24" t="s">
        <v>840</v>
      </c>
    </row>
    <row r="33" spans="1:13" x14ac:dyDescent="0.25">
      <c r="A33" t="s">
        <v>250</v>
      </c>
      <c r="B33" t="s">
        <v>251</v>
      </c>
    </row>
    <row r="34" spans="1:13" x14ac:dyDescent="0.25">
      <c r="A34" t="s">
        <v>252</v>
      </c>
      <c r="B34" t="s">
        <v>646</v>
      </c>
    </row>
    <row r="35" spans="1:13" x14ac:dyDescent="0.25">
      <c r="A35" t="s">
        <v>254</v>
      </c>
      <c r="B35" t="s">
        <v>255</v>
      </c>
      <c r="L35">
        <f>U31*U15+(F31*U16)+(G31*U17)</f>
        <v>420138.43540606054</v>
      </c>
      <c r="M35">
        <f>E30*U15+(F30*U16)+(G30*U17)</f>
        <v>1261614.0741818179</v>
      </c>
    </row>
    <row r="36" spans="1:13" x14ac:dyDescent="0.25">
      <c r="A36" t="s">
        <v>256</v>
      </c>
      <c r="B36" t="s">
        <v>257</v>
      </c>
    </row>
    <row r="37" spans="1:13" x14ac:dyDescent="0.25">
      <c r="A37" t="s">
        <v>258</v>
      </c>
      <c r="B37" t="s">
        <v>859</v>
      </c>
    </row>
    <row r="38" spans="1:13" x14ac:dyDescent="0.25">
      <c r="A38" t="s">
        <v>648</v>
      </c>
      <c r="B38" t="s">
        <v>649</v>
      </c>
    </row>
    <row r="39" spans="1:13" x14ac:dyDescent="0.25">
      <c r="A39" t="s">
        <v>265</v>
      </c>
      <c r="B39" t="s">
        <v>262</v>
      </c>
    </row>
    <row r="40" spans="1:13" x14ac:dyDescent="0.25">
      <c r="A40" t="s">
        <v>266</v>
      </c>
      <c r="B40" t="s">
        <v>262</v>
      </c>
    </row>
    <row r="41" spans="1:13" x14ac:dyDescent="0.25">
      <c r="A41" t="s">
        <v>650</v>
      </c>
      <c r="B41" t="s">
        <v>262</v>
      </c>
    </row>
    <row r="42" spans="1:13" x14ac:dyDescent="0.25">
      <c r="A42" t="s">
        <v>267</v>
      </c>
      <c r="B42" t="s">
        <v>651</v>
      </c>
    </row>
    <row r="43" spans="1:13" x14ac:dyDescent="0.25">
      <c r="A43" t="s">
        <v>269</v>
      </c>
      <c r="B43" t="s">
        <v>270</v>
      </c>
    </row>
    <row r="45" spans="1:13" ht="60" x14ac:dyDescent="0.25">
      <c r="A45" t="s">
        <v>651</v>
      </c>
      <c r="B45" t="s">
        <v>272</v>
      </c>
      <c r="C45" t="s">
        <v>273</v>
      </c>
      <c r="D45" t="s">
        <v>274</v>
      </c>
      <c r="E45" t="s">
        <v>275</v>
      </c>
      <c r="F45" t="s">
        <v>276</v>
      </c>
      <c r="G45" t="s">
        <v>277</v>
      </c>
      <c r="H45" t="s">
        <v>11</v>
      </c>
      <c r="I45" s="75" t="s">
        <v>660</v>
      </c>
    </row>
    <row r="46" spans="1:13" x14ac:dyDescent="0.25">
      <c r="A46" t="s">
        <v>652</v>
      </c>
      <c r="B46" t="s">
        <v>653</v>
      </c>
      <c r="C46">
        <v>5.0985229000000002E-4</v>
      </c>
      <c r="D46">
        <v>0</v>
      </c>
      <c r="E46" s="74">
        <v>1.9911978000000002E-5</v>
      </c>
      <c r="F46" s="74">
        <v>8.6588950000000004E-5</v>
      </c>
      <c r="G46" s="74">
        <v>3.1296705000000002E-7</v>
      </c>
      <c r="H46">
        <v>1.7988146000000001E-4</v>
      </c>
      <c r="I46">
        <v>2.2315693000000001E-4</v>
      </c>
    </row>
    <row r="47" spans="1:13" x14ac:dyDescent="0.25">
      <c r="A47" t="s">
        <v>654</v>
      </c>
      <c r="B47" t="s">
        <v>860</v>
      </c>
      <c r="C47" s="74">
        <v>7.0133501000000005E-5</v>
      </c>
      <c r="D47">
        <v>0</v>
      </c>
      <c r="E47" s="74">
        <v>4.4863614999999996E-6</v>
      </c>
      <c r="F47" s="74">
        <v>1.9589226E-5</v>
      </c>
      <c r="G47" s="74">
        <v>3.5755462999999997E-8</v>
      </c>
      <c r="H47" s="74">
        <v>2.2080478E-5</v>
      </c>
      <c r="I47" s="74">
        <v>2.394168E-5</v>
      </c>
    </row>
    <row r="48" spans="1:13" x14ac:dyDescent="0.25">
      <c r="A48" t="s">
        <v>656</v>
      </c>
      <c r="B48" t="s">
        <v>657</v>
      </c>
      <c r="C48">
        <v>4.0099046E-4</v>
      </c>
      <c r="D48">
        <v>0</v>
      </c>
      <c r="E48" s="74">
        <v>1.002977E-5</v>
      </c>
      <c r="F48" s="74">
        <v>3.9281537999999997E-5</v>
      </c>
      <c r="G48" s="74">
        <v>1.4515337E-7</v>
      </c>
      <c r="H48">
        <v>1.6536546999999999E-4</v>
      </c>
      <c r="I48">
        <v>1.8616851999999999E-4</v>
      </c>
    </row>
    <row r="49" spans="1:9" x14ac:dyDescent="0.25">
      <c r="A49" t="s">
        <v>658</v>
      </c>
      <c r="B49" t="s">
        <v>659</v>
      </c>
      <c r="C49">
        <v>9.1249991000000004E-4</v>
      </c>
      <c r="D49">
        <v>0</v>
      </c>
      <c r="E49" s="74">
        <v>9.1299701000000002E-6</v>
      </c>
      <c r="F49" s="74">
        <v>4.3351969999999999E-5</v>
      </c>
      <c r="G49" s="74">
        <v>1.4541731E-7</v>
      </c>
      <c r="H49">
        <v>4.3598048000000002E-4</v>
      </c>
      <c r="I49">
        <v>4.2389207999999999E-4</v>
      </c>
    </row>
  </sheetData>
  <mergeCells count="2">
    <mergeCell ref="K28:L28"/>
    <mergeCell ref="K27:L2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4B2A-76AE-4330-84E1-2DDA086C5522}">
  <dimension ref="A2:K372"/>
  <sheetViews>
    <sheetView topLeftCell="A33" workbookViewId="0">
      <selection activeCell="F150" sqref="F150"/>
    </sheetView>
  </sheetViews>
  <sheetFormatPr defaultRowHeight="15" x14ac:dyDescent="0.25"/>
  <cols>
    <col min="1" max="1" width="27.42578125" customWidth="1"/>
    <col min="2" max="2" width="16.42578125" customWidth="1"/>
    <col min="3" max="3" width="15.5703125" customWidth="1"/>
    <col min="5" max="5" width="14.28515625" customWidth="1"/>
    <col min="6" max="6" width="12.42578125" customWidth="1"/>
    <col min="7" max="7" width="14.7109375" customWidth="1"/>
    <col min="8" max="8" width="13.28515625" customWidth="1"/>
    <col min="9" max="9" width="11.140625" customWidth="1"/>
    <col min="10" max="10" width="10.7109375" customWidth="1"/>
    <col min="11" max="11" width="30.5703125" customWidth="1"/>
  </cols>
  <sheetData>
    <row r="2" spans="1:11" x14ac:dyDescent="0.25">
      <c r="A2" t="s">
        <v>250</v>
      </c>
      <c r="B2" t="s">
        <v>251</v>
      </c>
    </row>
    <row r="3" spans="1:11" x14ac:dyDescent="0.25">
      <c r="A3" t="s">
        <v>252</v>
      </c>
      <c r="B3" t="s">
        <v>253</v>
      </c>
    </row>
    <row r="4" spans="1:11" x14ac:dyDescent="0.25">
      <c r="A4" t="s">
        <v>254</v>
      </c>
      <c r="B4" t="s">
        <v>255</v>
      </c>
    </row>
    <row r="5" spans="1:11" x14ac:dyDescent="0.25">
      <c r="A5" t="s">
        <v>256</v>
      </c>
      <c r="B5" t="s">
        <v>257</v>
      </c>
    </row>
    <row r="6" spans="1:11" x14ac:dyDescent="0.25">
      <c r="A6" t="s">
        <v>258</v>
      </c>
      <c r="B6" t="s">
        <v>253</v>
      </c>
    </row>
    <row r="7" spans="1:11" x14ac:dyDescent="0.25">
      <c r="A7" t="s">
        <v>259</v>
      </c>
      <c r="B7" t="s">
        <v>10</v>
      </c>
    </row>
    <row r="8" spans="1:11" x14ac:dyDescent="0.25">
      <c r="A8" t="s">
        <v>261</v>
      </c>
      <c r="B8" t="s">
        <v>262</v>
      </c>
    </row>
    <row r="9" spans="1:11" x14ac:dyDescent="0.25">
      <c r="A9" t="s">
        <v>263</v>
      </c>
      <c r="B9" t="s">
        <v>264</v>
      </c>
    </row>
    <row r="10" spans="1:11" x14ac:dyDescent="0.25">
      <c r="A10" t="s">
        <v>265</v>
      </c>
      <c r="B10" t="s">
        <v>262</v>
      </c>
    </row>
    <row r="11" spans="1:11" x14ac:dyDescent="0.25">
      <c r="A11" t="s">
        <v>266</v>
      </c>
      <c r="B11" t="s">
        <v>262</v>
      </c>
    </row>
    <row r="12" spans="1:11" x14ac:dyDescent="0.25">
      <c r="A12" t="s">
        <v>267</v>
      </c>
      <c r="B12" t="s">
        <v>268</v>
      </c>
    </row>
    <row r="13" spans="1:11" x14ac:dyDescent="0.25">
      <c r="A13" t="s">
        <v>269</v>
      </c>
      <c r="B13" t="s">
        <v>270</v>
      </c>
    </row>
    <row r="15" spans="1:11" ht="45" x14ac:dyDescent="0.25">
      <c r="A15" t="s">
        <v>262</v>
      </c>
      <c r="B15" t="s">
        <v>268</v>
      </c>
      <c r="C15" t="s">
        <v>271</v>
      </c>
      <c r="D15" t="s">
        <v>272</v>
      </c>
      <c r="E15" t="s">
        <v>273</v>
      </c>
      <c r="F15" t="s">
        <v>274</v>
      </c>
      <c r="G15" t="s">
        <v>275</v>
      </c>
      <c r="H15" t="s">
        <v>276</v>
      </c>
      <c r="I15" t="s">
        <v>277</v>
      </c>
      <c r="J15" t="s">
        <v>11</v>
      </c>
      <c r="K15" s="75" t="s">
        <v>660</v>
      </c>
    </row>
    <row r="16" spans="1:11" x14ac:dyDescent="0.25">
      <c r="A16">
        <v>1</v>
      </c>
      <c r="B16" t="s">
        <v>278</v>
      </c>
      <c r="C16" t="s">
        <v>10</v>
      </c>
      <c r="D16" t="s">
        <v>192</v>
      </c>
      <c r="E16" s="74">
        <v>6.6859433999999996E-9</v>
      </c>
      <c r="F16">
        <v>0</v>
      </c>
      <c r="G16" s="74">
        <v>4.9384620000000004E-10</v>
      </c>
      <c r="H16" s="74">
        <v>3.3457513E-9</v>
      </c>
      <c r="I16" s="74">
        <v>2.6268306E-12</v>
      </c>
      <c r="J16" s="74">
        <v>1.9346685999999999E-9</v>
      </c>
      <c r="K16" s="74">
        <v>9.0905045999999996E-10</v>
      </c>
    </row>
    <row r="17" spans="1:11" x14ac:dyDescent="0.25">
      <c r="A17">
        <v>2</v>
      </c>
      <c r="B17" t="s">
        <v>279</v>
      </c>
      <c r="C17" t="s">
        <v>10</v>
      </c>
      <c r="D17" t="s">
        <v>192</v>
      </c>
      <c r="E17" s="74">
        <v>6.3919842E-13</v>
      </c>
      <c r="F17">
        <v>0</v>
      </c>
      <c r="G17" s="74">
        <v>3.9039705E-14</v>
      </c>
      <c r="H17" s="74">
        <v>2.2234487999999999E-13</v>
      </c>
      <c r="I17" s="74">
        <v>3.0577218999999999E-16</v>
      </c>
      <c r="J17" s="74">
        <v>1.636003E-13</v>
      </c>
      <c r="K17" s="74">
        <v>2.1390775999999999E-13</v>
      </c>
    </row>
    <row r="18" spans="1:11" x14ac:dyDescent="0.25">
      <c r="A18">
        <v>3</v>
      </c>
      <c r="B18" t="s">
        <v>280</v>
      </c>
      <c r="C18" t="s">
        <v>10</v>
      </c>
      <c r="D18" t="s">
        <v>192</v>
      </c>
      <c r="E18" s="74">
        <v>4.8303070000000001E-13</v>
      </c>
      <c r="F18">
        <v>0</v>
      </c>
      <c r="G18" s="74">
        <v>2.9501564000000003E-14</v>
      </c>
      <c r="H18" s="74">
        <v>1.6802206000000001E-13</v>
      </c>
      <c r="I18" s="74">
        <v>2.3106622000000002E-16</v>
      </c>
      <c r="J18" s="74">
        <v>1.2362970999999999E-13</v>
      </c>
      <c r="K18" s="74">
        <v>1.6164630000000001E-13</v>
      </c>
    </row>
    <row r="19" spans="1:11" x14ac:dyDescent="0.25">
      <c r="A19">
        <v>4</v>
      </c>
      <c r="B19" t="s">
        <v>281</v>
      </c>
      <c r="C19" t="s">
        <v>10</v>
      </c>
      <c r="D19" t="s">
        <v>192</v>
      </c>
      <c r="E19" s="74">
        <v>1.7069092E-12</v>
      </c>
      <c r="F19">
        <v>0</v>
      </c>
      <c r="G19" s="74">
        <v>8.5724997999999996E-14</v>
      </c>
      <c r="H19" s="74">
        <v>6.3140418000000005E-13</v>
      </c>
      <c r="I19" s="74">
        <v>6.3476477000000001E-16</v>
      </c>
      <c r="J19" s="74">
        <v>3.7960218999999999E-13</v>
      </c>
      <c r="K19" s="74">
        <v>6.0954305999999997E-13</v>
      </c>
    </row>
    <row r="20" spans="1:11" x14ac:dyDescent="0.25">
      <c r="A20">
        <v>5</v>
      </c>
      <c r="B20" t="s">
        <v>666</v>
      </c>
      <c r="C20" t="s">
        <v>10</v>
      </c>
      <c r="D20" t="s">
        <v>192</v>
      </c>
      <c r="E20" s="74">
        <v>2.2858227000000001E-8</v>
      </c>
      <c r="F20">
        <v>0</v>
      </c>
      <c r="G20" s="74">
        <v>1.0225959999999999E-9</v>
      </c>
      <c r="H20" s="74">
        <v>1.0482046999999999E-8</v>
      </c>
      <c r="I20" s="74">
        <v>1.1657352E-11</v>
      </c>
      <c r="J20" s="74">
        <v>7.9759370999999996E-9</v>
      </c>
      <c r="K20" s="74">
        <v>3.3659900999999999E-9</v>
      </c>
    </row>
    <row r="21" spans="1:11" x14ac:dyDescent="0.25">
      <c r="A21">
        <v>6</v>
      </c>
      <c r="B21" t="s">
        <v>282</v>
      </c>
      <c r="C21" t="s">
        <v>10</v>
      </c>
      <c r="D21" t="s">
        <v>192</v>
      </c>
      <c r="E21" s="74">
        <v>3.7877850000000002E-11</v>
      </c>
      <c r="F21">
        <v>0</v>
      </c>
      <c r="G21" s="74">
        <v>4.1322079000000002E-12</v>
      </c>
      <c r="H21" s="74">
        <v>1.2355614E-11</v>
      </c>
      <c r="I21" s="74">
        <v>6.5341211000000004E-15</v>
      </c>
      <c r="J21" s="74">
        <v>1.7579627E-11</v>
      </c>
      <c r="K21" s="74">
        <v>3.8038675999999999E-12</v>
      </c>
    </row>
    <row r="22" spans="1:11" x14ac:dyDescent="0.25">
      <c r="A22">
        <v>7</v>
      </c>
      <c r="B22" t="s">
        <v>283</v>
      </c>
      <c r="C22" t="s">
        <v>10</v>
      </c>
      <c r="D22" t="s">
        <v>192</v>
      </c>
      <c r="E22" s="74">
        <v>3.7979352000000001E-13</v>
      </c>
      <c r="F22">
        <v>0</v>
      </c>
      <c r="G22" s="74">
        <v>1.7405517000000001E-14</v>
      </c>
      <c r="H22" s="74">
        <v>1.3858464E-13</v>
      </c>
      <c r="I22" s="74">
        <v>1.3127816E-16</v>
      </c>
      <c r="J22" s="74">
        <v>9.4138032999999998E-14</v>
      </c>
      <c r="K22" s="74">
        <v>1.2953404999999999E-13</v>
      </c>
    </row>
    <row r="23" spans="1:11" x14ac:dyDescent="0.25">
      <c r="A23">
        <v>8</v>
      </c>
      <c r="B23" t="s">
        <v>284</v>
      </c>
      <c r="C23" t="s">
        <v>10</v>
      </c>
      <c r="D23" t="s">
        <v>192</v>
      </c>
      <c r="E23" s="74">
        <v>1.4192053E-14</v>
      </c>
      <c r="F23">
        <v>0</v>
      </c>
      <c r="G23" s="74">
        <v>1.2671228E-16</v>
      </c>
      <c r="H23" s="74">
        <v>9.1351169999999998E-15</v>
      </c>
      <c r="I23" s="74">
        <v>1.8859594000000001E-17</v>
      </c>
      <c r="J23" s="74">
        <v>4.3728675000000001E-15</v>
      </c>
      <c r="K23" s="74">
        <v>5.3849672999999997E-16</v>
      </c>
    </row>
    <row r="24" spans="1:11" x14ac:dyDescent="0.25">
      <c r="A24">
        <v>9</v>
      </c>
      <c r="B24" t="s">
        <v>285</v>
      </c>
      <c r="C24" t="s">
        <v>10</v>
      </c>
      <c r="D24" t="s">
        <v>192</v>
      </c>
      <c r="E24" s="74">
        <v>1.6739208000000001E-12</v>
      </c>
      <c r="F24">
        <v>0</v>
      </c>
      <c r="G24" s="74">
        <v>9.6308021999999998E-14</v>
      </c>
      <c r="H24" s="74">
        <v>5.4376736999999997E-13</v>
      </c>
      <c r="I24" s="74">
        <v>7.5474007E-16</v>
      </c>
      <c r="J24" s="74">
        <v>4.3720174000000001E-13</v>
      </c>
      <c r="K24" s="74">
        <v>5.9588888E-13</v>
      </c>
    </row>
    <row r="25" spans="1:11" x14ac:dyDescent="0.25">
      <c r="A25">
        <v>10</v>
      </c>
      <c r="B25" t="s">
        <v>286</v>
      </c>
      <c r="C25" t="s">
        <v>10</v>
      </c>
      <c r="D25" t="s">
        <v>192</v>
      </c>
      <c r="E25" s="74">
        <v>1.4542722000000001E-18</v>
      </c>
      <c r="F25">
        <v>0</v>
      </c>
      <c r="G25" s="74">
        <v>6.9389189999999995E-20</v>
      </c>
      <c r="H25" s="74">
        <v>4.9969369999999998E-19</v>
      </c>
      <c r="I25" s="74">
        <v>9.8470310999999996E-22</v>
      </c>
      <c r="J25" s="74">
        <v>8.6435778999999995E-19</v>
      </c>
      <c r="K25" s="74">
        <v>1.9846862000000001E-20</v>
      </c>
    </row>
    <row r="26" spans="1:11" x14ac:dyDescent="0.25">
      <c r="A26">
        <v>11</v>
      </c>
      <c r="B26" t="s">
        <v>288</v>
      </c>
      <c r="C26" t="s">
        <v>10</v>
      </c>
      <c r="D26" t="s">
        <v>192</v>
      </c>
      <c r="E26" s="74">
        <v>6.1093614999999997E-9</v>
      </c>
      <c r="F26">
        <v>0</v>
      </c>
      <c r="G26" s="74">
        <v>2.6427264999999997E-10</v>
      </c>
      <c r="H26" s="74">
        <v>3.2345316000000001E-9</v>
      </c>
      <c r="I26" s="74">
        <v>1.1360628000000001E-11</v>
      </c>
      <c r="J26" s="74">
        <v>1.0794773E-9</v>
      </c>
      <c r="K26" s="74">
        <v>1.5197193E-9</v>
      </c>
    </row>
    <row r="27" spans="1:11" x14ac:dyDescent="0.25">
      <c r="A27">
        <v>12</v>
      </c>
      <c r="B27" t="s">
        <v>290</v>
      </c>
      <c r="C27" t="s">
        <v>10</v>
      </c>
      <c r="D27" t="s">
        <v>192</v>
      </c>
      <c r="E27" s="74">
        <v>1.0635360999999999E-18</v>
      </c>
      <c r="F27">
        <v>0</v>
      </c>
      <c r="G27" s="74">
        <v>3.9588230999999997E-20</v>
      </c>
      <c r="H27" s="74">
        <v>3.6581977000000001E-19</v>
      </c>
      <c r="I27" s="74">
        <v>3.0970319E-22</v>
      </c>
      <c r="J27" s="74">
        <v>6.4218860999999998E-19</v>
      </c>
      <c r="K27" s="74">
        <v>1.5629826E-20</v>
      </c>
    </row>
    <row r="28" spans="1:11" x14ac:dyDescent="0.25">
      <c r="A28">
        <v>13</v>
      </c>
      <c r="B28" t="s">
        <v>291</v>
      </c>
      <c r="C28" t="s">
        <v>10</v>
      </c>
      <c r="D28" t="s">
        <v>192</v>
      </c>
      <c r="E28" s="74">
        <v>1.3720982999999999E-18</v>
      </c>
      <c r="F28">
        <v>0</v>
      </c>
      <c r="G28" s="74">
        <v>7.5833440999999998E-20</v>
      </c>
      <c r="H28" s="74">
        <v>4.7110117000000004E-19</v>
      </c>
      <c r="I28" s="74">
        <v>1.3103468999999999E-21</v>
      </c>
      <c r="J28" s="74">
        <v>8.0616416999999996E-19</v>
      </c>
      <c r="K28" s="74">
        <v>1.7689167999999999E-20</v>
      </c>
    </row>
    <row r="29" spans="1:11" x14ac:dyDescent="0.25">
      <c r="A29">
        <v>14</v>
      </c>
      <c r="B29" t="s">
        <v>667</v>
      </c>
      <c r="C29" t="s">
        <v>10</v>
      </c>
      <c r="D29" t="s">
        <v>192</v>
      </c>
      <c r="E29" s="74">
        <v>9.1448093999999997E-15</v>
      </c>
      <c r="F29">
        <v>0</v>
      </c>
      <c r="G29" s="74">
        <v>1.2340403E-18</v>
      </c>
      <c r="H29" s="74">
        <v>9.1215556000000007E-15</v>
      </c>
      <c r="I29" s="74">
        <v>2.175943E-20</v>
      </c>
      <c r="J29" s="74">
        <v>1.6574456999999999E-17</v>
      </c>
      <c r="K29" s="74">
        <v>5.4236395000000001E-18</v>
      </c>
    </row>
    <row r="30" spans="1:11" x14ac:dyDescent="0.25">
      <c r="A30">
        <v>15</v>
      </c>
      <c r="B30" t="s">
        <v>292</v>
      </c>
      <c r="C30" t="s">
        <v>10</v>
      </c>
      <c r="D30" t="s">
        <v>192</v>
      </c>
      <c r="E30" s="74">
        <v>5.6134688000000001E-9</v>
      </c>
      <c r="F30">
        <v>0</v>
      </c>
      <c r="G30" s="74">
        <v>1.7120655000000001E-11</v>
      </c>
      <c r="H30" s="74">
        <v>1.6511027999999999E-10</v>
      </c>
      <c r="I30" s="74">
        <v>3.3117038999999998E-13</v>
      </c>
      <c r="J30" s="74">
        <v>1.4280714999999999E-10</v>
      </c>
      <c r="K30" s="74">
        <v>5.2880995000000002E-9</v>
      </c>
    </row>
    <row r="31" spans="1:11" x14ac:dyDescent="0.25">
      <c r="A31">
        <v>16</v>
      </c>
      <c r="B31" t="s">
        <v>293</v>
      </c>
      <c r="C31" t="s">
        <v>10</v>
      </c>
      <c r="D31" t="s">
        <v>192</v>
      </c>
      <c r="E31" s="74">
        <v>5.1628706999999997E-11</v>
      </c>
      <c r="F31">
        <v>0</v>
      </c>
      <c r="G31" s="74">
        <v>2.9752568999999998E-12</v>
      </c>
      <c r="H31" s="74">
        <v>1.5387112999999999E-11</v>
      </c>
      <c r="I31" s="74">
        <v>1.9687824E-14</v>
      </c>
      <c r="J31" s="74">
        <v>1.2122110000000001E-11</v>
      </c>
      <c r="K31" s="74">
        <v>2.1124540000000001E-11</v>
      </c>
    </row>
    <row r="32" spans="1:11" x14ac:dyDescent="0.25">
      <c r="A32">
        <v>17</v>
      </c>
      <c r="B32" t="s">
        <v>294</v>
      </c>
      <c r="C32" t="s">
        <v>10</v>
      </c>
      <c r="D32" t="s">
        <v>192</v>
      </c>
      <c r="E32" s="74">
        <v>2.4587912000000002E-12</v>
      </c>
      <c r="F32">
        <v>0</v>
      </c>
      <c r="G32" s="74">
        <v>1.5791905999999999E-13</v>
      </c>
      <c r="H32" s="74">
        <v>7.8444854000000004E-13</v>
      </c>
      <c r="I32" s="74">
        <v>1.0617822000000001E-15</v>
      </c>
      <c r="J32" s="74">
        <v>6.1721380000000003E-13</v>
      </c>
      <c r="K32" s="74">
        <v>8.9814797999999995E-13</v>
      </c>
    </row>
    <row r="33" spans="1:11" x14ac:dyDescent="0.25">
      <c r="A33">
        <v>18</v>
      </c>
      <c r="B33" t="s">
        <v>296</v>
      </c>
      <c r="C33" t="s">
        <v>10</v>
      </c>
      <c r="D33" t="s">
        <v>192</v>
      </c>
      <c r="E33" s="74">
        <v>3.7175803999999999E-8</v>
      </c>
      <c r="F33">
        <v>0</v>
      </c>
      <c r="G33" s="74">
        <v>2.1808709E-9</v>
      </c>
      <c r="H33" s="74">
        <v>2.2834393000000001E-8</v>
      </c>
      <c r="I33" s="74">
        <v>1.9932167E-11</v>
      </c>
      <c r="J33" s="74">
        <v>8.5920155000000001E-9</v>
      </c>
      <c r="K33" s="74">
        <v>3.5485918999999998E-9</v>
      </c>
    </row>
    <row r="34" spans="1:11" x14ac:dyDescent="0.25">
      <c r="A34">
        <v>19</v>
      </c>
      <c r="B34" t="s">
        <v>298</v>
      </c>
      <c r="C34" t="s">
        <v>10</v>
      </c>
      <c r="D34" t="s">
        <v>192</v>
      </c>
      <c r="E34" s="74">
        <v>1.0477203E-7</v>
      </c>
      <c r="F34">
        <v>0</v>
      </c>
      <c r="G34" s="74">
        <v>1.2388137E-8</v>
      </c>
      <c r="H34" s="74">
        <v>4.0646521000000003E-8</v>
      </c>
      <c r="I34" s="74">
        <v>9.8042737000000001E-11</v>
      </c>
      <c r="J34" s="74">
        <v>4.7049741000000001E-8</v>
      </c>
      <c r="K34" s="74">
        <v>4.5895840999999998E-9</v>
      </c>
    </row>
    <row r="35" spans="1:11" x14ac:dyDescent="0.25">
      <c r="A35">
        <v>20</v>
      </c>
      <c r="B35" t="s">
        <v>299</v>
      </c>
      <c r="C35" t="s">
        <v>10</v>
      </c>
      <c r="D35" t="s">
        <v>192</v>
      </c>
      <c r="E35" s="74">
        <v>5.8214507000000001E-8</v>
      </c>
      <c r="F35">
        <v>0</v>
      </c>
      <c r="G35" s="74">
        <v>2.3281411000000001E-9</v>
      </c>
      <c r="H35" s="74">
        <v>6.0861340000000004E-9</v>
      </c>
      <c r="I35" s="74">
        <v>5.1740435999999998E-10</v>
      </c>
      <c r="J35" s="74">
        <v>7.9127993E-9</v>
      </c>
      <c r="K35" s="74">
        <v>4.1370028000000002E-8</v>
      </c>
    </row>
    <row r="36" spans="1:11" x14ac:dyDescent="0.25">
      <c r="A36">
        <v>21</v>
      </c>
      <c r="B36" t="s">
        <v>300</v>
      </c>
      <c r="C36" t="s">
        <v>10</v>
      </c>
      <c r="D36" t="s">
        <v>192</v>
      </c>
      <c r="E36" s="74">
        <v>3.6992000999999999E-13</v>
      </c>
      <c r="F36">
        <v>0</v>
      </c>
      <c r="G36" s="74">
        <v>2.0100257999999999E-14</v>
      </c>
      <c r="H36" s="74">
        <v>1.2529697000000001E-13</v>
      </c>
      <c r="I36" s="74">
        <v>1.3422273999999999E-16</v>
      </c>
      <c r="J36" s="74">
        <v>9.4590084999999995E-14</v>
      </c>
      <c r="K36" s="74">
        <v>1.2979847E-13</v>
      </c>
    </row>
    <row r="37" spans="1:11" x14ac:dyDescent="0.25">
      <c r="A37">
        <v>22</v>
      </c>
      <c r="B37" t="s">
        <v>668</v>
      </c>
      <c r="C37" t="s">
        <v>10</v>
      </c>
      <c r="D37" t="s">
        <v>192</v>
      </c>
      <c r="E37" s="74">
        <v>5.0213273999999999E-13</v>
      </c>
      <c r="F37">
        <v>0</v>
      </c>
      <c r="G37" s="74">
        <v>3.0668335E-14</v>
      </c>
      <c r="H37" s="74">
        <v>1.746665E-13</v>
      </c>
      <c r="I37" s="74">
        <v>2.4020471999999998E-16</v>
      </c>
      <c r="J37" s="74">
        <v>1.2851906999999999E-13</v>
      </c>
      <c r="K37" s="74">
        <v>1.6803862999999999E-13</v>
      </c>
    </row>
    <row r="38" spans="1:11" x14ac:dyDescent="0.25">
      <c r="A38">
        <v>23</v>
      </c>
      <c r="B38" t="s">
        <v>669</v>
      </c>
      <c r="C38" t="s">
        <v>10</v>
      </c>
      <c r="D38" t="s">
        <v>192</v>
      </c>
      <c r="E38" s="74">
        <v>1.2003538000000001E-6</v>
      </c>
      <c r="F38">
        <v>0</v>
      </c>
      <c r="G38" s="74">
        <v>1.6523906999999999E-9</v>
      </c>
      <c r="H38" s="74">
        <v>1.1324987E-8</v>
      </c>
      <c r="I38" s="74">
        <v>2.3208888E-10</v>
      </c>
      <c r="J38" s="74">
        <v>9.1705591000000002E-7</v>
      </c>
      <c r="K38" s="74">
        <v>2.7008841000000001E-7</v>
      </c>
    </row>
    <row r="39" spans="1:11" x14ac:dyDescent="0.25">
      <c r="A39">
        <v>24</v>
      </c>
      <c r="B39" t="s">
        <v>670</v>
      </c>
      <c r="C39" t="s">
        <v>10</v>
      </c>
      <c r="D39" t="s">
        <v>192</v>
      </c>
      <c r="E39" s="74">
        <v>1.2615428E-8</v>
      </c>
      <c r="F39">
        <v>0</v>
      </c>
      <c r="G39" s="74">
        <v>1.7418281E-9</v>
      </c>
      <c r="H39" s="74">
        <v>4.3234767999999999E-9</v>
      </c>
      <c r="I39" s="74">
        <v>7.5260732999999997E-13</v>
      </c>
      <c r="J39" s="74">
        <v>6.5045229000000003E-9</v>
      </c>
      <c r="K39" s="74">
        <v>4.4847527E-11</v>
      </c>
    </row>
    <row r="40" spans="1:11" x14ac:dyDescent="0.25">
      <c r="A40">
        <v>25</v>
      </c>
      <c r="B40" t="s">
        <v>304</v>
      </c>
      <c r="C40" t="s">
        <v>10</v>
      </c>
      <c r="D40" t="s">
        <v>305</v>
      </c>
      <c r="E40">
        <v>8.5089745999999994E-2</v>
      </c>
      <c r="F40">
        <v>0</v>
      </c>
      <c r="G40">
        <v>2.4585016E-4</v>
      </c>
      <c r="H40">
        <v>5.9824132000000003E-4</v>
      </c>
      <c r="I40" s="74">
        <v>5.3949372000000001E-6</v>
      </c>
      <c r="J40">
        <v>4.5624349E-4</v>
      </c>
      <c r="K40">
        <v>8.3784017000000002E-2</v>
      </c>
    </row>
    <row r="41" spans="1:11" x14ac:dyDescent="0.25">
      <c r="A41">
        <v>26</v>
      </c>
      <c r="B41" t="s">
        <v>671</v>
      </c>
      <c r="C41" t="s">
        <v>10</v>
      </c>
      <c r="D41" t="s">
        <v>192</v>
      </c>
      <c r="E41" s="74">
        <v>2.9641975E-8</v>
      </c>
      <c r="F41">
        <v>0</v>
      </c>
      <c r="G41" s="74">
        <v>7.2544431000000003E-13</v>
      </c>
      <c r="H41" s="74">
        <v>2.9630220999999999E-8</v>
      </c>
      <c r="I41" s="74">
        <v>1.4352249E-12</v>
      </c>
      <c r="J41" s="74">
        <v>6.8773483999999999E-12</v>
      </c>
      <c r="K41" s="74">
        <v>2.7155563000000001E-12</v>
      </c>
    </row>
    <row r="42" spans="1:11" x14ac:dyDescent="0.25">
      <c r="A42">
        <v>27</v>
      </c>
      <c r="B42" t="s">
        <v>309</v>
      </c>
      <c r="C42" t="s">
        <v>10</v>
      </c>
      <c r="D42" t="s">
        <v>192</v>
      </c>
      <c r="E42">
        <v>4.2116931999999999E-3</v>
      </c>
      <c r="F42">
        <v>0</v>
      </c>
      <c r="G42">
        <v>2.9347660999999998E-4</v>
      </c>
      <c r="H42">
        <v>1.1335856000000001E-3</v>
      </c>
      <c r="I42" s="74">
        <v>3.0446594999999999E-6</v>
      </c>
      <c r="J42">
        <v>1.552725E-3</v>
      </c>
      <c r="K42">
        <v>1.2288614000000001E-3</v>
      </c>
    </row>
    <row r="43" spans="1:11" x14ac:dyDescent="0.25">
      <c r="A43">
        <v>28</v>
      </c>
      <c r="B43" t="s">
        <v>672</v>
      </c>
      <c r="C43" t="s">
        <v>10</v>
      </c>
      <c r="D43" t="s">
        <v>192</v>
      </c>
      <c r="E43" s="74">
        <v>2.023488E-12</v>
      </c>
      <c r="F43">
        <v>0</v>
      </c>
      <c r="G43" s="74">
        <v>2.0923793999999999E-13</v>
      </c>
      <c r="H43" s="74">
        <v>6.3696654999999999E-13</v>
      </c>
      <c r="I43" s="74">
        <v>7.0274791000000001E-16</v>
      </c>
      <c r="J43" s="74">
        <v>7.6777250999999998E-13</v>
      </c>
      <c r="K43" s="74">
        <v>4.0880828999999999E-13</v>
      </c>
    </row>
    <row r="44" spans="1:11" x14ac:dyDescent="0.25">
      <c r="A44">
        <v>29</v>
      </c>
      <c r="B44" t="s">
        <v>673</v>
      </c>
      <c r="C44" t="s">
        <v>10</v>
      </c>
      <c r="D44" t="s">
        <v>192</v>
      </c>
      <c r="E44" s="74">
        <v>6.0754117000000001E-5</v>
      </c>
      <c r="F44">
        <v>0</v>
      </c>
      <c r="G44" s="74">
        <v>1.6288404999999998E-5</v>
      </c>
      <c r="H44" s="74">
        <v>1.7135666999999999E-5</v>
      </c>
      <c r="I44" s="74">
        <v>3.3388297E-8</v>
      </c>
      <c r="J44" s="74">
        <v>6.4252066000000001E-6</v>
      </c>
      <c r="K44" s="74">
        <v>2.0871450000000002E-5</v>
      </c>
    </row>
    <row r="45" spans="1:11" x14ac:dyDescent="0.25">
      <c r="A45">
        <v>30</v>
      </c>
      <c r="B45" t="s">
        <v>312</v>
      </c>
      <c r="C45" t="s">
        <v>10</v>
      </c>
      <c r="D45" t="s">
        <v>192</v>
      </c>
      <c r="E45" s="74">
        <v>1.7419770000000001E-9</v>
      </c>
      <c r="F45">
        <v>0</v>
      </c>
      <c r="G45" s="74">
        <v>1.9516938000000001E-11</v>
      </c>
      <c r="H45" s="74">
        <v>7.5300878000000004E-11</v>
      </c>
      <c r="I45" s="74">
        <v>1.0496899999999999E-9</v>
      </c>
      <c r="J45" s="74">
        <v>5.3605889000000003E-10</v>
      </c>
      <c r="K45" s="74">
        <v>6.1410291999999998E-11</v>
      </c>
    </row>
    <row r="46" spans="1:11" x14ac:dyDescent="0.25">
      <c r="A46">
        <v>31</v>
      </c>
      <c r="B46" t="s">
        <v>313</v>
      </c>
      <c r="C46" t="s">
        <v>10</v>
      </c>
      <c r="D46" t="s">
        <v>192</v>
      </c>
      <c r="E46" s="74">
        <v>2.7418710000000001E-12</v>
      </c>
      <c r="F46">
        <v>0</v>
      </c>
      <c r="G46" s="74">
        <v>1.0024290000000001E-13</v>
      </c>
      <c r="H46" s="74">
        <v>6.3328820999999998E-13</v>
      </c>
      <c r="I46" s="74">
        <v>6.0349956000000002E-16</v>
      </c>
      <c r="J46" s="74">
        <v>5.0169470000000004E-13</v>
      </c>
      <c r="K46" s="74">
        <v>1.5060417000000001E-12</v>
      </c>
    </row>
    <row r="47" spans="1:11" x14ac:dyDescent="0.25">
      <c r="A47">
        <v>32</v>
      </c>
      <c r="B47" t="s">
        <v>315</v>
      </c>
      <c r="C47" t="s">
        <v>10</v>
      </c>
      <c r="D47" t="s">
        <v>192</v>
      </c>
      <c r="E47" s="74">
        <v>7.1422332000000001E-6</v>
      </c>
      <c r="F47">
        <v>0</v>
      </c>
      <c r="G47" s="74">
        <v>3.7802701000000001E-7</v>
      </c>
      <c r="H47" s="74">
        <v>1.2692834999999999E-6</v>
      </c>
      <c r="I47" s="74">
        <v>1.7672128E-9</v>
      </c>
      <c r="J47" s="74">
        <v>4.7930246999999999E-6</v>
      </c>
      <c r="K47" s="74">
        <v>7.0013072999999996E-7</v>
      </c>
    </row>
    <row r="48" spans="1:11" x14ac:dyDescent="0.25">
      <c r="A48">
        <v>33</v>
      </c>
      <c r="B48" t="s">
        <v>674</v>
      </c>
      <c r="C48" t="s">
        <v>10</v>
      </c>
      <c r="D48" t="s">
        <v>305</v>
      </c>
      <c r="E48">
        <v>1.6934455E-3</v>
      </c>
      <c r="F48">
        <v>0</v>
      </c>
      <c r="G48" s="74">
        <v>5.8893390999999996E-6</v>
      </c>
      <c r="H48" s="74">
        <v>1.4622198E-5</v>
      </c>
      <c r="I48" s="74">
        <v>1.2347575000000001E-7</v>
      </c>
      <c r="J48" s="74">
        <v>1.1095417E-5</v>
      </c>
      <c r="K48">
        <v>1.661715E-3</v>
      </c>
    </row>
    <row r="49" spans="1:11" x14ac:dyDescent="0.25">
      <c r="A49">
        <v>34</v>
      </c>
      <c r="B49" t="s">
        <v>316</v>
      </c>
      <c r="C49" t="s">
        <v>10</v>
      </c>
      <c r="D49" t="s">
        <v>305</v>
      </c>
      <c r="E49">
        <v>12.089344000000001</v>
      </c>
      <c r="F49">
        <v>0</v>
      </c>
      <c r="G49">
        <v>1.6565389999999999E-2</v>
      </c>
      <c r="H49">
        <v>4.2578357999999997E-2</v>
      </c>
      <c r="I49">
        <v>3.1496786999999997E-4</v>
      </c>
      <c r="J49">
        <v>3.1733020000000001E-2</v>
      </c>
      <c r="K49">
        <v>11.998151999999999</v>
      </c>
    </row>
    <row r="50" spans="1:11" x14ac:dyDescent="0.25">
      <c r="A50">
        <v>35</v>
      </c>
      <c r="B50" t="s">
        <v>317</v>
      </c>
      <c r="C50" t="s">
        <v>10</v>
      </c>
      <c r="D50" t="s">
        <v>305</v>
      </c>
      <c r="E50">
        <v>7.9215413999999998E-2</v>
      </c>
      <c r="F50">
        <v>0</v>
      </c>
      <c r="G50">
        <v>3.0079379999999999E-4</v>
      </c>
      <c r="H50">
        <v>7.3866728999999996E-4</v>
      </c>
      <c r="I50" s="74">
        <v>6.4788900000000001E-6</v>
      </c>
      <c r="J50">
        <v>5.6247150999999996E-4</v>
      </c>
      <c r="K50">
        <v>7.7607001999999994E-2</v>
      </c>
    </row>
    <row r="51" spans="1:11" x14ac:dyDescent="0.25">
      <c r="A51">
        <v>36</v>
      </c>
      <c r="B51" t="s">
        <v>675</v>
      </c>
      <c r="C51" t="s">
        <v>10</v>
      </c>
      <c r="D51" t="s">
        <v>192</v>
      </c>
      <c r="E51" s="74">
        <v>1.1948634E-6</v>
      </c>
      <c r="F51">
        <v>0</v>
      </c>
      <c r="G51" s="74">
        <v>1.1772579E-8</v>
      </c>
      <c r="H51" s="74">
        <v>1.0790019000000001E-6</v>
      </c>
      <c r="I51" s="74">
        <v>7.5418563999999995E-11</v>
      </c>
      <c r="J51" s="74">
        <v>5.3387931000000003E-8</v>
      </c>
      <c r="K51" s="74">
        <v>5.0625548000000001E-8</v>
      </c>
    </row>
    <row r="52" spans="1:11" x14ac:dyDescent="0.25">
      <c r="A52">
        <v>37</v>
      </c>
      <c r="B52" t="s">
        <v>320</v>
      </c>
      <c r="C52" t="s">
        <v>10</v>
      </c>
      <c r="D52" t="s">
        <v>192</v>
      </c>
      <c r="E52" s="74">
        <v>1.3680632999999999E-5</v>
      </c>
      <c r="F52">
        <v>0</v>
      </c>
      <c r="G52" s="74">
        <v>1.0398141000000001E-6</v>
      </c>
      <c r="H52" s="74">
        <v>3.9345326999999998E-6</v>
      </c>
      <c r="I52" s="74">
        <v>6.7039436000000002E-9</v>
      </c>
      <c r="J52" s="74">
        <v>4.0665002999999998E-6</v>
      </c>
      <c r="K52" s="74">
        <v>4.6330820999999996E-6</v>
      </c>
    </row>
    <row r="53" spans="1:11" x14ac:dyDescent="0.25">
      <c r="A53">
        <v>38</v>
      </c>
      <c r="B53" t="s">
        <v>322</v>
      </c>
      <c r="C53" t="s">
        <v>10</v>
      </c>
      <c r="D53" t="s">
        <v>192</v>
      </c>
      <c r="E53" s="74">
        <v>2.3769478000000001E-15</v>
      </c>
      <c r="F53">
        <v>0</v>
      </c>
      <c r="G53" s="74">
        <v>3.2455667E-16</v>
      </c>
      <c r="H53" s="74">
        <v>8.0636509000000002E-16</v>
      </c>
      <c r="I53" s="74">
        <v>1.4138704000000001E-17</v>
      </c>
      <c r="J53" s="74">
        <v>1.2196943999999999E-15</v>
      </c>
      <c r="K53" s="74">
        <v>1.2192942E-17</v>
      </c>
    </row>
    <row r="54" spans="1:11" x14ac:dyDescent="0.25">
      <c r="A54">
        <v>39</v>
      </c>
      <c r="B54" t="s">
        <v>676</v>
      </c>
      <c r="C54" t="s">
        <v>10</v>
      </c>
      <c r="D54" t="s">
        <v>192</v>
      </c>
      <c r="E54">
        <v>3.760015E-4</v>
      </c>
      <c r="F54">
        <v>0</v>
      </c>
      <c r="G54" s="74">
        <v>1.4752847000000001E-6</v>
      </c>
      <c r="H54" s="74">
        <v>7.3543917000000002E-6</v>
      </c>
      <c r="I54" s="74">
        <v>2.1655479999999999E-8</v>
      </c>
      <c r="J54" s="74">
        <v>7.4664893000000002E-6</v>
      </c>
      <c r="K54">
        <v>3.5968368000000001E-4</v>
      </c>
    </row>
    <row r="55" spans="1:11" x14ac:dyDescent="0.25">
      <c r="A55">
        <v>40</v>
      </c>
      <c r="B55" t="s">
        <v>324</v>
      </c>
      <c r="C55" t="s">
        <v>10</v>
      </c>
      <c r="D55" t="s">
        <v>192</v>
      </c>
      <c r="E55" s="74">
        <v>7.2298210000000006E-5</v>
      </c>
      <c r="F55">
        <v>0</v>
      </c>
      <c r="G55" s="74">
        <v>3.0817143999999998E-6</v>
      </c>
      <c r="H55" s="74">
        <v>2.0665261E-5</v>
      </c>
      <c r="I55" s="74">
        <v>4.4529910999999997E-8</v>
      </c>
      <c r="J55" s="74">
        <v>2.2920889999999999E-5</v>
      </c>
      <c r="K55" s="74">
        <v>2.5585814999999999E-5</v>
      </c>
    </row>
    <row r="56" spans="1:11" x14ac:dyDescent="0.25">
      <c r="A56">
        <v>41</v>
      </c>
      <c r="B56" t="s">
        <v>325</v>
      </c>
      <c r="C56" t="s">
        <v>10</v>
      </c>
      <c r="D56" t="s">
        <v>305</v>
      </c>
      <c r="E56">
        <v>3.1944344E-3</v>
      </c>
      <c r="F56">
        <v>0</v>
      </c>
      <c r="G56" s="74">
        <v>1.1805273E-5</v>
      </c>
      <c r="H56" s="74">
        <v>2.9146865000000001E-5</v>
      </c>
      <c r="I56" s="74">
        <v>2.4680093999999998E-7</v>
      </c>
      <c r="J56" s="74">
        <v>2.2311634000000001E-5</v>
      </c>
      <c r="K56">
        <v>3.1309238000000001E-3</v>
      </c>
    </row>
    <row r="57" spans="1:11" x14ac:dyDescent="0.25">
      <c r="A57">
        <v>42</v>
      </c>
      <c r="B57" t="s">
        <v>326</v>
      </c>
      <c r="C57" t="s">
        <v>10</v>
      </c>
      <c r="D57" t="s">
        <v>192</v>
      </c>
      <c r="E57" s="74">
        <v>7.3548446000000002E-14</v>
      </c>
      <c r="F57">
        <v>0</v>
      </c>
      <c r="G57" s="74">
        <v>4.1433657000000001E-15</v>
      </c>
      <c r="H57" s="74">
        <v>2.4664610999999999E-14</v>
      </c>
      <c r="I57" s="74">
        <v>2.6164213E-17</v>
      </c>
      <c r="J57" s="74">
        <v>1.7222838000000002E-14</v>
      </c>
      <c r="K57" s="74">
        <v>2.7491467999999999E-14</v>
      </c>
    </row>
    <row r="58" spans="1:11" x14ac:dyDescent="0.25">
      <c r="A58">
        <v>43</v>
      </c>
      <c r="B58" t="s">
        <v>329</v>
      </c>
      <c r="C58" t="s">
        <v>10</v>
      </c>
      <c r="D58" t="s">
        <v>192</v>
      </c>
      <c r="E58" s="74">
        <v>3.1746744000000002E-6</v>
      </c>
      <c r="F58">
        <v>0</v>
      </c>
      <c r="G58" s="74">
        <v>6.8488987999999995E-8</v>
      </c>
      <c r="H58" s="74">
        <v>4.1824585000000001E-7</v>
      </c>
      <c r="I58" s="74">
        <v>9.8343827000000001E-10</v>
      </c>
      <c r="J58" s="74">
        <v>3.2425274999999998E-7</v>
      </c>
      <c r="K58" s="74">
        <v>2.3627033E-6</v>
      </c>
    </row>
    <row r="59" spans="1:11" x14ac:dyDescent="0.25">
      <c r="A59">
        <v>44</v>
      </c>
      <c r="B59" t="s">
        <v>331</v>
      </c>
      <c r="C59" t="s">
        <v>10</v>
      </c>
      <c r="D59" t="s">
        <v>192</v>
      </c>
      <c r="E59" s="74">
        <v>8.1400767999999994E-8</v>
      </c>
      <c r="F59">
        <v>0</v>
      </c>
      <c r="G59" s="74">
        <v>1.0577422E-8</v>
      </c>
      <c r="H59" s="74">
        <v>2.6542606000000002E-8</v>
      </c>
      <c r="I59" s="74">
        <v>1.4413573E-11</v>
      </c>
      <c r="J59" s="74">
        <v>4.0826247E-8</v>
      </c>
      <c r="K59" s="74">
        <v>3.4400801E-9</v>
      </c>
    </row>
    <row r="60" spans="1:11" x14ac:dyDescent="0.25">
      <c r="A60">
        <v>45</v>
      </c>
      <c r="B60" t="s">
        <v>677</v>
      </c>
      <c r="C60" t="s">
        <v>10</v>
      </c>
      <c r="D60" t="s">
        <v>192</v>
      </c>
      <c r="E60" s="74">
        <v>1.4230244000000001E-7</v>
      </c>
      <c r="F60">
        <v>0</v>
      </c>
      <c r="G60" s="74">
        <v>1.5706426999999999E-8</v>
      </c>
      <c r="H60" s="74">
        <v>4.1547850000000001E-8</v>
      </c>
      <c r="I60" s="74">
        <v>2.5488076999999999E-11</v>
      </c>
      <c r="J60" s="74">
        <v>7.8561502999999996E-8</v>
      </c>
      <c r="K60" s="74">
        <v>6.4611728000000004E-9</v>
      </c>
    </row>
    <row r="61" spans="1:11" x14ac:dyDescent="0.25">
      <c r="A61">
        <v>46</v>
      </c>
      <c r="B61" t="s">
        <v>332</v>
      </c>
      <c r="C61" t="s">
        <v>10</v>
      </c>
      <c r="D61" t="s">
        <v>192</v>
      </c>
      <c r="E61" s="74">
        <v>2.7572167999999999E-7</v>
      </c>
      <c r="F61">
        <v>0</v>
      </c>
      <c r="G61" s="74">
        <v>1.004892E-8</v>
      </c>
      <c r="H61" s="74">
        <v>5.1608825000000003E-8</v>
      </c>
      <c r="I61" s="74">
        <v>7.2478465000000004E-11</v>
      </c>
      <c r="J61" s="74">
        <v>4.0893626999999999E-8</v>
      </c>
      <c r="K61" s="74">
        <v>1.7309783E-7</v>
      </c>
    </row>
    <row r="62" spans="1:11" x14ac:dyDescent="0.25">
      <c r="A62">
        <v>47</v>
      </c>
      <c r="B62" t="s">
        <v>335</v>
      </c>
      <c r="C62" t="s">
        <v>10</v>
      </c>
      <c r="D62" t="s">
        <v>192</v>
      </c>
      <c r="E62" s="74">
        <v>1.0346683000000001E-14</v>
      </c>
      <c r="F62">
        <v>0</v>
      </c>
      <c r="G62" s="74">
        <v>3.7827509E-16</v>
      </c>
      <c r="H62" s="74">
        <v>2.3897668E-15</v>
      </c>
      <c r="I62" s="74">
        <v>2.2773568000000001E-18</v>
      </c>
      <c r="J62" s="74">
        <v>1.8931875E-15</v>
      </c>
      <c r="K62" s="74">
        <v>5.6831761000000001E-15</v>
      </c>
    </row>
    <row r="63" spans="1:11" x14ac:dyDescent="0.25">
      <c r="A63">
        <v>48</v>
      </c>
      <c r="B63" t="s">
        <v>336</v>
      </c>
      <c r="C63" t="s">
        <v>10</v>
      </c>
      <c r="D63" t="s">
        <v>192</v>
      </c>
      <c r="E63" s="74">
        <v>1.257122E-15</v>
      </c>
      <c r="F63">
        <v>0</v>
      </c>
      <c r="G63" s="74">
        <v>4.5960423E-17</v>
      </c>
      <c r="H63" s="74">
        <v>2.9035667000000001E-16</v>
      </c>
      <c r="I63" s="74">
        <v>2.7669885999999999E-19</v>
      </c>
      <c r="J63" s="74">
        <v>2.3002229000000002E-16</v>
      </c>
      <c r="K63" s="74">
        <v>6.9050589E-16</v>
      </c>
    </row>
    <row r="64" spans="1:11" x14ac:dyDescent="0.25">
      <c r="A64">
        <v>49</v>
      </c>
      <c r="B64" t="s">
        <v>337</v>
      </c>
      <c r="C64" t="s">
        <v>10</v>
      </c>
      <c r="D64" t="s">
        <v>192</v>
      </c>
      <c r="E64" s="74">
        <v>1.2260819E-15</v>
      </c>
      <c r="F64">
        <v>0</v>
      </c>
      <c r="G64" s="74">
        <v>4.4825598000000001E-17</v>
      </c>
      <c r="H64" s="74">
        <v>2.8318737E-16</v>
      </c>
      <c r="I64" s="74">
        <v>2.6986678999999999E-19</v>
      </c>
      <c r="J64" s="74">
        <v>2.2434272000000002E-16</v>
      </c>
      <c r="K64" s="74">
        <v>6.7345636999999997E-16</v>
      </c>
    </row>
    <row r="65" spans="1:11" x14ac:dyDescent="0.25">
      <c r="A65">
        <v>50</v>
      </c>
      <c r="B65" t="s">
        <v>338</v>
      </c>
      <c r="C65" t="s">
        <v>10</v>
      </c>
      <c r="D65" t="s">
        <v>192</v>
      </c>
      <c r="E65" s="74">
        <v>1.7253093999999999E-16</v>
      </c>
      <c r="F65">
        <v>0</v>
      </c>
      <c r="G65" s="74">
        <v>6.3077371E-18</v>
      </c>
      <c r="H65" s="74">
        <v>3.9849361999999997E-17</v>
      </c>
      <c r="I65" s="74">
        <v>3.7974925E-20</v>
      </c>
      <c r="J65" s="74">
        <v>3.1568901999999997E-17</v>
      </c>
      <c r="K65" s="74">
        <v>9.4766960999999997E-17</v>
      </c>
    </row>
    <row r="66" spans="1:11" x14ac:dyDescent="0.25">
      <c r="A66">
        <v>51</v>
      </c>
      <c r="B66" t="s">
        <v>339</v>
      </c>
      <c r="C66" t="s">
        <v>10</v>
      </c>
      <c r="D66" t="s">
        <v>192</v>
      </c>
      <c r="E66" s="74">
        <v>5.7682756999999999E-16</v>
      </c>
      <c r="F66">
        <v>0</v>
      </c>
      <c r="G66" s="74">
        <v>2.1088835999999999E-17</v>
      </c>
      <c r="H66" s="74">
        <v>1.3322949999999999E-16</v>
      </c>
      <c r="I66" s="74">
        <v>1.2696264E-19</v>
      </c>
      <c r="J66" s="74">
        <v>1.0554521E-16</v>
      </c>
      <c r="K66" s="74">
        <v>3.1683707000000002E-16</v>
      </c>
    </row>
    <row r="67" spans="1:11" x14ac:dyDescent="0.25">
      <c r="A67">
        <v>52</v>
      </c>
      <c r="B67" t="s">
        <v>340</v>
      </c>
      <c r="C67" t="s">
        <v>10</v>
      </c>
      <c r="D67" t="s">
        <v>192</v>
      </c>
      <c r="E67" s="74">
        <v>2.2375356000000001E-6</v>
      </c>
      <c r="F67">
        <v>0</v>
      </c>
      <c r="G67" s="74">
        <v>1.6036555999999999E-7</v>
      </c>
      <c r="H67" s="74">
        <v>6.2083342999999998E-7</v>
      </c>
      <c r="I67" s="74">
        <v>1.3651267E-9</v>
      </c>
      <c r="J67" s="74">
        <v>7.0565116000000005E-7</v>
      </c>
      <c r="K67" s="74">
        <v>7.4932028999999998E-7</v>
      </c>
    </row>
    <row r="68" spans="1:11" x14ac:dyDescent="0.25">
      <c r="A68">
        <v>53</v>
      </c>
      <c r="B68" t="s">
        <v>678</v>
      </c>
      <c r="C68" t="s">
        <v>10</v>
      </c>
      <c r="D68" t="s">
        <v>192</v>
      </c>
      <c r="E68" s="74">
        <v>4.0460548000000002E-8</v>
      </c>
      <c r="F68">
        <v>0</v>
      </c>
      <c r="G68" s="74">
        <v>2.0641754E-9</v>
      </c>
      <c r="H68" s="74">
        <v>5.1364569999999997E-9</v>
      </c>
      <c r="I68" s="74">
        <v>4.6593078000000002E-10</v>
      </c>
      <c r="J68" s="74">
        <v>6.8331891999999998E-9</v>
      </c>
      <c r="K68" s="74">
        <v>2.5960795000000001E-8</v>
      </c>
    </row>
    <row r="69" spans="1:11" x14ac:dyDescent="0.25">
      <c r="A69">
        <v>54</v>
      </c>
      <c r="B69" t="s">
        <v>679</v>
      </c>
      <c r="C69" t="s">
        <v>10</v>
      </c>
      <c r="D69" t="s">
        <v>192</v>
      </c>
      <c r="E69">
        <v>2.7925882E-3</v>
      </c>
      <c r="F69">
        <v>0</v>
      </c>
      <c r="G69">
        <v>1.6734344999999999E-4</v>
      </c>
      <c r="H69">
        <v>7.7305994999999998E-4</v>
      </c>
      <c r="I69" s="74">
        <v>1.8575767999999999E-6</v>
      </c>
      <c r="J69">
        <v>1.0755368E-3</v>
      </c>
      <c r="K69">
        <v>7.7479033999999997E-4</v>
      </c>
    </row>
    <row r="70" spans="1:11" x14ac:dyDescent="0.25">
      <c r="A70">
        <v>55</v>
      </c>
      <c r="B70" t="s">
        <v>680</v>
      </c>
      <c r="C70" t="s">
        <v>10</v>
      </c>
      <c r="D70" t="s">
        <v>192</v>
      </c>
      <c r="E70" s="74">
        <v>2.3841923000000001E-8</v>
      </c>
      <c r="F70">
        <v>0</v>
      </c>
      <c r="G70" s="74">
        <v>3.1011191000000001E-10</v>
      </c>
      <c r="H70" s="74">
        <v>1.004875E-9</v>
      </c>
      <c r="I70" s="74">
        <v>6.3188190999999998E-12</v>
      </c>
      <c r="J70" s="74">
        <v>6.1275814000000005E-10</v>
      </c>
      <c r="K70" s="74">
        <v>2.1907859000000001E-8</v>
      </c>
    </row>
    <row r="71" spans="1:11" x14ac:dyDescent="0.25">
      <c r="A71">
        <v>56</v>
      </c>
      <c r="B71" t="s">
        <v>342</v>
      </c>
      <c r="C71" t="s">
        <v>10</v>
      </c>
      <c r="D71" t="s">
        <v>192</v>
      </c>
      <c r="E71">
        <v>2.1425158000000001E-4</v>
      </c>
      <c r="F71">
        <v>0</v>
      </c>
      <c r="G71" s="74">
        <v>2.0720845E-5</v>
      </c>
      <c r="H71" s="74">
        <v>7.7487247000000001E-5</v>
      </c>
      <c r="I71" s="74">
        <v>1.3836923E-7</v>
      </c>
      <c r="J71" s="74">
        <v>7.7605889999999994E-5</v>
      </c>
      <c r="K71" s="74">
        <v>3.8299225000000003E-5</v>
      </c>
    </row>
    <row r="72" spans="1:11" x14ac:dyDescent="0.25">
      <c r="A72">
        <v>57</v>
      </c>
      <c r="B72" t="s">
        <v>681</v>
      </c>
      <c r="C72" t="s">
        <v>10</v>
      </c>
      <c r="D72" t="s">
        <v>192</v>
      </c>
      <c r="E72" s="74">
        <v>2.6919510999999999E-6</v>
      </c>
      <c r="F72">
        <v>0</v>
      </c>
      <c r="G72" s="74">
        <v>1.1880512999999999E-8</v>
      </c>
      <c r="H72" s="74">
        <v>2.1406012999999999E-6</v>
      </c>
      <c r="I72" s="74">
        <v>1.8835152999999999E-9</v>
      </c>
      <c r="J72" s="74">
        <v>5.0537725000000002E-7</v>
      </c>
      <c r="K72" s="74">
        <v>3.2208508000000003E-8</v>
      </c>
    </row>
    <row r="73" spans="1:11" x14ac:dyDescent="0.25">
      <c r="A73">
        <v>58</v>
      </c>
      <c r="B73" t="s">
        <v>682</v>
      </c>
      <c r="C73" t="s">
        <v>10</v>
      </c>
      <c r="D73" t="s">
        <v>192</v>
      </c>
      <c r="E73" s="74">
        <v>5.4585219000000001E-9</v>
      </c>
      <c r="F73">
        <v>0</v>
      </c>
      <c r="G73" s="74">
        <v>2.6904587000000002E-10</v>
      </c>
      <c r="H73" s="74">
        <v>1.7975656000000001E-9</v>
      </c>
      <c r="I73" s="74">
        <v>2.2035609000000001E-12</v>
      </c>
      <c r="J73" s="74">
        <v>1.3311707000000001E-9</v>
      </c>
      <c r="K73" s="74">
        <v>2.0585361999999998E-9</v>
      </c>
    </row>
    <row r="74" spans="1:11" x14ac:dyDescent="0.25">
      <c r="A74">
        <v>59</v>
      </c>
      <c r="B74" t="s">
        <v>344</v>
      </c>
      <c r="C74" t="s">
        <v>10</v>
      </c>
      <c r="D74" t="s">
        <v>192</v>
      </c>
      <c r="E74">
        <v>2.9778102999999999E-4</v>
      </c>
      <c r="F74">
        <v>0</v>
      </c>
      <c r="G74" s="74">
        <v>1.4930417999999999E-6</v>
      </c>
      <c r="H74" s="74">
        <v>1.0968837E-5</v>
      </c>
      <c r="I74" s="74">
        <v>2.1990798E-8</v>
      </c>
      <c r="J74" s="74">
        <v>1.2919425E-5</v>
      </c>
      <c r="K74">
        <v>2.7237774E-4</v>
      </c>
    </row>
    <row r="75" spans="1:11" x14ac:dyDescent="0.25">
      <c r="A75">
        <v>60</v>
      </c>
      <c r="B75" t="s">
        <v>345</v>
      </c>
      <c r="C75" t="s">
        <v>10</v>
      </c>
      <c r="D75" t="s">
        <v>192</v>
      </c>
      <c r="E75" s="74">
        <v>6.8183884000000001E-19</v>
      </c>
      <c r="F75">
        <v>0</v>
      </c>
      <c r="G75" s="74">
        <v>5.9083599999999994E-20</v>
      </c>
      <c r="H75" s="74">
        <v>2.3336745000000001E-19</v>
      </c>
      <c r="I75" s="74">
        <v>1.4383451000000001E-21</v>
      </c>
      <c r="J75" s="74">
        <v>3.8129853999999999E-19</v>
      </c>
      <c r="K75" s="74">
        <v>6.6508977000000002E-21</v>
      </c>
    </row>
    <row r="76" spans="1:11" x14ac:dyDescent="0.25">
      <c r="A76">
        <v>61</v>
      </c>
      <c r="B76" t="s">
        <v>348</v>
      </c>
      <c r="C76" t="s">
        <v>10</v>
      </c>
      <c r="D76" t="s">
        <v>192</v>
      </c>
      <c r="E76" s="74">
        <v>2.7916001E-8</v>
      </c>
      <c r="F76">
        <v>0</v>
      </c>
      <c r="G76" s="74">
        <v>3.8544793999999999E-9</v>
      </c>
      <c r="H76" s="74">
        <v>9.5704556000000003E-9</v>
      </c>
      <c r="I76" s="74">
        <v>1.8883324000000001E-12</v>
      </c>
      <c r="J76" s="74">
        <v>1.4376934000000001E-8</v>
      </c>
      <c r="K76" s="74">
        <v>1.1224295999999999E-10</v>
      </c>
    </row>
    <row r="77" spans="1:11" x14ac:dyDescent="0.25">
      <c r="A77">
        <v>62</v>
      </c>
      <c r="B77" t="s">
        <v>683</v>
      </c>
      <c r="C77" t="s">
        <v>10</v>
      </c>
      <c r="D77" t="s">
        <v>192</v>
      </c>
      <c r="E77" s="74">
        <v>8.6484595E-9</v>
      </c>
      <c r="F77">
        <v>0</v>
      </c>
      <c r="G77" s="74">
        <v>6.3484048000000002E-10</v>
      </c>
      <c r="H77" s="74">
        <v>4.3329038999999998E-9</v>
      </c>
      <c r="I77" s="74">
        <v>3.2301412000000001E-12</v>
      </c>
      <c r="J77" s="74">
        <v>2.5022561E-9</v>
      </c>
      <c r="K77" s="74">
        <v>1.1752288999999999E-9</v>
      </c>
    </row>
    <row r="78" spans="1:11" x14ac:dyDescent="0.25">
      <c r="A78">
        <v>63</v>
      </c>
      <c r="B78" t="s">
        <v>349</v>
      </c>
      <c r="C78" t="s">
        <v>10</v>
      </c>
      <c r="D78" t="s">
        <v>192</v>
      </c>
      <c r="E78" s="74">
        <v>3.8828139999999999E-19</v>
      </c>
      <c r="F78">
        <v>0</v>
      </c>
      <c r="G78" s="74">
        <v>5.2375669000000002E-20</v>
      </c>
      <c r="H78" s="74">
        <v>1.3224839000000001E-19</v>
      </c>
      <c r="I78" s="74">
        <v>1.5080664999999999E-21</v>
      </c>
      <c r="J78" s="74">
        <v>2.0023433E-19</v>
      </c>
      <c r="K78" s="74">
        <v>1.9149371E-21</v>
      </c>
    </row>
    <row r="79" spans="1:11" x14ac:dyDescent="0.25">
      <c r="A79">
        <v>64</v>
      </c>
      <c r="B79" t="s">
        <v>684</v>
      </c>
      <c r="C79" t="s">
        <v>10</v>
      </c>
      <c r="D79" t="s">
        <v>192</v>
      </c>
      <c r="E79" s="74">
        <v>8.8432961999999999E-12</v>
      </c>
      <c r="F79">
        <v>0</v>
      </c>
      <c r="G79" s="74">
        <v>1.1663582999999999E-12</v>
      </c>
      <c r="H79" s="74">
        <v>2.9140949999999998E-12</v>
      </c>
      <c r="I79" s="74">
        <v>7.7648307999999999E-16</v>
      </c>
      <c r="J79" s="74">
        <v>4.4095851000000004E-12</v>
      </c>
      <c r="K79" s="74">
        <v>3.5248138000000001E-13</v>
      </c>
    </row>
    <row r="80" spans="1:11" x14ac:dyDescent="0.25">
      <c r="A80">
        <v>65</v>
      </c>
      <c r="B80" t="s">
        <v>350</v>
      </c>
      <c r="C80" t="s">
        <v>10</v>
      </c>
      <c r="D80" t="s">
        <v>192</v>
      </c>
      <c r="E80" s="74">
        <v>5.0398342E-6</v>
      </c>
      <c r="F80">
        <v>0</v>
      </c>
      <c r="G80" s="74">
        <v>4.8305910999999999E-7</v>
      </c>
      <c r="H80" s="74">
        <v>1.8126564000000001E-6</v>
      </c>
      <c r="I80" s="74">
        <v>1.4145375E-9</v>
      </c>
      <c r="J80" s="74">
        <v>1.8663088E-6</v>
      </c>
      <c r="K80" s="74">
        <v>8.7639532999999999E-7</v>
      </c>
    </row>
    <row r="81" spans="1:11" x14ac:dyDescent="0.25">
      <c r="A81">
        <v>66</v>
      </c>
      <c r="B81" t="s">
        <v>351</v>
      </c>
      <c r="C81" t="s">
        <v>10</v>
      </c>
      <c r="D81" t="s">
        <v>192</v>
      </c>
      <c r="E81">
        <v>2.9447580000000001E-2</v>
      </c>
      <c r="F81">
        <v>0</v>
      </c>
      <c r="G81">
        <v>2.1847436E-3</v>
      </c>
      <c r="H81">
        <v>6.4678495999999997E-3</v>
      </c>
      <c r="I81" s="74">
        <v>2.7236138999999998E-5</v>
      </c>
      <c r="J81">
        <v>6.5655647999999997E-3</v>
      </c>
      <c r="K81">
        <v>1.4202186E-2</v>
      </c>
    </row>
    <row r="82" spans="1:11" x14ac:dyDescent="0.25">
      <c r="A82">
        <v>67</v>
      </c>
      <c r="B82" t="s">
        <v>352</v>
      </c>
      <c r="C82" t="s">
        <v>10</v>
      </c>
      <c r="D82" t="s">
        <v>192</v>
      </c>
      <c r="E82" s="74">
        <v>2.8128490000000002E-19</v>
      </c>
      <c r="F82">
        <v>0</v>
      </c>
      <c r="G82" s="74">
        <v>3.8134442999999998E-20</v>
      </c>
      <c r="H82" s="74">
        <v>9.5436939999999996E-20</v>
      </c>
      <c r="I82" s="74">
        <v>1.6579666E-21</v>
      </c>
      <c r="J82" s="74">
        <v>1.4458628E-19</v>
      </c>
      <c r="K82" s="74">
        <v>1.4692753E-21</v>
      </c>
    </row>
    <row r="83" spans="1:11" x14ac:dyDescent="0.25">
      <c r="A83">
        <v>68</v>
      </c>
      <c r="B83" t="s">
        <v>353</v>
      </c>
      <c r="C83" t="s">
        <v>10</v>
      </c>
      <c r="D83" t="s">
        <v>192</v>
      </c>
      <c r="E83" s="74">
        <v>9.3239925000000006E-9</v>
      </c>
      <c r="F83">
        <v>0</v>
      </c>
      <c r="G83" s="74">
        <v>1.0103679000000001E-9</v>
      </c>
      <c r="H83" s="74">
        <v>2.6014860999999999E-9</v>
      </c>
      <c r="I83" s="74">
        <v>1.7610481E-12</v>
      </c>
      <c r="J83" s="74">
        <v>4.0649791000000003E-9</v>
      </c>
      <c r="K83" s="74">
        <v>1.6453983E-9</v>
      </c>
    </row>
    <row r="84" spans="1:11" x14ac:dyDescent="0.25">
      <c r="A84">
        <v>69</v>
      </c>
      <c r="B84" t="s">
        <v>354</v>
      </c>
      <c r="C84" t="s">
        <v>10</v>
      </c>
      <c r="D84" t="s">
        <v>305</v>
      </c>
      <c r="E84">
        <v>1.3410426</v>
      </c>
      <c r="F84">
        <v>0</v>
      </c>
      <c r="G84">
        <v>1.8150955E-3</v>
      </c>
      <c r="H84">
        <v>4.6696906999999996E-3</v>
      </c>
      <c r="I84" s="74">
        <v>3.4416674000000001E-5</v>
      </c>
      <c r="J84">
        <v>3.4788032E-3</v>
      </c>
      <c r="K84">
        <v>1.3310446</v>
      </c>
    </row>
    <row r="85" spans="1:11" x14ac:dyDescent="0.25">
      <c r="A85">
        <v>70</v>
      </c>
      <c r="B85" t="s">
        <v>358</v>
      </c>
      <c r="C85" t="s">
        <v>10</v>
      </c>
      <c r="D85" t="s">
        <v>192</v>
      </c>
      <c r="E85" s="74">
        <v>1.0203698000000001E-10</v>
      </c>
      <c r="F85">
        <v>0</v>
      </c>
      <c r="G85" s="74">
        <v>1.1918592000000001E-12</v>
      </c>
      <c r="H85" s="74">
        <v>9.2129634999999999E-11</v>
      </c>
      <c r="I85" s="74">
        <v>9.1080737999999998E-15</v>
      </c>
      <c r="J85" s="74">
        <v>4.5513621000000001E-12</v>
      </c>
      <c r="K85" s="74">
        <v>4.1550147000000004E-12</v>
      </c>
    </row>
    <row r="86" spans="1:11" x14ac:dyDescent="0.25">
      <c r="A86">
        <v>71</v>
      </c>
      <c r="B86" t="s">
        <v>685</v>
      </c>
      <c r="C86" t="s">
        <v>10</v>
      </c>
      <c r="D86" t="s">
        <v>192</v>
      </c>
      <c r="E86" s="74">
        <v>4.6258214000000002E-5</v>
      </c>
      <c r="F86">
        <v>0</v>
      </c>
      <c r="G86" s="74">
        <v>9.7332420000000003E-8</v>
      </c>
      <c r="H86" s="74">
        <v>3.9822728000000002E-7</v>
      </c>
      <c r="I86" s="74">
        <v>3.2916954000000001E-8</v>
      </c>
      <c r="J86" s="74">
        <v>4.4487017000000003E-5</v>
      </c>
      <c r="K86" s="74">
        <v>1.2427200000000001E-6</v>
      </c>
    </row>
    <row r="87" spans="1:11" x14ac:dyDescent="0.25">
      <c r="A87">
        <v>72</v>
      </c>
      <c r="B87" t="s">
        <v>686</v>
      </c>
      <c r="C87" t="s">
        <v>10</v>
      </c>
      <c r="D87" t="s">
        <v>192</v>
      </c>
      <c r="E87" s="74">
        <v>2.6497002999999999E-5</v>
      </c>
      <c r="F87">
        <v>0</v>
      </c>
      <c r="G87" s="74">
        <v>1.7125940999999999E-6</v>
      </c>
      <c r="H87" s="74">
        <v>8.4858635999999996E-6</v>
      </c>
      <c r="I87" s="74">
        <v>1.1577215999999999E-8</v>
      </c>
      <c r="J87" s="74">
        <v>6.6812515999999996E-6</v>
      </c>
      <c r="K87" s="74">
        <v>9.6057164000000004E-6</v>
      </c>
    </row>
    <row r="88" spans="1:11" x14ac:dyDescent="0.25">
      <c r="A88">
        <v>73</v>
      </c>
      <c r="B88" t="s">
        <v>364</v>
      </c>
      <c r="C88" t="s">
        <v>10</v>
      </c>
      <c r="D88" t="s">
        <v>305</v>
      </c>
      <c r="E88">
        <v>1.4649095999999999E-3</v>
      </c>
      <c r="F88">
        <v>0</v>
      </c>
      <c r="G88" s="74">
        <v>5.3418591999999999E-6</v>
      </c>
      <c r="H88" s="74">
        <v>1.3204776E-5</v>
      </c>
      <c r="I88" s="74">
        <v>1.1174564E-7</v>
      </c>
      <c r="J88" s="74">
        <v>1.0089097E-5</v>
      </c>
      <c r="K88">
        <v>1.4361621E-3</v>
      </c>
    </row>
    <row r="89" spans="1:11" x14ac:dyDescent="0.25">
      <c r="A89">
        <v>74</v>
      </c>
      <c r="B89" t="s">
        <v>687</v>
      </c>
      <c r="C89" t="s">
        <v>10</v>
      </c>
      <c r="D89" t="s">
        <v>305</v>
      </c>
      <c r="E89">
        <v>9.0292113999999998E-4</v>
      </c>
      <c r="F89">
        <v>0</v>
      </c>
      <c r="G89" s="74">
        <v>3.1401122E-6</v>
      </c>
      <c r="H89" s="74">
        <v>7.7963488999999993E-6</v>
      </c>
      <c r="I89" s="74">
        <v>6.5835520000000001E-8</v>
      </c>
      <c r="J89" s="74">
        <v>5.9159190999999998E-6</v>
      </c>
      <c r="K89">
        <v>8.8600292E-4</v>
      </c>
    </row>
    <row r="90" spans="1:11" x14ac:dyDescent="0.25">
      <c r="A90">
        <v>75</v>
      </c>
      <c r="B90" t="s">
        <v>688</v>
      </c>
      <c r="C90" t="s">
        <v>10</v>
      </c>
      <c r="D90" t="s">
        <v>192</v>
      </c>
      <c r="E90" s="74">
        <v>6.2294351999999997E-9</v>
      </c>
      <c r="F90">
        <v>0</v>
      </c>
      <c r="G90" s="74">
        <v>4.0262129000000001E-10</v>
      </c>
      <c r="H90" s="74">
        <v>1.9954747999999998E-9</v>
      </c>
      <c r="I90" s="74">
        <v>2.7094075E-12</v>
      </c>
      <c r="J90" s="74">
        <v>1.5699504000000001E-9</v>
      </c>
      <c r="K90" s="74">
        <v>2.2586794000000001E-9</v>
      </c>
    </row>
    <row r="91" spans="1:11" x14ac:dyDescent="0.25">
      <c r="A91">
        <v>76</v>
      </c>
      <c r="B91" t="s">
        <v>365</v>
      </c>
      <c r="C91" t="s">
        <v>10</v>
      </c>
      <c r="D91" t="s">
        <v>305</v>
      </c>
      <c r="E91">
        <v>7.8374659999999999E-2</v>
      </c>
      <c r="F91">
        <v>0</v>
      </c>
      <c r="G91">
        <v>1.5617448000000001E-4</v>
      </c>
      <c r="H91">
        <v>3.8762383999999998E-4</v>
      </c>
      <c r="I91" s="74">
        <v>3.2635225000000001E-6</v>
      </c>
      <c r="J91">
        <v>2.9306003999999999E-4</v>
      </c>
      <c r="K91">
        <v>7.7534538E-2</v>
      </c>
    </row>
    <row r="92" spans="1:11" x14ac:dyDescent="0.25">
      <c r="A92">
        <v>77</v>
      </c>
      <c r="B92" t="s">
        <v>689</v>
      </c>
      <c r="C92" t="s">
        <v>10</v>
      </c>
      <c r="D92" t="s">
        <v>305</v>
      </c>
      <c r="E92">
        <v>5.2639178E-4</v>
      </c>
      <c r="F92">
        <v>0</v>
      </c>
      <c r="G92" s="74">
        <v>1.8306462999999999E-6</v>
      </c>
      <c r="H92" s="74">
        <v>4.5451743999999996E-6</v>
      </c>
      <c r="I92" s="74">
        <v>3.8381287999999997E-8</v>
      </c>
      <c r="J92" s="74">
        <v>3.4489072E-6</v>
      </c>
      <c r="K92">
        <v>5.1652866999999996E-4</v>
      </c>
    </row>
    <row r="93" spans="1:11" x14ac:dyDescent="0.25">
      <c r="A93">
        <v>78</v>
      </c>
      <c r="B93" t="s">
        <v>366</v>
      </c>
      <c r="C93" t="s">
        <v>10</v>
      </c>
      <c r="D93" t="s">
        <v>305</v>
      </c>
      <c r="E93">
        <v>10.287322</v>
      </c>
      <c r="F93">
        <v>0</v>
      </c>
      <c r="G93">
        <v>3.0047922000000001E-2</v>
      </c>
      <c r="H93">
        <v>7.3184752000000006E-2</v>
      </c>
      <c r="I93">
        <v>6.5767908999999995E-4</v>
      </c>
      <c r="J93">
        <v>5.5815574999999999E-2</v>
      </c>
      <c r="K93">
        <v>10.127616</v>
      </c>
    </row>
    <row r="94" spans="1:11" x14ac:dyDescent="0.25">
      <c r="A94">
        <v>79</v>
      </c>
      <c r="B94" t="s">
        <v>367</v>
      </c>
      <c r="C94" t="s">
        <v>10</v>
      </c>
      <c r="D94" t="s">
        <v>192</v>
      </c>
      <c r="E94" s="74">
        <v>4.9140446000000003E-9</v>
      </c>
      <c r="F94">
        <v>0</v>
      </c>
      <c r="G94" s="74">
        <v>7.2538623000000001E-12</v>
      </c>
      <c r="H94" s="74">
        <v>1.2547066999999999E-10</v>
      </c>
      <c r="I94" s="74">
        <v>1.2897271000000001E-13</v>
      </c>
      <c r="J94" s="74">
        <v>1.5779962E-11</v>
      </c>
      <c r="K94" s="74">
        <v>4.7654111000000003E-9</v>
      </c>
    </row>
    <row r="95" spans="1:11" x14ac:dyDescent="0.25">
      <c r="A95">
        <v>80</v>
      </c>
      <c r="B95" t="s">
        <v>690</v>
      </c>
      <c r="C95" t="s">
        <v>10</v>
      </c>
      <c r="D95" t="s">
        <v>192</v>
      </c>
      <c r="E95" s="74">
        <v>2.5975087999999999E-5</v>
      </c>
      <c r="F95">
        <v>0</v>
      </c>
      <c r="G95" s="74">
        <v>1.0214497E-7</v>
      </c>
      <c r="H95" s="74">
        <v>2.1499779999999999E-5</v>
      </c>
      <c r="I95" s="74">
        <v>2.5451077999999999E-8</v>
      </c>
      <c r="J95" s="74">
        <v>4.0461532E-6</v>
      </c>
      <c r="K95" s="74">
        <v>3.0155867999999998E-7</v>
      </c>
    </row>
    <row r="96" spans="1:11" x14ac:dyDescent="0.25">
      <c r="A96">
        <v>81</v>
      </c>
      <c r="B96" t="s">
        <v>691</v>
      </c>
      <c r="C96" t="s">
        <v>10</v>
      </c>
      <c r="D96" t="s">
        <v>192</v>
      </c>
      <c r="E96">
        <v>7.3785440999999993E-2</v>
      </c>
      <c r="F96">
        <v>0</v>
      </c>
      <c r="G96">
        <v>1.2131265000000001E-3</v>
      </c>
      <c r="H96">
        <v>1.5962800999999999E-2</v>
      </c>
      <c r="I96">
        <v>4.5870884E-4</v>
      </c>
      <c r="J96">
        <v>7.4103635000000003E-3</v>
      </c>
      <c r="K96">
        <v>4.8740441000000002E-2</v>
      </c>
    </row>
    <row r="97" spans="1:11" x14ac:dyDescent="0.25">
      <c r="A97">
        <v>82</v>
      </c>
      <c r="B97" t="s">
        <v>692</v>
      </c>
      <c r="C97" t="s">
        <v>10</v>
      </c>
      <c r="D97" t="s">
        <v>192</v>
      </c>
      <c r="E97" s="74">
        <v>1.0388943000000001E-5</v>
      </c>
      <c r="F97">
        <v>0</v>
      </c>
      <c r="G97" s="74">
        <v>9.0719591999999999E-7</v>
      </c>
      <c r="H97" s="74">
        <v>3.7851854000000002E-6</v>
      </c>
      <c r="I97" s="74">
        <v>2.9669646000000001E-9</v>
      </c>
      <c r="J97" s="74">
        <v>3.2738020999999999E-6</v>
      </c>
      <c r="K97" s="74">
        <v>2.4197929000000002E-6</v>
      </c>
    </row>
    <row r="98" spans="1:11" x14ac:dyDescent="0.25">
      <c r="A98">
        <v>83</v>
      </c>
      <c r="B98" t="s">
        <v>369</v>
      </c>
      <c r="C98" t="s">
        <v>10</v>
      </c>
      <c r="D98" t="s">
        <v>192</v>
      </c>
      <c r="E98" s="74">
        <v>8.7354106999999994E-8</v>
      </c>
      <c r="F98">
        <v>0</v>
      </c>
      <c r="G98" s="74">
        <v>4.7984642999999997E-10</v>
      </c>
      <c r="H98" s="74">
        <v>6.0095693999999998E-9</v>
      </c>
      <c r="I98" s="74">
        <v>3.5815079999999999E-8</v>
      </c>
      <c r="J98" s="74">
        <v>3.4886438E-8</v>
      </c>
      <c r="K98" s="74">
        <v>1.0163174000000001E-8</v>
      </c>
    </row>
    <row r="99" spans="1:11" x14ac:dyDescent="0.25">
      <c r="A99">
        <v>84</v>
      </c>
      <c r="B99" t="s">
        <v>370</v>
      </c>
      <c r="C99" t="s">
        <v>10</v>
      </c>
      <c r="D99" t="s">
        <v>192</v>
      </c>
      <c r="E99" s="74">
        <v>1.4463482999999999E-7</v>
      </c>
      <c r="F99">
        <v>0</v>
      </c>
      <c r="G99" s="74">
        <v>6.2766344999999998E-9</v>
      </c>
      <c r="H99" s="74">
        <v>4.3041124000000001E-8</v>
      </c>
      <c r="I99" s="74">
        <v>3.3433026999999997E-11</v>
      </c>
      <c r="J99" s="74">
        <v>2.9680972000000001E-8</v>
      </c>
      <c r="K99" s="74">
        <v>6.5602663999999994E-8</v>
      </c>
    </row>
    <row r="100" spans="1:11" x14ac:dyDescent="0.25">
      <c r="A100">
        <v>85</v>
      </c>
      <c r="B100" t="s">
        <v>371</v>
      </c>
      <c r="C100" t="s">
        <v>10</v>
      </c>
      <c r="D100" t="s">
        <v>192</v>
      </c>
      <c r="E100" s="74">
        <v>9.1928201999999996E-10</v>
      </c>
      <c r="F100">
        <v>0</v>
      </c>
      <c r="G100" s="74">
        <v>5.3613078000000002E-11</v>
      </c>
      <c r="H100" s="74">
        <v>3.1682309000000001E-10</v>
      </c>
      <c r="I100" s="74">
        <v>3.6255153000000002E-13</v>
      </c>
      <c r="J100" s="74">
        <v>2.7308086000000001E-10</v>
      </c>
      <c r="K100" s="74">
        <v>2.7540244000000001E-10</v>
      </c>
    </row>
    <row r="101" spans="1:11" x14ac:dyDescent="0.25">
      <c r="A101">
        <v>86</v>
      </c>
      <c r="B101" t="s">
        <v>693</v>
      </c>
      <c r="C101" t="s">
        <v>10</v>
      </c>
      <c r="D101" t="s">
        <v>192</v>
      </c>
      <c r="E101" s="74">
        <v>5.0651783000000005E-13</v>
      </c>
      <c r="F101">
        <v>0</v>
      </c>
      <c r="G101" s="74">
        <v>2.3212997999999999E-14</v>
      </c>
      <c r="H101" s="74">
        <v>1.8482612E-13</v>
      </c>
      <c r="I101" s="74">
        <v>1.750804E-16</v>
      </c>
      <c r="J101" s="74">
        <v>1.2554853999999999E-13</v>
      </c>
      <c r="K101" s="74">
        <v>1.7275509E-13</v>
      </c>
    </row>
    <row r="102" spans="1:11" x14ac:dyDescent="0.25">
      <c r="A102">
        <v>87</v>
      </c>
      <c r="B102" t="s">
        <v>372</v>
      </c>
      <c r="C102" t="s">
        <v>10</v>
      </c>
      <c r="D102" t="s">
        <v>192</v>
      </c>
      <c r="E102" s="74">
        <v>7.0632641999999995E-10</v>
      </c>
      <c r="F102">
        <v>0</v>
      </c>
      <c r="G102" s="74">
        <v>9.7372748999999999E-11</v>
      </c>
      <c r="H102" s="74">
        <v>2.4191071E-10</v>
      </c>
      <c r="I102" s="74">
        <v>4.4316606999999999E-14</v>
      </c>
      <c r="J102" s="74">
        <v>3.6415084E-10</v>
      </c>
      <c r="K102" s="74">
        <v>2.8478099000000001E-12</v>
      </c>
    </row>
    <row r="103" spans="1:11" x14ac:dyDescent="0.25">
      <c r="A103">
        <v>88</v>
      </c>
      <c r="B103" t="s">
        <v>374</v>
      </c>
      <c r="C103" t="s">
        <v>10</v>
      </c>
      <c r="D103" t="s">
        <v>192</v>
      </c>
      <c r="E103" s="74">
        <v>1.3451868E-12</v>
      </c>
      <c r="F103">
        <v>0</v>
      </c>
      <c r="G103" s="74">
        <v>7.3093102000000004E-14</v>
      </c>
      <c r="H103" s="74">
        <v>4.5563320999999996E-13</v>
      </c>
      <c r="I103" s="74">
        <v>4.8809088000000005E-16</v>
      </c>
      <c r="J103" s="74">
        <v>3.4396985000000001E-13</v>
      </c>
      <c r="K103" s="74">
        <v>4.7200259000000001E-13</v>
      </c>
    </row>
    <row r="104" spans="1:11" x14ac:dyDescent="0.25">
      <c r="A104">
        <v>89</v>
      </c>
      <c r="B104" t="s">
        <v>376</v>
      </c>
      <c r="C104" t="s">
        <v>10</v>
      </c>
      <c r="D104" t="s">
        <v>192</v>
      </c>
      <c r="E104" s="74">
        <v>7.9250415999999999E-7</v>
      </c>
      <c r="F104">
        <v>0</v>
      </c>
      <c r="G104" s="74">
        <v>7.6437084000000002E-9</v>
      </c>
      <c r="H104" s="74">
        <v>4.4070151999999999E-8</v>
      </c>
      <c r="I104" s="74">
        <v>8.1921025999999998E-11</v>
      </c>
      <c r="J104" s="74">
        <v>4.2341948E-8</v>
      </c>
      <c r="K104" s="74">
        <v>6.9836643000000005E-7</v>
      </c>
    </row>
    <row r="105" spans="1:11" x14ac:dyDescent="0.25">
      <c r="A105">
        <v>90</v>
      </c>
      <c r="B105" t="s">
        <v>377</v>
      </c>
      <c r="C105" t="s">
        <v>10</v>
      </c>
      <c r="D105" t="s">
        <v>305</v>
      </c>
      <c r="E105">
        <v>0.24194544000000001</v>
      </c>
      <c r="F105">
        <v>0</v>
      </c>
      <c r="G105">
        <v>8.9976374999999997E-4</v>
      </c>
      <c r="H105">
        <v>2.2194749999999998E-3</v>
      </c>
      <c r="I105" s="74">
        <v>1.8874052000000001E-5</v>
      </c>
      <c r="J105">
        <v>1.6987025E-3</v>
      </c>
      <c r="K105">
        <v>0.23710862999999999</v>
      </c>
    </row>
    <row r="106" spans="1:11" x14ac:dyDescent="0.25">
      <c r="A106">
        <v>91</v>
      </c>
      <c r="B106" t="s">
        <v>379</v>
      </c>
      <c r="C106" t="s">
        <v>10</v>
      </c>
      <c r="D106" t="s">
        <v>192</v>
      </c>
      <c r="E106" s="74">
        <v>1.3870252E-5</v>
      </c>
      <c r="F106">
        <v>0</v>
      </c>
      <c r="G106" s="74">
        <v>9.4879472999999997E-7</v>
      </c>
      <c r="H106" s="74">
        <v>2.8759594000000002E-6</v>
      </c>
      <c r="I106" s="74">
        <v>4.5626941E-8</v>
      </c>
      <c r="J106" s="74">
        <v>5.4408158000000002E-6</v>
      </c>
      <c r="K106" s="74">
        <v>4.5590555E-6</v>
      </c>
    </row>
    <row r="107" spans="1:11" x14ac:dyDescent="0.25">
      <c r="A107">
        <v>92</v>
      </c>
      <c r="B107" t="s">
        <v>380</v>
      </c>
      <c r="C107" t="s">
        <v>10</v>
      </c>
      <c r="D107" t="s">
        <v>192</v>
      </c>
      <c r="E107" s="74">
        <v>6.6736104999999999E-15</v>
      </c>
      <c r="F107">
        <v>0</v>
      </c>
      <c r="G107" s="74">
        <v>2.4398743000000002E-16</v>
      </c>
      <c r="H107" s="74">
        <v>1.5413996E-15</v>
      </c>
      <c r="I107" s="74">
        <v>1.4688951999999999E-18</v>
      </c>
      <c r="J107" s="74">
        <v>1.221106E-15</v>
      </c>
      <c r="K107" s="74">
        <v>3.6656486000000002E-15</v>
      </c>
    </row>
    <row r="108" spans="1:11" x14ac:dyDescent="0.25">
      <c r="A108">
        <v>93</v>
      </c>
      <c r="B108" t="s">
        <v>383</v>
      </c>
      <c r="C108" t="s">
        <v>10</v>
      </c>
      <c r="D108" t="s">
        <v>192</v>
      </c>
      <c r="E108" s="74">
        <v>3.1015558E-5</v>
      </c>
      <c r="F108">
        <v>0</v>
      </c>
      <c r="G108" s="74">
        <v>2.4720502000000002E-6</v>
      </c>
      <c r="H108" s="74">
        <v>8.3962150000000004E-6</v>
      </c>
      <c r="I108" s="74">
        <v>1.7087168E-8</v>
      </c>
      <c r="J108" s="74">
        <v>9.4491833999999992E-6</v>
      </c>
      <c r="K108" s="74">
        <v>1.0681022E-5</v>
      </c>
    </row>
    <row r="109" spans="1:11" x14ac:dyDescent="0.25">
      <c r="A109">
        <v>94</v>
      </c>
      <c r="B109" t="s">
        <v>694</v>
      </c>
      <c r="C109" t="s">
        <v>10</v>
      </c>
      <c r="D109" t="s">
        <v>305</v>
      </c>
      <c r="E109">
        <v>1.6709661000000001E-2</v>
      </c>
      <c r="F109">
        <v>0</v>
      </c>
      <c r="G109" s="74">
        <v>5.8111620000000003E-5</v>
      </c>
      <c r="H109">
        <v>1.4428098000000001E-4</v>
      </c>
      <c r="I109" s="74">
        <v>1.2183669000000001E-6</v>
      </c>
      <c r="J109">
        <v>1.0948133E-4</v>
      </c>
      <c r="K109">
        <v>1.6396569E-2</v>
      </c>
    </row>
    <row r="110" spans="1:11" x14ac:dyDescent="0.25">
      <c r="A110">
        <v>95</v>
      </c>
      <c r="B110" t="s">
        <v>384</v>
      </c>
      <c r="C110" t="s">
        <v>10</v>
      </c>
      <c r="D110" t="s">
        <v>305</v>
      </c>
      <c r="E110">
        <v>2.1889647000000001</v>
      </c>
      <c r="F110">
        <v>0</v>
      </c>
      <c r="G110">
        <v>7.8027770999999999E-3</v>
      </c>
      <c r="H110">
        <v>1.9312553E-2</v>
      </c>
      <c r="I110">
        <v>1.6481075E-4</v>
      </c>
      <c r="J110">
        <v>1.467128E-2</v>
      </c>
      <c r="K110">
        <v>2.1470132999999998</v>
      </c>
    </row>
    <row r="111" spans="1:11" x14ac:dyDescent="0.25">
      <c r="A111">
        <v>96</v>
      </c>
      <c r="B111" t="s">
        <v>385</v>
      </c>
      <c r="C111" t="s">
        <v>10</v>
      </c>
      <c r="D111" t="s">
        <v>305</v>
      </c>
      <c r="E111">
        <v>1.4413009000000001</v>
      </c>
      <c r="F111">
        <v>0</v>
      </c>
      <c r="G111">
        <v>4.9531814000000002E-3</v>
      </c>
      <c r="H111">
        <v>1.2246897E-2</v>
      </c>
      <c r="I111">
        <v>1.0418564E-4</v>
      </c>
      <c r="J111">
        <v>9.3294931000000008E-3</v>
      </c>
      <c r="K111">
        <v>1.4146671</v>
      </c>
    </row>
    <row r="112" spans="1:11" x14ac:dyDescent="0.25">
      <c r="A112">
        <v>97</v>
      </c>
      <c r="B112" t="s">
        <v>695</v>
      </c>
      <c r="C112" t="s">
        <v>10</v>
      </c>
      <c r="D112" t="s">
        <v>192</v>
      </c>
      <c r="E112">
        <v>6.3754711000000002E-3</v>
      </c>
      <c r="F112">
        <v>0</v>
      </c>
      <c r="G112">
        <v>3.9880817999999999E-4</v>
      </c>
      <c r="H112">
        <v>1.8270786E-3</v>
      </c>
      <c r="I112" s="74">
        <v>5.4906177999999998E-6</v>
      </c>
      <c r="J112">
        <v>3.0256466000000001E-3</v>
      </c>
      <c r="K112">
        <v>1.1184471999999999E-3</v>
      </c>
    </row>
    <row r="113" spans="1:11" x14ac:dyDescent="0.25">
      <c r="A113">
        <v>98</v>
      </c>
      <c r="B113" t="s">
        <v>386</v>
      </c>
      <c r="C113" t="s">
        <v>10</v>
      </c>
      <c r="D113" t="s">
        <v>192</v>
      </c>
      <c r="E113">
        <v>2.1488582E-4</v>
      </c>
      <c r="F113">
        <v>0</v>
      </c>
      <c r="G113" s="74">
        <v>8.1923579999999998E-6</v>
      </c>
      <c r="H113" s="74">
        <v>2.8159339E-5</v>
      </c>
      <c r="I113" s="74">
        <v>6.6237888000000005E-8</v>
      </c>
      <c r="J113" s="74">
        <v>3.0545924000000001E-5</v>
      </c>
      <c r="K113">
        <v>1.4792196000000001E-4</v>
      </c>
    </row>
    <row r="114" spans="1:11" x14ac:dyDescent="0.25">
      <c r="A114">
        <v>99</v>
      </c>
      <c r="B114" t="s">
        <v>696</v>
      </c>
      <c r="C114" t="s">
        <v>10</v>
      </c>
      <c r="D114" t="s">
        <v>192</v>
      </c>
      <c r="E114" s="74">
        <v>7.2993412000000004E-14</v>
      </c>
      <c r="F114">
        <v>0</v>
      </c>
      <c r="G114" s="74">
        <v>1.1735733000000001E-15</v>
      </c>
      <c r="H114" s="74">
        <v>6.1480568999999997E-15</v>
      </c>
      <c r="I114" s="74">
        <v>2.4211731000000001E-17</v>
      </c>
      <c r="J114" s="74">
        <v>2.5182096E-15</v>
      </c>
      <c r="K114" s="74">
        <v>6.3129360000000006E-14</v>
      </c>
    </row>
    <row r="115" spans="1:11" x14ac:dyDescent="0.25">
      <c r="A115">
        <v>100</v>
      </c>
      <c r="B115" t="s">
        <v>387</v>
      </c>
      <c r="C115" t="s">
        <v>10</v>
      </c>
      <c r="D115" t="s">
        <v>192</v>
      </c>
      <c r="E115" s="74">
        <v>2.8254862000000002E-7</v>
      </c>
      <c r="F115">
        <v>0</v>
      </c>
      <c r="G115" s="74">
        <v>1.6004092999999999E-8</v>
      </c>
      <c r="H115" s="74">
        <v>1.2173085999999999E-7</v>
      </c>
      <c r="I115" s="74">
        <v>6.4725249000000004E-10</v>
      </c>
      <c r="J115" s="74">
        <v>6.9368406000000007E-8</v>
      </c>
      <c r="K115" s="74">
        <v>7.4798011999999996E-8</v>
      </c>
    </row>
    <row r="116" spans="1:11" x14ac:dyDescent="0.25">
      <c r="A116">
        <v>101</v>
      </c>
      <c r="B116" t="s">
        <v>388</v>
      </c>
      <c r="C116" t="s">
        <v>10</v>
      </c>
      <c r="D116" t="s">
        <v>192</v>
      </c>
      <c r="E116" s="74">
        <v>1.2005985000000001E-6</v>
      </c>
      <c r="F116">
        <v>0</v>
      </c>
      <c r="G116" s="74">
        <v>1.0955277E-7</v>
      </c>
      <c r="H116" s="74">
        <v>5.5262443000000001E-7</v>
      </c>
      <c r="I116" s="74">
        <v>9.3398430000000004E-10</v>
      </c>
      <c r="J116" s="74">
        <v>4.1140170000000002E-7</v>
      </c>
      <c r="K116" s="74">
        <v>1.2608559E-7</v>
      </c>
    </row>
    <row r="117" spans="1:11" x14ac:dyDescent="0.25">
      <c r="A117">
        <v>102</v>
      </c>
      <c r="B117" t="s">
        <v>393</v>
      </c>
      <c r="C117" t="s">
        <v>10</v>
      </c>
      <c r="D117" t="s">
        <v>192</v>
      </c>
      <c r="E117" s="74">
        <v>1.2079751999999999E-16</v>
      </c>
      <c r="F117">
        <v>0</v>
      </c>
      <c r="G117" s="74">
        <v>4.4163617000000002E-18</v>
      </c>
      <c r="H117" s="74">
        <v>2.7900528000000002E-17</v>
      </c>
      <c r="I117" s="74">
        <v>2.6588140999999999E-20</v>
      </c>
      <c r="J117" s="74">
        <v>2.2102965E-17</v>
      </c>
      <c r="K117" s="74">
        <v>6.6351081000000006E-17</v>
      </c>
    </row>
    <row r="118" spans="1:11" x14ac:dyDescent="0.25">
      <c r="A118">
        <v>103</v>
      </c>
      <c r="B118" t="s">
        <v>697</v>
      </c>
      <c r="C118" t="s">
        <v>10</v>
      </c>
      <c r="D118" t="s">
        <v>192</v>
      </c>
      <c r="E118" s="74">
        <v>2.7954475999999998E-28</v>
      </c>
      <c r="F118">
        <v>0</v>
      </c>
      <c r="G118" s="74">
        <v>3.8318264000000002E-29</v>
      </c>
      <c r="H118" s="74">
        <v>9.5191735000000001E-29</v>
      </c>
      <c r="I118" s="74">
        <v>1.1081846999999999E-30</v>
      </c>
      <c r="J118" s="74">
        <v>1.4360892000000001E-28</v>
      </c>
      <c r="K118" s="74">
        <v>1.3176635E-30</v>
      </c>
    </row>
    <row r="119" spans="1:11" x14ac:dyDescent="0.25">
      <c r="A119">
        <v>104</v>
      </c>
      <c r="B119" t="s">
        <v>394</v>
      </c>
      <c r="C119" t="s">
        <v>10</v>
      </c>
      <c r="D119" t="s">
        <v>192</v>
      </c>
      <c r="E119" s="74">
        <v>2.5192510999999998E-16</v>
      </c>
      <c r="F119">
        <v>0</v>
      </c>
      <c r="G119" s="74">
        <v>3.4398724999999997E-17</v>
      </c>
      <c r="H119" s="74">
        <v>8.5464059999999996E-17</v>
      </c>
      <c r="I119" s="74">
        <v>1.498516E-18</v>
      </c>
      <c r="J119" s="74">
        <v>1.2927151E-16</v>
      </c>
      <c r="K119" s="74">
        <v>1.2922909E-18</v>
      </c>
    </row>
    <row r="120" spans="1:11" x14ac:dyDescent="0.25">
      <c r="A120">
        <v>105</v>
      </c>
      <c r="B120" t="s">
        <v>395</v>
      </c>
      <c r="C120" t="s">
        <v>10</v>
      </c>
      <c r="D120" t="s">
        <v>192</v>
      </c>
      <c r="E120" s="74">
        <v>1.070025E-18</v>
      </c>
      <c r="F120">
        <v>0</v>
      </c>
      <c r="G120" s="74">
        <v>4.0477682999999999E-20</v>
      </c>
      <c r="H120" s="74">
        <v>3.6802937999999999E-19</v>
      </c>
      <c r="I120" s="74">
        <v>3.3542661E-22</v>
      </c>
      <c r="J120" s="74">
        <v>6.4552209000000004E-19</v>
      </c>
      <c r="K120" s="74">
        <v>1.5660411999999999E-20</v>
      </c>
    </row>
    <row r="121" spans="1:11" x14ac:dyDescent="0.25">
      <c r="A121">
        <v>106</v>
      </c>
      <c r="B121" t="s">
        <v>698</v>
      </c>
      <c r="C121" t="s">
        <v>10</v>
      </c>
      <c r="D121" t="s">
        <v>192</v>
      </c>
      <c r="E121" s="74">
        <v>2.2504267E-8</v>
      </c>
      <c r="F121">
        <v>0</v>
      </c>
      <c r="G121" s="74">
        <v>2.9346754000000002E-10</v>
      </c>
      <c r="H121" s="74">
        <v>9.3823550000000007E-10</v>
      </c>
      <c r="I121" s="74">
        <v>5.9970978000000003E-12</v>
      </c>
      <c r="J121" s="74">
        <v>5.8296819000000001E-10</v>
      </c>
      <c r="K121" s="74">
        <v>2.0683599E-8</v>
      </c>
    </row>
    <row r="122" spans="1:11" x14ac:dyDescent="0.25">
      <c r="A122">
        <v>107</v>
      </c>
      <c r="B122" t="s">
        <v>699</v>
      </c>
      <c r="C122" t="s">
        <v>10</v>
      </c>
      <c r="D122" t="s">
        <v>192</v>
      </c>
      <c r="E122" s="74">
        <v>1.0663095E-11</v>
      </c>
      <c r="F122">
        <v>0</v>
      </c>
      <c r="G122" s="74">
        <v>6.1790356000000004E-13</v>
      </c>
      <c r="H122" s="74">
        <v>3.3235656E-12</v>
      </c>
      <c r="I122" s="74">
        <v>5.9978214999999998E-15</v>
      </c>
      <c r="J122" s="74">
        <v>2.7572380000000001E-12</v>
      </c>
      <c r="K122" s="74">
        <v>3.9583896000000002E-12</v>
      </c>
    </row>
    <row r="123" spans="1:11" x14ac:dyDescent="0.25">
      <c r="A123">
        <v>108</v>
      </c>
      <c r="B123" t="s">
        <v>397</v>
      </c>
      <c r="C123" t="s">
        <v>10</v>
      </c>
      <c r="D123" t="s">
        <v>192</v>
      </c>
      <c r="E123" s="74">
        <v>3.6838936E-12</v>
      </c>
      <c r="F123">
        <v>0</v>
      </c>
      <c r="G123" s="74">
        <v>1.2732338E-13</v>
      </c>
      <c r="H123" s="74">
        <v>1.2700312000000001E-12</v>
      </c>
      <c r="I123" s="74">
        <v>1.2597205E-15</v>
      </c>
      <c r="J123" s="74">
        <v>8.2525656999999996E-13</v>
      </c>
      <c r="K123" s="74">
        <v>1.4600227E-12</v>
      </c>
    </row>
    <row r="124" spans="1:11" x14ac:dyDescent="0.25">
      <c r="A124">
        <v>109</v>
      </c>
      <c r="B124" t="s">
        <v>400</v>
      </c>
      <c r="C124" t="s">
        <v>10</v>
      </c>
      <c r="D124" t="s">
        <v>192</v>
      </c>
      <c r="E124" s="74">
        <v>2.4542482E-17</v>
      </c>
      <c r="F124">
        <v>0</v>
      </c>
      <c r="G124" s="74">
        <v>3.3511152999999999E-18</v>
      </c>
      <c r="H124" s="74">
        <v>8.3258876999999997E-18</v>
      </c>
      <c r="I124" s="74">
        <v>1.4598506000000001E-19</v>
      </c>
      <c r="J124" s="74">
        <v>1.2593598999999999E-17</v>
      </c>
      <c r="K124" s="74">
        <v>1.2589466999999999E-19</v>
      </c>
    </row>
    <row r="125" spans="1:11" x14ac:dyDescent="0.25">
      <c r="A125">
        <v>110</v>
      </c>
      <c r="B125" t="s">
        <v>403</v>
      </c>
      <c r="C125" t="s">
        <v>10</v>
      </c>
      <c r="D125" t="s">
        <v>192</v>
      </c>
      <c r="E125" s="74">
        <v>1.5066304999999999E-11</v>
      </c>
      <c r="F125">
        <v>0</v>
      </c>
      <c r="G125" s="74">
        <v>3.9058082000000002E-13</v>
      </c>
      <c r="H125" s="74">
        <v>2.4836203E-12</v>
      </c>
      <c r="I125" s="74">
        <v>4.5307471000000002E-12</v>
      </c>
      <c r="J125" s="74">
        <v>5.0125349000000003E-12</v>
      </c>
      <c r="K125" s="74">
        <v>2.6488222000000001E-12</v>
      </c>
    </row>
    <row r="126" spans="1:11" x14ac:dyDescent="0.25">
      <c r="A126">
        <v>111</v>
      </c>
      <c r="B126" t="s">
        <v>700</v>
      </c>
      <c r="C126" t="s">
        <v>10</v>
      </c>
      <c r="D126" t="s">
        <v>192</v>
      </c>
      <c r="E126" s="74">
        <v>1.7704501E-26</v>
      </c>
      <c r="F126">
        <v>0</v>
      </c>
      <c r="G126" s="74">
        <v>2.4268233999999999E-27</v>
      </c>
      <c r="H126" s="74">
        <v>6.0288098000000001E-27</v>
      </c>
      <c r="I126" s="74">
        <v>7.0185027999999996E-29</v>
      </c>
      <c r="J126" s="74">
        <v>9.0952312000000001E-27</v>
      </c>
      <c r="K126" s="74">
        <v>8.3452018000000005E-29</v>
      </c>
    </row>
    <row r="127" spans="1:11" x14ac:dyDescent="0.25">
      <c r="A127">
        <v>112</v>
      </c>
      <c r="B127" t="s">
        <v>407</v>
      </c>
      <c r="C127" t="s">
        <v>10</v>
      </c>
      <c r="D127" t="s">
        <v>192</v>
      </c>
      <c r="E127" s="74">
        <v>2.1379564999999999E-12</v>
      </c>
      <c r="F127">
        <v>0</v>
      </c>
      <c r="G127" s="74">
        <v>7.1455645000000001E-14</v>
      </c>
      <c r="H127" s="74">
        <v>7.3270750999999997E-13</v>
      </c>
      <c r="I127" s="74">
        <v>7.3032256000000003E-16</v>
      </c>
      <c r="J127" s="74">
        <v>4.7378204000000001E-13</v>
      </c>
      <c r="K127" s="74">
        <v>8.5928096999999996E-13</v>
      </c>
    </row>
    <row r="128" spans="1:11" x14ac:dyDescent="0.25">
      <c r="A128">
        <v>113</v>
      </c>
      <c r="B128" t="s">
        <v>701</v>
      </c>
      <c r="C128" t="s">
        <v>10</v>
      </c>
      <c r="D128" t="s">
        <v>192</v>
      </c>
      <c r="E128" s="74">
        <v>2.2392132999999999E-18</v>
      </c>
      <c r="F128">
        <v>0</v>
      </c>
      <c r="G128" s="74">
        <v>3.0693748E-19</v>
      </c>
      <c r="H128" s="74">
        <v>7.6250613000000002E-19</v>
      </c>
      <c r="I128" s="74">
        <v>8.8767958999999996E-21</v>
      </c>
      <c r="J128" s="74">
        <v>1.1503380999999999E-18</v>
      </c>
      <c r="K128" s="74">
        <v>1.0554766E-20</v>
      </c>
    </row>
    <row r="129" spans="1:11" x14ac:dyDescent="0.25">
      <c r="A129">
        <v>114</v>
      </c>
      <c r="B129" t="s">
        <v>702</v>
      </c>
      <c r="C129" t="s">
        <v>10</v>
      </c>
      <c r="D129" t="s">
        <v>192</v>
      </c>
      <c r="E129">
        <v>3.5137899000000001E-3</v>
      </c>
      <c r="F129">
        <v>0</v>
      </c>
      <c r="G129">
        <v>2.4451384999999999E-4</v>
      </c>
      <c r="H129">
        <v>1.0007426E-3</v>
      </c>
      <c r="I129" s="74">
        <v>4.1205696999999998E-6</v>
      </c>
      <c r="J129">
        <v>1.8042043999999999E-3</v>
      </c>
      <c r="K129">
        <v>4.6020845999999999E-4</v>
      </c>
    </row>
    <row r="130" spans="1:11" x14ac:dyDescent="0.25">
      <c r="A130">
        <v>115</v>
      </c>
      <c r="B130" t="s">
        <v>703</v>
      </c>
      <c r="C130" t="s">
        <v>10</v>
      </c>
      <c r="D130" t="s">
        <v>192</v>
      </c>
      <c r="E130" s="74">
        <v>2.3687531000000001E-11</v>
      </c>
      <c r="F130">
        <v>0</v>
      </c>
      <c r="G130" s="74">
        <v>1.3726417999999999E-12</v>
      </c>
      <c r="H130" s="74">
        <v>7.3831345999999997E-12</v>
      </c>
      <c r="I130" s="74">
        <v>1.332386E-14</v>
      </c>
      <c r="J130" s="74">
        <v>6.1250661E-12</v>
      </c>
      <c r="K130" s="74">
        <v>8.7933642999999997E-12</v>
      </c>
    </row>
    <row r="131" spans="1:11" x14ac:dyDescent="0.25">
      <c r="A131">
        <v>116</v>
      </c>
      <c r="B131" t="s">
        <v>704</v>
      </c>
      <c r="C131" t="s">
        <v>10</v>
      </c>
      <c r="D131" t="s">
        <v>192</v>
      </c>
      <c r="E131" s="74">
        <v>1.8038237999999999E-8</v>
      </c>
      <c r="F131">
        <v>0</v>
      </c>
      <c r="G131" s="74">
        <v>9.2025662000000002E-10</v>
      </c>
      <c r="H131" s="74">
        <v>2.2899501E-9</v>
      </c>
      <c r="I131" s="74">
        <v>2.0772260000000001E-10</v>
      </c>
      <c r="J131" s="74">
        <v>3.0463921000000001E-9</v>
      </c>
      <c r="K131" s="74">
        <v>1.1573917E-8</v>
      </c>
    </row>
    <row r="132" spans="1:11" x14ac:dyDescent="0.25">
      <c r="A132">
        <v>117</v>
      </c>
      <c r="B132" t="s">
        <v>411</v>
      </c>
      <c r="C132" t="s">
        <v>10</v>
      </c>
      <c r="D132" t="s">
        <v>192</v>
      </c>
      <c r="E132" s="74">
        <v>1.4159621E-19</v>
      </c>
      <c r="F132">
        <v>0</v>
      </c>
      <c r="G132" s="74">
        <v>1.241765E-21</v>
      </c>
      <c r="H132" s="74">
        <v>3.4007749999999999E-20</v>
      </c>
      <c r="I132" s="74">
        <v>2.2751998E-23</v>
      </c>
      <c r="J132" s="74">
        <v>2.6580164E-20</v>
      </c>
      <c r="K132" s="74">
        <v>7.9743784000000005E-20</v>
      </c>
    </row>
    <row r="133" spans="1:11" x14ac:dyDescent="0.25">
      <c r="A133">
        <v>118</v>
      </c>
      <c r="B133" t="s">
        <v>414</v>
      </c>
      <c r="C133" t="s">
        <v>10</v>
      </c>
      <c r="D133" t="s">
        <v>192</v>
      </c>
      <c r="E133" s="74">
        <v>2.6330386999999999E-8</v>
      </c>
      <c r="F133">
        <v>0</v>
      </c>
      <c r="G133" s="74">
        <v>1.7454452999999999E-10</v>
      </c>
      <c r="H133" s="74">
        <v>5.6942368999999998E-9</v>
      </c>
      <c r="I133" s="74">
        <v>2.6884459000000001E-11</v>
      </c>
      <c r="J133" s="74">
        <v>1.6743203000000002E-8</v>
      </c>
      <c r="K133" s="74">
        <v>3.6915179999999999E-9</v>
      </c>
    </row>
    <row r="134" spans="1:11" x14ac:dyDescent="0.25">
      <c r="A134">
        <v>119</v>
      </c>
      <c r="B134" t="s">
        <v>11</v>
      </c>
      <c r="C134" t="s">
        <v>10</v>
      </c>
      <c r="D134" t="s">
        <v>192</v>
      </c>
      <c r="E134" s="74">
        <v>5.4336594000000002E-8</v>
      </c>
      <c r="F134">
        <v>0</v>
      </c>
      <c r="G134" s="74">
        <v>6.4754762999999997E-9</v>
      </c>
      <c r="H134" s="74">
        <v>2.1138177000000001E-8</v>
      </c>
      <c r="I134" s="74">
        <v>8.6266736999999993E-12</v>
      </c>
      <c r="J134" s="74">
        <v>2.4440690000000001E-8</v>
      </c>
      <c r="K134" s="74">
        <v>2.2736237999999998E-9</v>
      </c>
    </row>
    <row r="135" spans="1:11" x14ac:dyDescent="0.25">
      <c r="A135">
        <v>120</v>
      </c>
      <c r="B135" t="s">
        <v>418</v>
      </c>
      <c r="C135" t="s">
        <v>10</v>
      </c>
      <c r="D135" t="s">
        <v>192</v>
      </c>
      <c r="E135" s="74">
        <v>9.3247176000000004E-8</v>
      </c>
      <c r="F135">
        <v>0</v>
      </c>
      <c r="G135" s="74">
        <v>4.4902116999999997E-9</v>
      </c>
      <c r="H135" s="74">
        <v>5.2036136999999998E-8</v>
      </c>
      <c r="I135" s="74">
        <v>4.1611730000000002E-11</v>
      </c>
      <c r="J135" s="74">
        <v>1.8839984E-8</v>
      </c>
      <c r="K135" s="74">
        <v>1.7839230999999999E-8</v>
      </c>
    </row>
    <row r="136" spans="1:11" x14ac:dyDescent="0.25">
      <c r="A136">
        <v>121</v>
      </c>
      <c r="B136" t="s">
        <v>419</v>
      </c>
      <c r="C136" t="s">
        <v>10</v>
      </c>
      <c r="D136" t="s">
        <v>192</v>
      </c>
      <c r="E136" s="74">
        <v>1.0358324000000001E-9</v>
      </c>
      <c r="F136">
        <v>0</v>
      </c>
      <c r="G136" s="74">
        <v>6.2290685E-11</v>
      </c>
      <c r="H136" s="74">
        <v>1.3728413000000001E-10</v>
      </c>
      <c r="I136" s="74">
        <v>2.9747319999999999E-10</v>
      </c>
      <c r="J136" s="74">
        <v>4.1588727999999998E-10</v>
      </c>
      <c r="K136" s="74">
        <v>1.2289705999999999E-10</v>
      </c>
    </row>
    <row r="137" spans="1:11" x14ac:dyDescent="0.25">
      <c r="A137">
        <v>122</v>
      </c>
      <c r="B137" t="s">
        <v>422</v>
      </c>
      <c r="C137" t="s">
        <v>10</v>
      </c>
      <c r="D137" t="s">
        <v>192</v>
      </c>
      <c r="E137" s="74">
        <v>7.4629615000000004E-21</v>
      </c>
      <c r="F137">
        <v>0</v>
      </c>
      <c r="G137" s="74">
        <v>2.2444355999999999E-22</v>
      </c>
      <c r="H137" s="74">
        <v>2.5688403E-21</v>
      </c>
      <c r="I137" s="74">
        <v>2.1065471999999998E-25</v>
      </c>
      <c r="J137" s="74">
        <v>4.5544567999999997E-21</v>
      </c>
      <c r="K137" s="74">
        <v>1.1501019E-22</v>
      </c>
    </row>
    <row r="138" spans="1:11" x14ac:dyDescent="0.25">
      <c r="A138">
        <v>123</v>
      </c>
      <c r="B138" t="s">
        <v>423</v>
      </c>
      <c r="C138" t="s">
        <v>10</v>
      </c>
      <c r="D138" t="s">
        <v>192</v>
      </c>
      <c r="E138" s="74">
        <v>1.1951084E-11</v>
      </c>
      <c r="F138">
        <v>0</v>
      </c>
      <c r="G138" s="74">
        <v>6.5340755000000004E-13</v>
      </c>
      <c r="H138" s="74">
        <v>5.6043451999999997E-12</v>
      </c>
      <c r="I138" s="74">
        <v>9.2259144999999993E-15</v>
      </c>
      <c r="J138" s="74">
        <v>2.9504783E-12</v>
      </c>
      <c r="K138" s="74">
        <v>2.7336270999999999E-12</v>
      </c>
    </row>
    <row r="139" spans="1:11" x14ac:dyDescent="0.25">
      <c r="A139">
        <v>124</v>
      </c>
      <c r="B139" t="s">
        <v>425</v>
      </c>
      <c r="C139" t="s">
        <v>10</v>
      </c>
      <c r="D139" t="s">
        <v>192</v>
      </c>
      <c r="E139" s="74">
        <v>4.3475032000000003E-11</v>
      </c>
      <c r="F139">
        <v>0</v>
      </c>
      <c r="G139" s="74">
        <v>1.5068202000000001E-13</v>
      </c>
      <c r="H139" s="74">
        <v>4.1788419999999998E-11</v>
      </c>
      <c r="I139" s="74">
        <v>1.4128114999999999E-15</v>
      </c>
      <c r="J139" s="74">
        <v>8.8442369000000001E-13</v>
      </c>
      <c r="K139" s="74">
        <v>6.5009407999999998E-13</v>
      </c>
    </row>
    <row r="140" spans="1:11" x14ac:dyDescent="0.25">
      <c r="A140">
        <v>125</v>
      </c>
      <c r="B140" t="s">
        <v>426</v>
      </c>
      <c r="C140" t="s">
        <v>10</v>
      </c>
      <c r="D140" t="s">
        <v>192</v>
      </c>
      <c r="E140" s="74">
        <v>2.9090573999999999E-9</v>
      </c>
      <c r="F140">
        <v>0</v>
      </c>
      <c r="G140" s="74">
        <v>8.1845904E-13</v>
      </c>
      <c r="H140" s="74">
        <v>2.8985993000000001E-9</v>
      </c>
      <c r="I140" s="74">
        <v>1.1939245999999999E-14</v>
      </c>
      <c r="J140" s="74">
        <v>6.6336934000000001E-12</v>
      </c>
      <c r="K140" s="74">
        <v>2.9940732999999999E-12</v>
      </c>
    </row>
    <row r="141" spans="1:11" x14ac:dyDescent="0.25">
      <c r="A141">
        <v>126</v>
      </c>
      <c r="B141" t="s">
        <v>427</v>
      </c>
      <c r="C141" t="s">
        <v>10</v>
      </c>
      <c r="D141" t="s">
        <v>192</v>
      </c>
      <c r="E141" s="74">
        <v>1.5591113E-8</v>
      </c>
      <c r="F141">
        <v>0</v>
      </c>
      <c r="G141" s="74">
        <v>1.9814243000000001E-9</v>
      </c>
      <c r="H141" s="74">
        <v>6.0632891999999998E-9</v>
      </c>
      <c r="I141" s="74">
        <v>1.5890723E-11</v>
      </c>
      <c r="J141" s="74">
        <v>7.4229469000000001E-9</v>
      </c>
      <c r="K141" s="74">
        <v>1.0756238000000001E-10</v>
      </c>
    </row>
    <row r="142" spans="1:11" x14ac:dyDescent="0.25">
      <c r="A142">
        <v>127</v>
      </c>
      <c r="B142" t="s">
        <v>435</v>
      </c>
      <c r="C142" t="s">
        <v>10</v>
      </c>
      <c r="D142" t="s">
        <v>192</v>
      </c>
      <c r="E142" s="74">
        <v>5.4320084999999997E-11</v>
      </c>
      <c r="F142">
        <v>0</v>
      </c>
      <c r="G142" s="74">
        <v>1.9859441999999999E-12</v>
      </c>
      <c r="H142" s="74">
        <v>1.2546276E-11</v>
      </c>
      <c r="I142" s="74">
        <v>1.1956122999999999E-14</v>
      </c>
      <c r="J142" s="74">
        <v>9.9392345999999993E-12</v>
      </c>
      <c r="K142" s="74">
        <v>2.9836674000000003E-11</v>
      </c>
    </row>
    <row r="143" spans="1:11" x14ac:dyDescent="0.25">
      <c r="A143">
        <v>128</v>
      </c>
      <c r="B143" t="s">
        <v>436</v>
      </c>
      <c r="C143" t="s">
        <v>10</v>
      </c>
      <c r="D143" t="s">
        <v>192</v>
      </c>
      <c r="E143" s="74">
        <v>2.0020831000000001E-11</v>
      </c>
      <c r="F143">
        <v>0</v>
      </c>
      <c r="G143" s="74">
        <v>7.3196229999999996E-13</v>
      </c>
      <c r="H143" s="74">
        <v>4.6241987999999997E-12</v>
      </c>
      <c r="I143" s="74">
        <v>4.4066854999999998E-15</v>
      </c>
      <c r="J143" s="74">
        <v>3.6633179000000002E-12</v>
      </c>
      <c r="K143" s="74">
        <v>1.0996946E-11</v>
      </c>
    </row>
    <row r="144" spans="1:11" x14ac:dyDescent="0.25">
      <c r="A144">
        <v>129</v>
      </c>
      <c r="B144" t="s">
        <v>705</v>
      </c>
      <c r="C144" t="s">
        <v>10</v>
      </c>
      <c r="D144" t="s">
        <v>192</v>
      </c>
      <c r="E144">
        <v>4.5656823000000003E-4</v>
      </c>
      <c r="F144">
        <v>0</v>
      </c>
      <c r="G144" s="74">
        <v>3.8120895999999999E-5</v>
      </c>
      <c r="H144">
        <v>1.4162964000000001E-4</v>
      </c>
      <c r="I144" s="74">
        <v>1.4604594999999999E-7</v>
      </c>
      <c r="J144">
        <v>1.7603103000000001E-4</v>
      </c>
      <c r="K144">
        <v>1.0064061E-4</v>
      </c>
    </row>
    <row r="145" spans="1:11" x14ac:dyDescent="0.25">
      <c r="A145">
        <v>130</v>
      </c>
      <c r="B145" t="s">
        <v>438</v>
      </c>
      <c r="C145" t="s">
        <v>10</v>
      </c>
      <c r="D145" t="s">
        <v>192</v>
      </c>
      <c r="E145" s="74">
        <v>8.2087104999999996E-8</v>
      </c>
      <c r="F145">
        <v>0</v>
      </c>
      <c r="G145" s="74">
        <v>9.1291453000000002E-9</v>
      </c>
      <c r="H145" s="74">
        <v>2.3964408E-8</v>
      </c>
      <c r="I145" s="74">
        <v>1.1157941000000001E-11</v>
      </c>
      <c r="J145" s="74">
        <v>3.4245909999999999E-8</v>
      </c>
      <c r="K145" s="74">
        <v>1.4736483000000001E-8</v>
      </c>
    </row>
    <row r="146" spans="1:11" x14ac:dyDescent="0.25">
      <c r="A146">
        <v>131</v>
      </c>
      <c r="B146" t="s">
        <v>440</v>
      </c>
      <c r="C146" t="s">
        <v>10</v>
      </c>
      <c r="D146" t="s">
        <v>192</v>
      </c>
      <c r="E146" s="74">
        <v>4.5819412999999998E-8</v>
      </c>
      <c r="F146">
        <v>0</v>
      </c>
      <c r="G146" s="74">
        <v>1.9129901000000001E-9</v>
      </c>
      <c r="H146" s="74">
        <v>2.6627169999999999E-8</v>
      </c>
      <c r="I146" s="74">
        <v>1.4214117E-11</v>
      </c>
      <c r="J146" s="74">
        <v>1.1156243E-8</v>
      </c>
      <c r="K146" s="74">
        <v>6.1087954999999996E-9</v>
      </c>
    </row>
    <row r="147" spans="1:11" x14ac:dyDescent="0.25">
      <c r="A147">
        <v>132</v>
      </c>
      <c r="B147" t="s">
        <v>441</v>
      </c>
      <c r="C147" t="s">
        <v>10</v>
      </c>
      <c r="D147" t="s">
        <v>192</v>
      </c>
      <c r="E147" s="74">
        <v>1.1690499000000001E-12</v>
      </c>
      <c r="F147">
        <v>0</v>
      </c>
      <c r="G147" s="74">
        <v>7.1401328999999998E-14</v>
      </c>
      <c r="H147" s="74">
        <v>4.0665297999999998E-13</v>
      </c>
      <c r="I147" s="74">
        <v>5.5923972000000004E-16</v>
      </c>
      <c r="J147" s="74">
        <v>2.9921454000000001E-13</v>
      </c>
      <c r="K147" s="74">
        <v>3.9122184999999998E-13</v>
      </c>
    </row>
    <row r="148" spans="1:11" x14ac:dyDescent="0.25">
      <c r="A148">
        <v>133</v>
      </c>
      <c r="B148" t="s">
        <v>706</v>
      </c>
      <c r="C148" t="s">
        <v>10</v>
      </c>
      <c r="D148" t="s">
        <v>192</v>
      </c>
      <c r="E148" s="74">
        <v>2.0883458E-9</v>
      </c>
      <c r="F148">
        <v>0</v>
      </c>
      <c r="G148" s="74">
        <v>9.8728220999999995E-12</v>
      </c>
      <c r="H148" s="74">
        <v>1.9744080999999998E-9</v>
      </c>
      <c r="I148" s="74">
        <v>6.8894547000000005E-14</v>
      </c>
      <c r="J148" s="74">
        <v>5.1403094000000001E-11</v>
      </c>
      <c r="K148" s="74">
        <v>5.2592877999999997E-11</v>
      </c>
    </row>
    <row r="149" spans="1:11" x14ac:dyDescent="0.25">
      <c r="A149">
        <v>134</v>
      </c>
      <c r="B149" t="s">
        <v>442</v>
      </c>
      <c r="C149" t="s">
        <v>10</v>
      </c>
      <c r="D149" t="s">
        <v>192</v>
      </c>
      <c r="E149" s="74">
        <v>3.3936107E-13</v>
      </c>
      <c r="F149">
        <v>0</v>
      </c>
      <c r="G149" s="74">
        <v>2.0726792000000001E-14</v>
      </c>
      <c r="H149" s="74">
        <v>1.1804675999999999E-13</v>
      </c>
      <c r="I149" s="74">
        <v>1.6233942E-16</v>
      </c>
      <c r="J149" s="74">
        <v>8.6857934999999995E-14</v>
      </c>
      <c r="K149" s="74">
        <v>1.1356725000000001E-13</v>
      </c>
    </row>
    <row r="150" spans="1:11" x14ac:dyDescent="0.25">
      <c r="A150">
        <v>135</v>
      </c>
      <c r="B150" t="s">
        <v>707</v>
      </c>
      <c r="C150" t="s">
        <v>10</v>
      </c>
      <c r="D150" t="s">
        <v>192</v>
      </c>
      <c r="E150" s="74">
        <v>1.5925378000000001E-9</v>
      </c>
      <c r="F150">
        <v>0</v>
      </c>
      <c r="G150" s="74">
        <v>1.0388884000000001E-10</v>
      </c>
      <c r="H150" s="74">
        <v>4.9404532E-10</v>
      </c>
      <c r="I150" s="74">
        <v>1.2301525E-12</v>
      </c>
      <c r="J150" s="74">
        <v>4.3873858000000001E-10</v>
      </c>
      <c r="K150" s="74">
        <v>5.5463491000000003E-10</v>
      </c>
    </row>
    <row r="151" spans="1:11" x14ac:dyDescent="0.25">
      <c r="A151">
        <v>136</v>
      </c>
      <c r="B151" t="s">
        <v>444</v>
      </c>
      <c r="C151" t="s">
        <v>10</v>
      </c>
      <c r="D151" t="s">
        <v>192</v>
      </c>
      <c r="E151" s="74">
        <v>1.7955234E-12</v>
      </c>
      <c r="F151">
        <v>0</v>
      </c>
      <c r="G151" s="74">
        <v>1.0134299E-13</v>
      </c>
      <c r="H151" s="74">
        <v>6.0214152000000003E-13</v>
      </c>
      <c r="I151" s="74">
        <v>6.5212074E-16</v>
      </c>
      <c r="J151" s="74">
        <v>4.2112734999999998E-13</v>
      </c>
      <c r="K151" s="74">
        <v>6.7025937000000001E-13</v>
      </c>
    </row>
    <row r="152" spans="1:11" x14ac:dyDescent="0.25">
      <c r="A152">
        <v>137</v>
      </c>
      <c r="B152" t="s">
        <v>445</v>
      </c>
      <c r="C152" t="s">
        <v>10</v>
      </c>
      <c r="D152" t="s">
        <v>446</v>
      </c>
      <c r="E152">
        <v>9.8860568999999995E-2</v>
      </c>
      <c r="F152">
        <v>0</v>
      </c>
      <c r="G152">
        <v>8.4381952E-3</v>
      </c>
      <c r="H152">
        <v>2.6434450000000002E-2</v>
      </c>
      <c r="I152">
        <v>2.0468921000000001E-4</v>
      </c>
      <c r="J152">
        <v>5.7187745999999998E-2</v>
      </c>
      <c r="K152">
        <v>6.5954882000000001E-3</v>
      </c>
    </row>
    <row r="153" spans="1:11" x14ac:dyDescent="0.25">
      <c r="A153">
        <v>138</v>
      </c>
      <c r="B153" t="s">
        <v>451</v>
      </c>
      <c r="C153" t="s">
        <v>10</v>
      </c>
      <c r="D153" t="s">
        <v>192</v>
      </c>
      <c r="E153" s="74">
        <v>8.0982658000000003E-7</v>
      </c>
      <c r="F153">
        <v>0</v>
      </c>
      <c r="G153" s="74">
        <v>5.2340767999999997E-8</v>
      </c>
      <c r="H153" s="74">
        <v>2.5941172000000001E-7</v>
      </c>
      <c r="I153" s="74">
        <v>3.5222297999999999E-10</v>
      </c>
      <c r="J153" s="74">
        <v>2.0409355000000001E-7</v>
      </c>
      <c r="K153" s="74">
        <v>2.9362832000000001E-7</v>
      </c>
    </row>
    <row r="154" spans="1:11" x14ac:dyDescent="0.25">
      <c r="A154">
        <v>139</v>
      </c>
      <c r="B154" t="s">
        <v>452</v>
      </c>
      <c r="C154" t="s">
        <v>10</v>
      </c>
      <c r="D154" t="s">
        <v>192</v>
      </c>
      <c r="E154" s="74">
        <v>7.4755032999999997E-8</v>
      </c>
      <c r="F154">
        <v>0</v>
      </c>
      <c r="G154" s="74">
        <v>4.8315386E-9</v>
      </c>
      <c r="H154" s="74">
        <v>2.3946313999999999E-8</v>
      </c>
      <c r="I154" s="74">
        <v>3.2513532999999997E-11</v>
      </c>
      <c r="J154" s="74">
        <v>1.8839843000000002E-8</v>
      </c>
      <c r="K154" s="74">
        <v>2.7104825000000001E-8</v>
      </c>
    </row>
    <row r="155" spans="1:11" x14ac:dyDescent="0.25">
      <c r="A155">
        <v>140</v>
      </c>
      <c r="B155" t="s">
        <v>453</v>
      </c>
      <c r="C155" t="s">
        <v>10</v>
      </c>
      <c r="D155" t="s">
        <v>192</v>
      </c>
      <c r="E155" s="74">
        <v>3.3278324999999999E-6</v>
      </c>
      <c r="F155">
        <v>0</v>
      </c>
      <c r="G155" s="74">
        <v>2.1476160000000001E-7</v>
      </c>
      <c r="H155" s="74">
        <v>1.0644207E-6</v>
      </c>
      <c r="I155" s="74">
        <v>1.4516018E-9</v>
      </c>
      <c r="J155" s="74">
        <v>8.3795329000000003E-7</v>
      </c>
      <c r="K155" s="74">
        <v>1.2092453E-6</v>
      </c>
    </row>
    <row r="156" spans="1:11" x14ac:dyDescent="0.25">
      <c r="A156">
        <v>141</v>
      </c>
      <c r="B156" t="s">
        <v>455</v>
      </c>
      <c r="C156" t="s">
        <v>10</v>
      </c>
      <c r="D156" t="s">
        <v>192</v>
      </c>
      <c r="E156" s="74">
        <v>1.5476408000000002E-5</v>
      </c>
      <c r="F156">
        <v>0</v>
      </c>
      <c r="G156" s="74">
        <v>3.6214881999999999E-8</v>
      </c>
      <c r="H156" s="74">
        <v>1.4436156E-7</v>
      </c>
      <c r="I156" s="74">
        <v>5.1463485999999997E-9</v>
      </c>
      <c r="J156" s="74">
        <v>1.4423728E-5</v>
      </c>
      <c r="K156" s="74">
        <v>8.6695671000000001E-7</v>
      </c>
    </row>
    <row r="157" spans="1:11" x14ac:dyDescent="0.25">
      <c r="A157">
        <v>142</v>
      </c>
      <c r="B157" t="s">
        <v>457</v>
      </c>
      <c r="C157" t="s">
        <v>10</v>
      </c>
      <c r="D157" t="s">
        <v>305</v>
      </c>
      <c r="E157">
        <v>85486.307000000001</v>
      </c>
      <c r="F157">
        <v>0</v>
      </c>
      <c r="G157">
        <v>160.70117999999999</v>
      </c>
      <c r="H157">
        <v>401.57945000000001</v>
      </c>
      <c r="I157">
        <v>3.3021153000000001</v>
      </c>
      <c r="J157">
        <v>302.77260999999999</v>
      </c>
      <c r="K157">
        <v>84617.952000000005</v>
      </c>
    </row>
    <row r="158" spans="1:11" x14ac:dyDescent="0.25">
      <c r="A158">
        <v>143</v>
      </c>
      <c r="B158" t="s">
        <v>708</v>
      </c>
      <c r="C158" t="s">
        <v>10</v>
      </c>
      <c r="D158" t="s">
        <v>192</v>
      </c>
      <c r="E158" s="74">
        <v>5.3760494000000003E-6</v>
      </c>
      <c r="F158">
        <v>0</v>
      </c>
      <c r="G158" s="74">
        <v>2.5959307E-8</v>
      </c>
      <c r="H158" s="74">
        <v>8.0689522999999993E-8</v>
      </c>
      <c r="I158" s="74">
        <v>3.0028183000000002E-6</v>
      </c>
      <c r="J158" s="74">
        <v>2.1688676999999998E-6</v>
      </c>
      <c r="K158" s="74">
        <v>9.7714643000000001E-8</v>
      </c>
    </row>
    <row r="159" spans="1:11" x14ac:dyDescent="0.25">
      <c r="A159">
        <v>144</v>
      </c>
      <c r="B159" t="s">
        <v>458</v>
      </c>
      <c r="C159" t="s">
        <v>10</v>
      </c>
      <c r="D159" t="s">
        <v>192</v>
      </c>
      <c r="E159" s="74">
        <v>1.0133893000000001E-6</v>
      </c>
      <c r="F159">
        <v>0</v>
      </c>
      <c r="G159" s="74">
        <v>8.8489751000000004E-8</v>
      </c>
      <c r="H159" s="74">
        <v>3.6923485999999998E-7</v>
      </c>
      <c r="I159" s="74">
        <v>2.8940643000000001E-10</v>
      </c>
      <c r="J159" s="74">
        <v>3.1933323999999999E-7</v>
      </c>
      <c r="K159" s="74">
        <v>2.3604202999999999E-7</v>
      </c>
    </row>
    <row r="160" spans="1:11" x14ac:dyDescent="0.25">
      <c r="A160">
        <v>145</v>
      </c>
      <c r="B160" t="s">
        <v>460</v>
      </c>
      <c r="C160" t="s">
        <v>10</v>
      </c>
      <c r="D160" t="s">
        <v>192</v>
      </c>
      <c r="E160" s="74">
        <v>1.2732602E-7</v>
      </c>
      <c r="F160">
        <v>0</v>
      </c>
      <c r="G160" s="74">
        <v>5.3628742000000002E-9</v>
      </c>
      <c r="H160" s="74">
        <v>9.1843473999999996E-8</v>
      </c>
      <c r="I160" s="74">
        <v>4.3250845999999998E-12</v>
      </c>
      <c r="J160" s="74">
        <v>2.0289895000000001E-8</v>
      </c>
      <c r="K160" s="74">
        <v>9.8254470000000005E-9</v>
      </c>
    </row>
    <row r="161" spans="1:11" x14ac:dyDescent="0.25">
      <c r="A161">
        <v>146</v>
      </c>
      <c r="B161" t="s">
        <v>461</v>
      </c>
      <c r="C161" t="s">
        <v>10</v>
      </c>
      <c r="D161" t="s">
        <v>192</v>
      </c>
      <c r="E161" s="74">
        <v>2.2098003999999998E-5</v>
      </c>
      <c r="F161">
        <v>0</v>
      </c>
      <c r="G161" s="74">
        <v>1.4514748000000001E-6</v>
      </c>
      <c r="H161" s="74">
        <v>3.6271036999999998E-6</v>
      </c>
      <c r="I161" s="74">
        <v>2.350343E-8</v>
      </c>
      <c r="J161" s="74">
        <v>3.6432229000000002E-6</v>
      </c>
      <c r="K161" s="74">
        <v>1.3352699000000001E-5</v>
      </c>
    </row>
    <row r="162" spans="1:11" x14ac:dyDescent="0.25">
      <c r="A162">
        <v>147</v>
      </c>
      <c r="B162" t="s">
        <v>709</v>
      </c>
      <c r="C162" t="s">
        <v>10</v>
      </c>
      <c r="D162" t="s">
        <v>192</v>
      </c>
      <c r="E162" s="74">
        <v>1.3563205E-7</v>
      </c>
      <c r="F162">
        <v>0</v>
      </c>
      <c r="G162" s="74">
        <v>1.8142790000000002E-8</v>
      </c>
      <c r="H162" s="74">
        <v>5.0295142999999997E-8</v>
      </c>
      <c r="I162" s="74">
        <v>2.8688814E-11</v>
      </c>
      <c r="J162" s="74">
        <v>6.5835409999999999E-8</v>
      </c>
      <c r="K162" s="74">
        <v>1.3300131E-9</v>
      </c>
    </row>
    <row r="163" spans="1:11" x14ac:dyDescent="0.25">
      <c r="A163">
        <v>148</v>
      </c>
      <c r="B163" t="s">
        <v>710</v>
      </c>
      <c r="C163" t="s">
        <v>10</v>
      </c>
      <c r="D163" t="s">
        <v>192</v>
      </c>
      <c r="E163" s="74">
        <v>1.0745726E-6</v>
      </c>
      <c r="F163">
        <v>0</v>
      </c>
      <c r="G163" s="74">
        <v>2.5706719E-8</v>
      </c>
      <c r="H163" s="74">
        <v>6.7182650000000001E-8</v>
      </c>
      <c r="I163" s="74">
        <v>4.7784152000000003E-10</v>
      </c>
      <c r="J163" s="74">
        <v>5.0507873000000001E-8</v>
      </c>
      <c r="K163" s="74">
        <v>9.3069749999999997E-7</v>
      </c>
    </row>
    <row r="164" spans="1:11" x14ac:dyDescent="0.25">
      <c r="A164">
        <v>149</v>
      </c>
      <c r="B164" t="s">
        <v>465</v>
      </c>
      <c r="C164" t="s">
        <v>10</v>
      </c>
      <c r="D164" t="s">
        <v>192</v>
      </c>
      <c r="E164" s="74">
        <v>1.8960295999999998E-15</v>
      </c>
      <c r="F164">
        <v>0</v>
      </c>
      <c r="G164" s="74">
        <v>6.9318909999999997E-17</v>
      </c>
      <c r="H164" s="74">
        <v>4.3792477E-16</v>
      </c>
      <c r="I164" s="74">
        <v>4.1732564000000002E-19</v>
      </c>
      <c r="J164" s="74">
        <v>3.4692662000000002E-16</v>
      </c>
      <c r="K164" s="74">
        <v>1.0414420000000001E-15</v>
      </c>
    </row>
    <row r="165" spans="1:11" x14ac:dyDescent="0.25">
      <c r="A165">
        <v>150</v>
      </c>
      <c r="B165" t="s">
        <v>711</v>
      </c>
      <c r="C165" t="s">
        <v>10</v>
      </c>
      <c r="D165" t="s">
        <v>192</v>
      </c>
      <c r="E165" s="74">
        <v>8.5851369999999995E-7</v>
      </c>
      <c r="F165">
        <v>0</v>
      </c>
      <c r="G165" s="74">
        <v>5.3995429000000003E-8</v>
      </c>
      <c r="H165" s="74">
        <v>2.7356528999999999E-7</v>
      </c>
      <c r="I165" s="74">
        <v>4.4744744000000001E-10</v>
      </c>
      <c r="J165" s="74">
        <v>2.6378904000000002E-7</v>
      </c>
      <c r="K165" s="74">
        <v>2.667165E-7</v>
      </c>
    </row>
    <row r="166" spans="1:11" x14ac:dyDescent="0.25">
      <c r="A166">
        <v>151</v>
      </c>
      <c r="B166" t="s">
        <v>468</v>
      </c>
      <c r="C166" t="s">
        <v>10</v>
      </c>
      <c r="D166" t="s">
        <v>305</v>
      </c>
      <c r="E166">
        <v>2.3582003999999999</v>
      </c>
      <c r="F166">
        <v>0</v>
      </c>
      <c r="G166">
        <v>3.2368815999999998E-3</v>
      </c>
      <c r="H166">
        <v>8.3193923000000006E-3</v>
      </c>
      <c r="I166" s="74">
        <v>6.1551018999999999E-5</v>
      </c>
      <c r="J166">
        <v>6.2006965999999997E-3</v>
      </c>
      <c r="K166">
        <v>2.3403819000000001</v>
      </c>
    </row>
    <row r="167" spans="1:11" x14ac:dyDescent="0.25">
      <c r="A167">
        <v>152</v>
      </c>
      <c r="B167" t="s">
        <v>469</v>
      </c>
      <c r="C167" t="s">
        <v>10</v>
      </c>
      <c r="D167" t="s">
        <v>305</v>
      </c>
      <c r="E167">
        <v>2.4491026000000001E-3</v>
      </c>
      <c r="F167">
        <v>0</v>
      </c>
      <c r="G167" s="74">
        <v>8.8810763999999995E-6</v>
      </c>
      <c r="H167" s="74">
        <v>2.1964660000000001E-5</v>
      </c>
      <c r="I167" s="74">
        <v>1.8583028E-7</v>
      </c>
      <c r="J167" s="74">
        <v>1.6768755000000001E-5</v>
      </c>
      <c r="K167">
        <v>2.4013022999999998E-3</v>
      </c>
    </row>
    <row r="168" spans="1:11" x14ac:dyDescent="0.25">
      <c r="A168">
        <v>153</v>
      </c>
      <c r="B168" t="s">
        <v>470</v>
      </c>
      <c r="C168" t="s">
        <v>10</v>
      </c>
      <c r="D168" t="s">
        <v>192</v>
      </c>
      <c r="E168">
        <v>4.1426053999999999E-3</v>
      </c>
      <c r="F168">
        <v>0</v>
      </c>
      <c r="G168">
        <v>2.8119024999999999E-4</v>
      </c>
      <c r="H168">
        <v>1.0387980000000001E-3</v>
      </c>
      <c r="I168" s="74">
        <v>2.1409147000000001E-6</v>
      </c>
      <c r="J168">
        <v>1.1524825E-3</v>
      </c>
      <c r="K168">
        <v>1.6679938E-3</v>
      </c>
    </row>
    <row r="169" spans="1:11" x14ac:dyDescent="0.25">
      <c r="A169">
        <v>154</v>
      </c>
      <c r="B169" t="s">
        <v>712</v>
      </c>
      <c r="C169" t="s">
        <v>10</v>
      </c>
      <c r="D169" t="s">
        <v>305</v>
      </c>
      <c r="E169">
        <v>10.937461000000001</v>
      </c>
      <c r="F169">
        <v>0</v>
      </c>
      <c r="G169">
        <v>1.4805976E-2</v>
      </c>
      <c r="H169">
        <v>3.8090961999999999E-2</v>
      </c>
      <c r="I169">
        <v>2.8074840999999998E-4</v>
      </c>
      <c r="J169">
        <v>2.8376951000000001E-2</v>
      </c>
      <c r="K169">
        <v>10.855905999999999</v>
      </c>
    </row>
    <row r="170" spans="1:11" x14ac:dyDescent="0.25">
      <c r="A170">
        <v>155</v>
      </c>
      <c r="B170" t="s">
        <v>473</v>
      </c>
      <c r="C170" t="s">
        <v>10</v>
      </c>
      <c r="D170" t="s">
        <v>192</v>
      </c>
      <c r="E170" s="74">
        <v>1.4090767E-11</v>
      </c>
      <c r="F170">
        <v>0</v>
      </c>
      <c r="G170" s="74">
        <v>6.5642477000000001E-14</v>
      </c>
      <c r="H170" s="74">
        <v>1.3252741E-11</v>
      </c>
      <c r="I170" s="74">
        <v>8.5328275000000003E-16</v>
      </c>
      <c r="J170" s="74">
        <v>4.5389777E-13</v>
      </c>
      <c r="K170" s="74">
        <v>3.1763242000000002E-13</v>
      </c>
    </row>
    <row r="171" spans="1:11" x14ac:dyDescent="0.25">
      <c r="A171">
        <v>156</v>
      </c>
      <c r="B171" t="s">
        <v>479</v>
      </c>
      <c r="C171" t="s">
        <v>10</v>
      </c>
      <c r="D171" t="s">
        <v>192</v>
      </c>
      <c r="E171" s="74">
        <v>1.6747510000000001E-12</v>
      </c>
      <c r="F171">
        <v>0</v>
      </c>
      <c r="G171" s="74">
        <v>5.5974234000000002E-14</v>
      </c>
      <c r="H171" s="74">
        <v>5.7396050999999998E-13</v>
      </c>
      <c r="I171" s="74">
        <v>5.7209236999999996E-16</v>
      </c>
      <c r="J171" s="74">
        <v>3.7113339000000001E-13</v>
      </c>
      <c r="K171" s="74">
        <v>6.7311073999999999E-13</v>
      </c>
    </row>
    <row r="172" spans="1:11" x14ac:dyDescent="0.25">
      <c r="A172">
        <v>157</v>
      </c>
      <c r="B172" t="s">
        <v>481</v>
      </c>
      <c r="C172" t="s">
        <v>10</v>
      </c>
      <c r="D172" t="s">
        <v>192</v>
      </c>
      <c r="E172" s="74">
        <v>1.7999735000000001E-24</v>
      </c>
      <c r="F172">
        <v>0</v>
      </c>
      <c r="G172" s="74">
        <v>5.4132996000000003E-26</v>
      </c>
      <c r="H172" s="74">
        <v>6.1957234999999996E-25</v>
      </c>
      <c r="I172" s="74">
        <v>5.0807300000000003E-29</v>
      </c>
      <c r="J172" s="74">
        <v>1.0984784000000001E-24</v>
      </c>
      <c r="K172" s="74">
        <v>2.7739026999999998E-26</v>
      </c>
    </row>
    <row r="173" spans="1:11" x14ac:dyDescent="0.25">
      <c r="A173">
        <v>158</v>
      </c>
      <c r="B173" t="s">
        <v>482</v>
      </c>
      <c r="C173" t="s">
        <v>10</v>
      </c>
      <c r="D173" t="s">
        <v>305</v>
      </c>
      <c r="E173">
        <v>3.9303061000000002E-3</v>
      </c>
      <c r="F173">
        <v>0</v>
      </c>
      <c r="G173" s="74">
        <v>1.4322735999999999E-5</v>
      </c>
      <c r="H173" s="74">
        <v>3.5407085999999997E-5</v>
      </c>
      <c r="I173" s="74">
        <v>2.9962444999999997E-7</v>
      </c>
      <c r="J173" s="74">
        <v>2.7050257E-5</v>
      </c>
      <c r="K173">
        <v>3.8532264000000001E-3</v>
      </c>
    </row>
    <row r="174" spans="1:11" x14ac:dyDescent="0.25">
      <c r="A174">
        <v>159</v>
      </c>
      <c r="B174" t="s">
        <v>483</v>
      </c>
      <c r="C174" t="s">
        <v>10</v>
      </c>
      <c r="D174" t="s">
        <v>192</v>
      </c>
      <c r="E174" s="74">
        <v>1.3272434E-5</v>
      </c>
      <c r="F174">
        <v>0</v>
      </c>
      <c r="G174" s="74">
        <v>6.5865160000000002E-7</v>
      </c>
      <c r="H174" s="74">
        <v>3.1370312999999998E-6</v>
      </c>
      <c r="I174" s="74">
        <v>5.5238655999999997E-9</v>
      </c>
      <c r="J174" s="74">
        <v>4.9028836999999998E-6</v>
      </c>
      <c r="K174" s="74">
        <v>4.5683434999999998E-6</v>
      </c>
    </row>
    <row r="175" spans="1:11" x14ac:dyDescent="0.25">
      <c r="A175">
        <v>160</v>
      </c>
      <c r="B175" t="s">
        <v>484</v>
      </c>
      <c r="C175" t="s">
        <v>10</v>
      </c>
      <c r="D175" t="s">
        <v>305</v>
      </c>
      <c r="E175">
        <v>0.42926978999999998</v>
      </c>
      <c r="F175">
        <v>0</v>
      </c>
      <c r="G175">
        <v>4.4359467999999999E-3</v>
      </c>
      <c r="H175">
        <v>1.9833703000000001E-2</v>
      </c>
      <c r="I175" s="74">
        <v>8.6500556999999999E-5</v>
      </c>
      <c r="J175">
        <v>1.7326273E-2</v>
      </c>
      <c r="K175">
        <v>0.38758736999999999</v>
      </c>
    </row>
    <row r="176" spans="1:11" x14ac:dyDescent="0.25">
      <c r="A176">
        <v>161</v>
      </c>
      <c r="B176" t="s">
        <v>485</v>
      </c>
      <c r="C176" t="s">
        <v>10</v>
      </c>
      <c r="D176" t="s">
        <v>192</v>
      </c>
      <c r="E176">
        <v>1.4392431E-3</v>
      </c>
      <c r="F176">
        <v>0</v>
      </c>
      <c r="G176" s="74">
        <v>4.3895996999999996E-6</v>
      </c>
      <c r="H176" s="74">
        <v>4.2332970000000001E-5</v>
      </c>
      <c r="I176" s="74">
        <v>8.4909386999999997E-8</v>
      </c>
      <c r="J176" s="74">
        <v>3.6614596999999999E-5</v>
      </c>
      <c r="K176">
        <v>1.3558209999999999E-3</v>
      </c>
    </row>
    <row r="177" spans="1:11" x14ac:dyDescent="0.25">
      <c r="A177">
        <v>162</v>
      </c>
      <c r="B177" t="s">
        <v>486</v>
      </c>
      <c r="C177" t="s">
        <v>10</v>
      </c>
      <c r="D177" t="s">
        <v>192</v>
      </c>
      <c r="E177" s="74">
        <v>4.0567153000000001E-8</v>
      </c>
      <c r="F177">
        <v>0</v>
      </c>
      <c r="G177" s="74">
        <v>1.2391942E-10</v>
      </c>
      <c r="H177" s="74">
        <v>1.1962375E-9</v>
      </c>
      <c r="I177" s="74">
        <v>2.3935403000000001E-12</v>
      </c>
      <c r="J177" s="74">
        <v>1.0347432000000001E-9</v>
      </c>
      <c r="K177" s="74">
        <v>3.8209859000000001E-8</v>
      </c>
    </row>
    <row r="178" spans="1:11" x14ac:dyDescent="0.25">
      <c r="A178">
        <v>163</v>
      </c>
      <c r="B178" t="s">
        <v>487</v>
      </c>
      <c r="C178" t="s">
        <v>10</v>
      </c>
      <c r="D178" t="s">
        <v>192</v>
      </c>
      <c r="E178">
        <v>1.2917825000000001E-2</v>
      </c>
      <c r="F178">
        <v>0</v>
      </c>
      <c r="G178">
        <v>8.7676677999999999E-4</v>
      </c>
      <c r="H178">
        <v>3.1680544000000001E-3</v>
      </c>
      <c r="I178" s="74">
        <v>3.7721975999999997E-5</v>
      </c>
      <c r="J178">
        <v>3.3824583000000002E-3</v>
      </c>
      <c r="K178">
        <v>5.4528234999999996E-3</v>
      </c>
    </row>
    <row r="179" spans="1:11" x14ac:dyDescent="0.25">
      <c r="A179">
        <v>164</v>
      </c>
      <c r="B179" t="s">
        <v>488</v>
      </c>
      <c r="C179" t="s">
        <v>10</v>
      </c>
      <c r="D179" t="s">
        <v>192</v>
      </c>
      <c r="E179">
        <v>1.0605896E-3</v>
      </c>
      <c r="F179">
        <v>0</v>
      </c>
      <c r="G179" s="74">
        <v>8.0912443000000006E-5</v>
      </c>
      <c r="H179">
        <v>2.9144198999999998E-4</v>
      </c>
      <c r="I179" s="74">
        <v>6.1229176000000002E-7</v>
      </c>
      <c r="J179">
        <v>3.0038925E-4</v>
      </c>
      <c r="K179">
        <v>3.8723361000000001E-4</v>
      </c>
    </row>
    <row r="180" spans="1:11" x14ac:dyDescent="0.25">
      <c r="A180">
        <v>165</v>
      </c>
      <c r="B180" t="s">
        <v>489</v>
      </c>
      <c r="C180" t="s">
        <v>10</v>
      </c>
      <c r="D180" t="s">
        <v>305</v>
      </c>
      <c r="E180">
        <v>7.2750006000000006E-2</v>
      </c>
      <c r="F180">
        <v>0</v>
      </c>
      <c r="G180">
        <v>2.7365628000000002E-4</v>
      </c>
      <c r="H180">
        <v>6.7369510999999997E-4</v>
      </c>
      <c r="I180" s="74">
        <v>5.7966988999999997E-6</v>
      </c>
      <c r="J180">
        <v>5.1491356000000002E-4</v>
      </c>
      <c r="K180">
        <v>7.1281944E-2</v>
      </c>
    </row>
    <row r="181" spans="1:11" x14ac:dyDescent="0.25">
      <c r="A181">
        <v>166</v>
      </c>
      <c r="B181" t="s">
        <v>490</v>
      </c>
      <c r="C181" t="s">
        <v>10</v>
      </c>
      <c r="D181" t="s">
        <v>192</v>
      </c>
      <c r="E181" s="74">
        <v>1.4413192E-18</v>
      </c>
      <c r="F181">
        <v>0</v>
      </c>
      <c r="G181" s="74">
        <v>6.8565116000000003E-20</v>
      </c>
      <c r="H181" s="74">
        <v>4.9525007E-19</v>
      </c>
      <c r="I181" s="74">
        <v>9.6835351000000001E-22</v>
      </c>
      <c r="J181" s="74">
        <v>8.5684495000000001E-19</v>
      </c>
      <c r="K181" s="74">
        <v>1.9690685999999999E-20</v>
      </c>
    </row>
    <row r="182" spans="1:11" x14ac:dyDescent="0.25">
      <c r="A182">
        <v>167</v>
      </c>
      <c r="B182" t="s">
        <v>491</v>
      </c>
      <c r="C182" t="s">
        <v>10</v>
      </c>
      <c r="D182" t="s">
        <v>192</v>
      </c>
      <c r="E182" s="74">
        <v>2.3826590000000001E-7</v>
      </c>
      <c r="F182">
        <v>0</v>
      </c>
      <c r="G182" s="74">
        <v>1.1852939000000001E-8</v>
      </c>
      <c r="H182" s="74">
        <v>3.8884522999999997E-8</v>
      </c>
      <c r="I182" s="74">
        <v>2.0603168999999999E-10</v>
      </c>
      <c r="J182" s="74">
        <v>5.7804666999999997E-8</v>
      </c>
      <c r="K182" s="74">
        <v>1.2951773999999999E-7</v>
      </c>
    </row>
    <row r="183" spans="1:11" x14ac:dyDescent="0.25">
      <c r="A183">
        <v>168</v>
      </c>
      <c r="B183" t="s">
        <v>498</v>
      </c>
      <c r="C183" t="s">
        <v>10</v>
      </c>
      <c r="D183" t="s">
        <v>192</v>
      </c>
      <c r="E183" s="74">
        <v>1.7804231000000001E-7</v>
      </c>
      <c r="F183">
        <v>0</v>
      </c>
      <c r="G183" s="74">
        <v>5.6735159999999996E-9</v>
      </c>
      <c r="H183" s="74">
        <v>3.0060561000000003E-8</v>
      </c>
      <c r="I183" s="74">
        <v>4.6163609000000001E-11</v>
      </c>
      <c r="J183" s="74">
        <v>2.5916673999999998E-8</v>
      </c>
      <c r="K183" s="74">
        <v>1.1634539E-7</v>
      </c>
    </row>
    <row r="184" spans="1:11" x14ac:dyDescent="0.25">
      <c r="A184">
        <v>169</v>
      </c>
      <c r="B184" t="s">
        <v>44</v>
      </c>
      <c r="C184" t="s">
        <v>10</v>
      </c>
      <c r="D184" t="s">
        <v>192</v>
      </c>
      <c r="E184" s="74">
        <v>1.9251625000000001E-7</v>
      </c>
      <c r="F184">
        <v>0</v>
      </c>
      <c r="G184" s="74">
        <v>2.3257302999999998E-8</v>
      </c>
      <c r="H184" s="74">
        <v>7.0561120999999995E-8</v>
      </c>
      <c r="I184" s="74">
        <v>3.8456727E-11</v>
      </c>
      <c r="J184" s="74">
        <v>9.0860347999999999E-8</v>
      </c>
      <c r="K184" s="74">
        <v>7.7990222999999997E-9</v>
      </c>
    </row>
    <row r="185" spans="1:11" x14ac:dyDescent="0.25">
      <c r="A185">
        <v>170</v>
      </c>
      <c r="B185" t="s">
        <v>509</v>
      </c>
      <c r="C185" t="s">
        <v>10</v>
      </c>
      <c r="D185" t="s">
        <v>192</v>
      </c>
      <c r="E185" s="74">
        <v>5.9950700000000003E-21</v>
      </c>
      <c r="F185">
        <v>0</v>
      </c>
      <c r="G185" s="74">
        <v>1.8029771000000001E-22</v>
      </c>
      <c r="H185" s="74">
        <v>2.0635746E-21</v>
      </c>
      <c r="I185" s="74">
        <v>1.6922099999999999E-25</v>
      </c>
      <c r="J185" s="74">
        <v>3.6586397000000001E-21</v>
      </c>
      <c r="K185" s="74">
        <v>9.2388807E-23</v>
      </c>
    </row>
    <row r="186" spans="1:11" x14ac:dyDescent="0.25">
      <c r="A186">
        <v>171</v>
      </c>
      <c r="B186" t="s">
        <v>510</v>
      </c>
      <c r="C186" t="s">
        <v>10</v>
      </c>
      <c r="D186" t="s">
        <v>192</v>
      </c>
      <c r="E186" s="74">
        <v>1.5260753E-13</v>
      </c>
      <c r="F186">
        <v>0</v>
      </c>
      <c r="G186" s="74">
        <v>8.3858182999999998E-15</v>
      </c>
      <c r="H186" s="74">
        <v>5.1649275999999997E-14</v>
      </c>
      <c r="I186" s="74">
        <v>6.0696250000000002E-17</v>
      </c>
      <c r="J186" s="74">
        <v>3.9491272000000002E-14</v>
      </c>
      <c r="K186" s="74">
        <v>5.3020466000000002E-14</v>
      </c>
    </row>
    <row r="187" spans="1:11" x14ac:dyDescent="0.25">
      <c r="A187">
        <v>172</v>
      </c>
      <c r="B187" t="s">
        <v>511</v>
      </c>
      <c r="C187" t="s">
        <v>10</v>
      </c>
      <c r="D187" t="s">
        <v>192</v>
      </c>
      <c r="E187" s="74">
        <v>1.1815262E-7</v>
      </c>
      <c r="F187">
        <v>0</v>
      </c>
      <c r="G187" s="74">
        <v>1.6313482E-8</v>
      </c>
      <c r="H187" s="74">
        <v>4.0492490999999997E-8</v>
      </c>
      <c r="I187" s="74">
        <v>7.0487127000000001E-12</v>
      </c>
      <c r="J187" s="74">
        <v>6.0919568E-8</v>
      </c>
      <c r="K187" s="74">
        <v>4.2002968000000002E-10</v>
      </c>
    </row>
    <row r="188" spans="1:11" x14ac:dyDescent="0.25">
      <c r="A188">
        <v>173</v>
      </c>
      <c r="B188" t="s">
        <v>514</v>
      </c>
      <c r="C188" t="s">
        <v>10</v>
      </c>
      <c r="D188" t="s">
        <v>192</v>
      </c>
      <c r="E188" s="74">
        <v>3.9416589000000002E-12</v>
      </c>
      <c r="F188">
        <v>0</v>
      </c>
      <c r="G188" s="74">
        <v>5.3921433999999998E-13</v>
      </c>
      <c r="H188" s="74">
        <v>1.3511443000000001E-12</v>
      </c>
      <c r="I188" s="74">
        <v>2.6229956000000002E-16</v>
      </c>
      <c r="J188" s="74">
        <v>2.0154310999999999E-12</v>
      </c>
      <c r="K188" s="74">
        <v>3.5606908000000001E-14</v>
      </c>
    </row>
    <row r="189" spans="1:11" x14ac:dyDescent="0.25">
      <c r="A189">
        <v>174</v>
      </c>
      <c r="B189" t="s">
        <v>516</v>
      </c>
      <c r="C189" t="s">
        <v>10</v>
      </c>
      <c r="D189" t="s">
        <v>192</v>
      </c>
      <c r="E189" s="74">
        <v>1.3360250000000001E-12</v>
      </c>
      <c r="F189">
        <v>0</v>
      </c>
      <c r="G189" s="74">
        <v>5.4871363999999998E-14</v>
      </c>
      <c r="H189" s="74">
        <v>4.1870046000000002E-13</v>
      </c>
      <c r="I189" s="74">
        <v>4.8444849999999999E-16</v>
      </c>
      <c r="J189" s="74">
        <v>3.3065094000000002E-13</v>
      </c>
      <c r="K189" s="74">
        <v>5.3131781000000003E-13</v>
      </c>
    </row>
    <row r="190" spans="1:11" x14ac:dyDescent="0.25">
      <c r="A190">
        <v>175</v>
      </c>
      <c r="B190" t="s">
        <v>517</v>
      </c>
      <c r="C190" t="s">
        <v>10</v>
      </c>
      <c r="D190" t="s">
        <v>192</v>
      </c>
      <c r="E190" s="74">
        <v>1.0841013E-14</v>
      </c>
      <c r="F190">
        <v>0</v>
      </c>
      <c r="G190" s="74">
        <v>6.1866620000000005E-16</v>
      </c>
      <c r="H190" s="74">
        <v>3.6359401999999996E-15</v>
      </c>
      <c r="I190" s="74">
        <v>4.4086023999999997E-18</v>
      </c>
      <c r="J190" s="74">
        <v>2.5662393000000002E-15</v>
      </c>
      <c r="K190" s="74">
        <v>4.0157590999999998E-15</v>
      </c>
    </row>
    <row r="191" spans="1:11" x14ac:dyDescent="0.25">
      <c r="A191">
        <v>176</v>
      </c>
      <c r="B191" t="s">
        <v>519</v>
      </c>
      <c r="C191" t="s">
        <v>10</v>
      </c>
      <c r="D191" t="s">
        <v>192</v>
      </c>
      <c r="E191" s="74">
        <v>9.7475603000000001E-6</v>
      </c>
      <c r="F191">
        <v>0</v>
      </c>
      <c r="G191" s="74">
        <v>6.6634269999999997E-7</v>
      </c>
      <c r="H191" s="74">
        <v>2.4315412999999998E-6</v>
      </c>
      <c r="I191" s="74">
        <v>4.6959997000000002E-9</v>
      </c>
      <c r="J191" s="74">
        <v>2.5643498999999999E-6</v>
      </c>
      <c r="K191" s="74">
        <v>4.0806303999999997E-6</v>
      </c>
    </row>
    <row r="192" spans="1:11" x14ac:dyDescent="0.25">
      <c r="A192">
        <v>177</v>
      </c>
      <c r="B192" t="s">
        <v>713</v>
      </c>
      <c r="C192" t="s">
        <v>10</v>
      </c>
      <c r="D192" t="s">
        <v>305</v>
      </c>
      <c r="E192">
        <v>1.1794523E-3</v>
      </c>
      <c r="F192">
        <v>0</v>
      </c>
      <c r="G192" s="74">
        <v>4.3563060999999998E-6</v>
      </c>
      <c r="H192" s="74">
        <v>1.0756131E-5</v>
      </c>
      <c r="I192" s="74">
        <v>9.1075243999999998E-8</v>
      </c>
      <c r="J192" s="74">
        <v>8.2330620000000002E-6</v>
      </c>
      <c r="K192">
        <v>1.1560157000000001E-3</v>
      </c>
    </row>
    <row r="193" spans="1:11" x14ac:dyDescent="0.25">
      <c r="A193">
        <v>178</v>
      </c>
      <c r="B193" t="s">
        <v>714</v>
      </c>
      <c r="C193" t="s">
        <v>10</v>
      </c>
      <c r="D193" t="s">
        <v>192</v>
      </c>
      <c r="E193" s="74">
        <v>4.8143821E-26</v>
      </c>
      <c r="F193">
        <v>0</v>
      </c>
      <c r="G193" s="74">
        <v>6.5992566999999994E-27</v>
      </c>
      <c r="H193" s="74">
        <v>1.6394132E-26</v>
      </c>
      <c r="I193" s="74">
        <v>1.9085403E-28</v>
      </c>
      <c r="J193" s="74">
        <v>2.4732647E-26</v>
      </c>
      <c r="K193" s="74">
        <v>2.2693093E-28</v>
      </c>
    </row>
    <row r="194" spans="1:11" x14ac:dyDescent="0.25">
      <c r="A194">
        <v>179</v>
      </c>
      <c r="B194" t="s">
        <v>520</v>
      </c>
      <c r="C194" t="s">
        <v>10</v>
      </c>
      <c r="D194" t="s">
        <v>192</v>
      </c>
      <c r="E194" s="74">
        <v>2.6277628000000002E-10</v>
      </c>
      <c r="F194">
        <v>0</v>
      </c>
      <c r="G194" s="74">
        <v>4.2248640000000001E-12</v>
      </c>
      <c r="H194" s="74">
        <v>2.2133005000000002E-11</v>
      </c>
      <c r="I194" s="74">
        <v>8.7162229999999994E-14</v>
      </c>
      <c r="J194" s="74">
        <v>9.0655545000000001E-12</v>
      </c>
      <c r="K194" s="74">
        <v>2.2726570000000001E-10</v>
      </c>
    </row>
    <row r="195" spans="1:11" x14ac:dyDescent="0.25">
      <c r="A195">
        <v>180</v>
      </c>
      <c r="B195" t="s">
        <v>715</v>
      </c>
      <c r="C195" t="s">
        <v>10</v>
      </c>
      <c r="D195" t="s">
        <v>192</v>
      </c>
      <c r="E195" s="74">
        <v>5.2802899000000003E-29</v>
      </c>
      <c r="F195">
        <v>0</v>
      </c>
      <c r="G195" s="74">
        <v>7.2378942000000005E-30</v>
      </c>
      <c r="H195" s="74">
        <v>1.7980660999999999E-29</v>
      </c>
      <c r="I195" s="74">
        <v>2.0932376999999998E-31</v>
      </c>
      <c r="J195" s="74">
        <v>2.7126128000000001E-29</v>
      </c>
      <c r="K195" s="74">
        <v>2.4889198000000002E-31</v>
      </c>
    </row>
    <row r="196" spans="1:11" x14ac:dyDescent="0.25">
      <c r="A196">
        <v>181</v>
      </c>
      <c r="B196" t="s">
        <v>521</v>
      </c>
      <c r="C196" t="s">
        <v>10</v>
      </c>
      <c r="D196" t="s">
        <v>192</v>
      </c>
      <c r="E196" s="74">
        <v>4.0145130000000001E-12</v>
      </c>
      <c r="F196">
        <v>0</v>
      </c>
      <c r="G196" s="74">
        <v>1.4677074000000001E-13</v>
      </c>
      <c r="H196" s="74">
        <v>9.2722953000000005E-13</v>
      </c>
      <c r="I196" s="74">
        <v>8.8361445999999996E-16</v>
      </c>
      <c r="J196" s="74">
        <v>7.3455676999999997E-13</v>
      </c>
      <c r="K196" s="74">
        <v>2.2050723000000001E-12</v>
      </c>
    </row>
    <row r="197" spans="1:11" x14ac:dyDescent="0.25">
      <c r="A197">
        <v>182</v>
      </c>
      <c r="B197" t="s">
        <v>522</v>
      </c>
      <c r="C197" t="s">
        <v>10</v>
      </c>
      <c r="D197" t="s">
        <v>192</v>
      </c>
      <c r="E197" s="74">
        <v>9.0114894000000004E-5</v>
      </c>
      <c r="F197">
        <v>0</v>
      </c>
      <c r="G197" s="74">
        <v>6.1474001999999997E-6</v>
      </c>
      <c r="H197" s="74">
        <v>1.9259952000000001E-5</v>
      </c>
      <c r="I197" s="74">
        <v>7.7835050000000005E-8</v>
      </c>
      <c r="J197" s="74">
        <v>2.3846868999999999E-5</v>
      </c>
      <c r="K197" s="74">
        <v>4.0782838000000003E-5</v>
      </c>
    </row>
    <row r="198" spans="1:11" x14ac:dyDescent="0.25">
      <c r="A198">
        <v>183</v>
      </c>
      <c r="B198" t="s">
        <v>523</v>
      </c>
      <c r="C198" t="s">
        <v>10</v>
      </c>
      <c r="D198" t="s">
        <v>305</v>
      </c>
      <c r="E198">
        <v>7.4607407000000002E-3</v>
      </c>
      <c r="F198">
        <v>0</v>
      </c>
      <c r="G198" s="74">
        <v>2.6383555999999999E-5</v>
      </c>
      <c r="H198" s="74">
        <v>6.5396866000000004E-5</v>
      </c>
      <c r="I198" s="74">
        <v>5.5323342999999999E-7</v>
      </c>
      <c r="J198" s="74">
        <v>4.9732386E-5</v>
      </c>
      <c r="K198">
        <v>7.3186746999999996E-3</v>
      </c>
    </row>
    <row r="199" spans="1:11" x14ac:dyDescent="0.25">
      <c r="A199">
        <v>184</v>
      </c>
      <c r="B199" t="s">
        <v>524</v>
      </c>
      <c r="C199" t="s">
        <v>10</v>
      </c>
      <c r="D199" t="s">
        <v>192</v>
      </c>
      <c r="E199">
        <v>1.5531541E-3</v>
      </c>
      <c r="F199">
        <v>0</v>
      </c>
      <c r="G199">
        <v>1.6766362000000001E-4</v>
      </c>
      <c r="H199">
        <v>2.8679007999999999E-4</v>
      </c>
      <c r="I199" s="74">
        <v>8.1154847000000005E-7</v>
      </c>
      <c r="J199">
        <v>2.1757741000000001E-4</v>
      </c>
      <c r="K199">
        <v>8.8031142999999996E-4</v>
      </c>
    </row>
    <row r="200" spans="1:11" x14ac:dyDescent="0.25">
      <c r="A200">
        <v>185</v>
      </c>
      <c r="B200" t="s">
        <v>716</v>
      </c>
      <c r="C200" t="s">
        <v>10</v>
      </c>
      <c r="D200" t="s">
        <v>192</v>
      </c>
      <c r="E200" s="74">
        <v>2.2359488E-6</v>
      </c>
      <c r="F200">
        <v>0</v>
      </c>
      <c r="G200" s="74">
        <v>9.4309665999999998E-7</v>
      </c>
      <c r="H200" s="74">
        <v>9.3692322000000004E-7</v>
      </c>
      <c r="I200" s="74">
        <v>1.4994926E-9</v>
      </c>
      <c r="J200" s="74">
        <v>1.974796E-7</v>
      </c>
      <c r="K200" s="74">
        <v>1.569498E-7</v>
      </c>
    </row>
    <row r="201" spans="1:11" x14ac:dyDescent="0.25">
      <c r="A201">
        <v>186</v>
      </c>
      <c r="B201" t="s">
        <v>525</v>
      </c>
      <c r="C201" t="s">
        <v>10</v>
      </c>
      <c r="D201" t="s">
        <v>192</v>
      </c>
      <c r="E201" s="74">
        <v>7.4400997000000003E-9</v>
      </c>
      <c r="F201">
        <v>0</v>
      </c>
      <c r="G201" s="74">
        <v>8.3009223000000003E-11</v>
      </c>
      <c r="H201" s="74">
        <v>3.1695104000000001E-10</v>
      </c>
      <c r="I201" s="74">
        <v>4.4926677E-9</v>
      </c>
      <c r="J201" s="74">
        <v>2.2908814999999999E-9</v>
      </c>
      <c r="K201" s="74">
        <v>2.5659022999999998E-10</v>
      </c>
    </row>
    <row r="202" spans="1:11" x14ac:dyDescent="0.25">
      <c r="A202">
        <v>187</v>
      </c>
      <c r="B202" t="s">
        <v>529</v>
      </c>
      <c r="C202" t="s">
        <v>10</v>
      </c>
      <c r="D202" t="s">
        <v>192</v>
      </c>
      <c r="E202" s="74">
        <v>1.8546106000000002E-5</v>
      </c>
      <c r="F202">
        <v>0</v>
      </c>
      <c r="G202" s="74">
        <v>1.3566425000000001E-6</v>
      </c>
      <c r="H202" s="74">
        <v>3.9478930999999999E-6</v>
      </c>
      <c r="I202" s="74">
        <v>7.0648308999999998E-9</v>
      </c>
      <c r="J202" s="74">
        <v>1.9445868E-6</v>
      </c>
      <c r="K202" s="74">
        <v>1.1289917999999999E-5</v>
      </c>
    </row>
    <row r="203" spans="1:11" x14ac:dyDescent="0.25">
      <c r="A203">
        <v>188</v>
      </c>
      <c r="B203" t="s">
        <v>717</v>
      </c>
      <c r="C203" t="s">
        <v>10</v>
      </c>
      <c r="D203" t="s">
        <v>192</v>
      </c>
      <c r="E203" s="74">
        <v>1.3932839999999999E-5</v>
      </c>
      <c r="F203">
        <v>0</v>
      </c>
      <c r="G203" s="74">
        <v>1.0906237999999999E-6</v>
      </c>
      <c r="H203" s="74">
        <v>4.0886124000000002E-6</v>
      </c>
      <c r="I203" s="74">
        <v>4.4568823E-8</v>
      </c>
      <c r="J203" s="74">
        <v>7.1879700000000001E-6</v>
      </c>
      <c r="K203" s="74">
        <v>1.5210651999999999E-6</v>
      </c>
    </row>
    <row r="204" spans="1:11" x14ac:dyDescent="0.25">
      <c r="A204">
        <v>189</v>
      </c>
      <c r="B204" t="s">
        <v>532</v>
      </c>
      <c r="C204" t="s">
        <v>10</v>
      </c>
      <c r="D204" t="s">
        <v>192</v>
      </c>
      <c r="E204" s="74">
        <v>2.9544572E-8</v>
      </c>
      <c r="F204">
        <v>0</v>
      </c>
      <c r="G204" s="74">
        <v>9.0108710000000004E-11</v>
      </c>
      <c r="H204" s="74">
        <v>8.6900145999999999E-10</v>
      </c>
      <c r="I204" s="74">
        <v>1.7430020999999999E-12</v>
      </c>
      <c r="J204" s="74">
        <v>7.5161658E-10</v>
      </c>
      <c r="K204" s="74">
        <v>2.7832103E-8</v>
      </c>
    </row>
    <row r="205" spans="1:11" x14ac:dyDescent="0.25">
      <c r="A205">
        <v>190</v>
      </c>
      <c r="B205" t="s">
        <v>718</v>
      </c>
      <c r="C205" t="s">
        <v>10</v>
      </c>
      <c r="D205" t="s">
        <v>192</v>
      </c>
      <c r="E205" s="74">
        <v>6.0949646999999996E-9</v>
      </c>
      <c r="F205">
        <v>0</v>
      </c>
      <c r="G205" s="74">
        <v>3.4335151000000001E-10</v>
      </c>
      <c r="H205" s="74">
        <v>2.0439774999999998E-9</v>
      </c>
      <c r="I205" s="74">
        <v>2.1680904000000001E-12</v>
      </c>
      <c r="J205" s="74">
        <v>1.4272227E-9</v>
      </c>
      <c r="K205" s="74">
        <v>2.2782449000000001E-9</v>
      </c>
    </row>
    <row r="206" spans="1:11" x14ac:dyDescent="0.25">
      <c r="A206">
        <v>191</v>
      </c>
      <c r="B206" t="s">
        <v>719</v>
      </c>
      <c r="C206" t="s">
        <v>10</v>
      </c>
      <c r="D206" t="s">
        <v>192</v>
      </c>
      <c r="E206">
        <v>4.3706703000000001E-4</v>
      </c>
      <c r="F206">
        <v>0</v>
      </c>
      <c r="G206" s="74">
        <v>2.5493619000000001E-5</v>
      </c>
      <c r="H206">
        <v>1.2790602000000001E-4</v>
      </c>
      <c r="I206" s="74">
        <v>2.0199557999999999E-7</v>
      </c>
      <c r="J206">
        <v>1.0883547E-4</v>
      </c>
      <c r="K206">
        <v>1.7462991999999999E-4</v>
      </c>
    </row>
    <row r="207" spans="1:11" x14ac:dyDescent="0.25">
      <c r="A207">
        <v>192</v>
      </c>
      <c r="B207" t="s">
        <v>533</v>
      </c>
      <c r="C207" t="s">
        <v>10</v>
      </c>
      <c r="D207" t="s">
        <v>192</v>
      </c>
      <c r="E207" s="74">
        <v>2.2051981999999999E-8</v>
      </c>
      <c r="F207">
        <v>0</v>
      </c>
      <c r="G207" s="74">
        <v>2.3896003000000002E-9</v>
      </c>
      <c r="H207" s="74">
        <v>6.1527210000000001E-9</v>
      </c>
      <c r="I207" s="74">
        <v>4.1650186000000004E-12</v>
      </c>
      <c r="J207" s="74">
        <v>9.6139982000000003E-9</v>
      </c>
      <c r="K207" s="74">
        <v>3.8914976999999997E-9</v>
      </c>
    </row>
    <row r="208" spans="1:11" x14ac:dyDescent="0.25">
      <c r="A208">
        <v>193</v>
      </c>
      <c r="B208" t="s">
        <v>535</v>
      </c>
      <c r="C208" t="s">
        <v>10</v>
      </c>
      <c r="D208" t="s">
        <v>192</v>
      </c>
      <c r="E208" s="74">
        <v>4.5524725000000001E-8</v>
      </c>
      <c r="F208">
        <v>0</v>
      </c>
      <c r="G208" s="74">
        <v>3.2392648000000001E-9</v>
      </c>
      <c r="H208" s="74">
        <v>1.4158002000000001E-8</v>
      </c>
      <c r="I208" s="74">
        <v>1.9442147999999999E-11</v>
      </c>
      <c r="J208" s="74">
        <v>1.2870108E-8</v>
      </c>
      <c r="K208" s="74">
        <v>1.5237908000000001E-8</v>
      </c>
    </row>
    <row r="209" spans="1:11" x14ac:dyDescent="0.25">
      <c r="A209">
        <v>194</v>
      </c>
      <c r="B209" t="s">
        <v>541</v>
      </c>
      <c r="C209" t="s">
        <v>10</v>
      </c>
      <c r="D209" t="s">
        <v>192</v>
      </c>
      <c r="E209" s="74">
        <v>3.3414324E-17</v>
      </c>
      <c r="F209">
        <v>0</v>
      </c>
      <c r="G209" s="74">
        <v>4.5625071999999999E-18</v>
      </c>
      <c r="H209" s="74">
        <v>1.1335606E-17</v>
      </c>
      <c r="I209" s="74">
        <v>1.9875709E-19</v>
      </c>
      <c r="J209" s="74">
        <v>1.7146049E-17</v>
      </c>
      <c r="K209" s="74">
        <v>1.7140422999999999E-19</v>
      </c>
    </row>
    <row r="210" spans="1:11" x14ac:dyDescent="0.25">
      <c r="A210">
        <v>195</v>
      </c>
      <c r="B210" t="s">
        <v>546</v>
      </c>
      <c r="C210" t="s">
        <v>10</v>
      </c>
      <c r="D210" t="s">
        <v>192</v>
      </c>
      <c r="E210" s="74">
        <v>4.5059804000000001E-11</v>
      </c>
      <c r="F210">
        <v>0</v>
      </c>
      <c r="G210" s="74">
        <v>1.647388E-12</v>
      </c>
      <c r="H210" s="74">
        <v>1.0407435E-11</v>
      </c>
      <c r="I210" s="74">
        <v>9.9178891000000001E-15</v>
      </c>
      <c r="J210" s="74">
        <v>8.2448317999999995E-12</v>
      </c>
      <c r="K210" s="74">
        <v>2.4750232E-11</v>
      </c>
    </row>
    <row r="211" spans="1:11" x14ac:dyDescent="0.25">
      <c r="A211">
        <v>196</v>
      </c>
      <c r="B211" t="s">
        <v>547</v>
      </c>
      <c r="C211" t="s">
        <v>10</v>
      </c>
      <c r="D211" t="s">
        <v>192</v>
      </c>
      <c r="E211" s="74">
        <v>2.4877818000000002E-6</v>
      </c>
      <c r="F211">
        <v>0</v>
      </c>
      <c r="G211" s="74">
        <v>4.9984964000000002E-8</v>
      </c>
      <c r="H211" s="74">
        <v>2.4516590000000002E-7</v>
      </c>
      <c r="I211" s="74">
        <v>1.9789726999999999E-9</v>
      </c>
      <c r="J211" s="74">
        <v>1.3136136999999999E-6</v>
      </c>
      <c r="K211" s="74">
        <v>8.7703827999999998E-7</v>
      </c>
    </row>
    <row r="212" spans="1:11" x14ac:dyDescent="0.25">
      <c r="A212">
        <v>197</v>
      </c>
      <c r="B212" t="s">
        <v>720</v>
      </c>
      <c r="C212" t="s">
        <v>10</v>
      </c>
      <c r="D212" t="s">
        <v>192</v>
      </c>
      <c r="E212">
        <v>4.8337867000000003E-3</v>
      </c>
      <c r="F212">
        <v>0</v>
      </c>
      <c r="G212">
        <v>2.2903467000000001E-4</v>
      </c>
      <c r="H212">
        <v>7.6535168000000005E-4</v>
      </c>
      <c r="I212" s="74">
        <v>2.5374867999999998E-6</v>
      </c>
      <c r="J212">
        <v>2.3674545999999999E-3</v>
      </c>
      <c r="K212">
        <v>1.4694082E-3</v>
      </c>
    </row>
    <row r="213" spans="1:11" x14ac:dyDescent="0.25">
      <c r="A213">
        <v>198</v>
      </c>
      <c r="B213" t="s">
        <v>553</v>
      </c>
      <c r="C213" t="s">
        <v>10</v>
      </c>
      <c r="D213" t="s">
        <v>192</v>
      </c>
      <c r="E213" s="74">
        <v>9.9162154999999999E-7</v>
      </c>
      <c r="F213">
        <v>0</v>
      </c>
      <c r="G213" s="74">
        <v>9.7603672999999997E-8</v>
      </c>
      <c r="H213" s="74">
        <v>6.5342888000000001E-7</v>
      </c>
      <c r="I213" s="74">
        <v>4.6467435E-10</v>
      </c>
      <c r="J213" s="74">
        <v>1.5251407E-7</v>
      </c>
      <c r="K213" s="74">
        <v>8.7610250999999999E-8</v>
      </c>
    </row>
    <row r="214" spans="1:11" x14ac:dyDescent="0.25">
      <c r="A214">
        <v>199</v>
      </c>
      <c r="B214" t="s">
        <v>558</v>
      </c>
      <c r="C214" t="s">
        <v>10</v>
      </c>
      <c r="D214" t="s">
        <v>305</v>
      </c>
      <c r="E214">
        <v>0.36633547</v>
      </c>
      <c r="F214">
        <v>0</v>
      </c>
      <c r="G214">
        <v>5.6886786999999998E-3</v>
      </c>
      <c r="H214">
        <v>1.9030918000000001E-2</v>
      </c>
      <c r="I214">
        <v>4.9815456000000004E-4</v>
      </c>
      <c r="J214">
        <v>0.31571423999999998</v>
      </c>
      <c r="K214">
        <v>2.5403484E-2</v>
      </c>
    </row>
    <row r="215" spans="1:11" x14ac:dyDescent="0.25">
      <c r="A215">
        <v>200</v>
      </c>
      <c r="B215" t="s">
        <v>559</v>
      </c>
      <c r="C215" t="s">
        <v>10</v>
      </c>
      <c r="D215" t="s">
        <v>192</v>
      </c>
      <c r="E215" s="74">
        <v>4.769622E-14</v>
      </c>
      <c r="F215">
        <v>0</v>
      </c>
      <c r="G215" s="74">
        <v>4.9747983999999998E-15</v>
      </c>
      <c r="H215" s="74">
        <v>1.4247253000000002E-14</v>
      </c>
      <c r="I215" s="74">
        <v>1.2127793E-17</v>
      </c>
      <c r="J215" s="74">
        <v>1.87104E-14</v>
      </c>
      <c r="K215" s="74">
        <v>9.7516406000000007E-15</v>
      </c>
    </row>
    <row r="216" spans="1:11" x14ac:dyDescent="0.25">
      <c r="A216">
        <v>201</v>
      </c>
      <c r="B216" t="s">
        <v>560</v>
      </c>
      <c r="C216" t="s">
        <v>10</v>
      </c>
      <c r="D216" t="s">
        <v>192</v>
      </c>
      <c r="E216">
        <v>7.3674941999999997E-3</v>
      </c>
      <c r="F216">
        <v>0</v>
      </c>
      <c r="G216">
        <v>5.2342917999999999E-4</v>
      </c>
      <c r="H216">
        <v>1.8602528E-3</v>
      </c>
      <c r="I216" s="74">
        <v>1.4018564E-5</v>
      </c>
      <c r="J216">
        <v>2.1318794999999999E-3</v>
      </c>
      <c r="K216">
        <v>2.8379142E-3</v>
      </c>
    </row>
    <row r="217" spans="1:11" x14ac:dyDescent="0.25">
      <c r="A217">
        <v>202</v>
      </c>
      <c r="B217" t="s">
        <v>561</v>
      </c>
      <c r="C217" t="s">
        <v>10</v>
      </c>
      <c r="D217" t="s">
        <v>305</v>
      </c>
      <c r="E217">
        <v>7.6912586000000005E-2</v>
      </c>
      <c r="F217">
        <v>0</v>
      </c>
      <c r="G217">
        <v>4.2683156999999998E-3</v>
      </c>
      <c r="H217">
        <v>1.1388842E-2</v>
      </c>
      <c r="I217">
        <v>1.1259201E-4</v>
      </c>
      <c r="J217">
        <v>3.2574359999999997E-2</v>
      </c>
      <c r="K217">
        <v>2.8568475999999999E-2</v>
      </c>
    </row>
    <row r="218" spans="1:11" x14ac:dyDescent="0.25">
      <c r="A218">
        <v>203</v>
      </c>
      <c r="B218" t="s">
        <v>562</v>
      </c>
      <c r="C218" t="s">
        <v>10</v>
      </c>
      <c r="D218" t="s">
        <v>192</v>
      </c>
      <c r="E218" s="74">
        <v>8.3971676999999999E-13</v>
      </c>
      <c r="F218">
        <v>0</v>
      </c>
      <c r="G218" s="74">
        <v>5.4676370999999997E-14</v>
      </c>
      <c r="H218" s="74">
        <v>2.8335025999999998E-13</v>
      </c>
      <c r="I218" s="74">
        <v>4.2367498999999998E-16</v>
      </c>
      <c r="J218" s="74">
        <v>2.2618577000000001E-13</v>
      </c>
      <c r="K218" s="74">
        <v>2.7508069999999998E-13</v>
      </c>
    </row>
    <row r="219" spans="1:11" x14ac:dyDescent="0.25">
      <c r="A219">
        <v>204</v>
      </c>
      <c r="B219" t="s">
        <v>564</v>
      </c>
      <c r="C219" t="s">
        <v>10</v>
      </c>
      <c r="D219" t="s">
        <v>192</v>
      </c>
      <c r="E219" s="74">
        <v>3.9271421999999998E-7</v>
      </c>
      <c r="F219">
        <v>0</v>
      </c>
      <c r="G219" s="74">
        <v>3.0391424999999997E-8</v>
      </c>
      <c r="H219" s="74">
        <v>1.4933427999999999E-7</v>
      </c>
      <c r="I219" s="74">
        <v>3.0729294999999999E-9</v>
      </c>
      <c r="J219" s="74">
        <v>1.4630092999999999E-7</v>
      </c>
      <c r="K219" s="74">
        <v>6.3614657999999994E-8</v>
      </c>
    </row>
    <row r="220" spans="1:11" x14ac:dyDescent="0.25">
      <c r="A220">
        <v>205</v>
      </c>
      <c r="B220" t="s">
        <v>565</v>
      </c>
      <c r="C220" t="s">
        <v>10</v>
      </c>
      <c r="D220" t="s">
        <v>192</v>
      </c>
      <c r="E220" s="74">
        <v>2.5927533E-19</v>
      </c>
      <c r="F220">
        <v>0</v>
      </c>
      <c r="G220" s="74">
        <v>7.8173676000000001E-21</v>
      </c>
      <c r="H220" s="74">
        <v>8.9244975999999995E-20</v>
      </c>
      <c r="I220" s="74">
        <v>8.0481612000000003E-24</v>
      </c>
      <c r="J220" s="74">
        <v>1.5821128E-19</v>
      </c>
      <c r="K220" s="74">
        <v>3.9936563999999998E-21</v>
      </c>
    </row>
    <row r="221" spans="1:11" x14ac:dyDescent="0.25">
      <c r="A221">
        <v>206</v>
      </c>
      <c r="B221" t="s">
        <v>566</v>
      </c>
      <c r="C221" t="s">
        <v>10</v>
      </c>
      <c r="D221" t="s">
        <v>192</v>
      </c>
      <c r="E221" s="74">
        <v>3.8000601000000002E-11</v>
      </c>
      <c r="F221">
        <v>0</v>
      </c>
      <c r="G221" s="74">
        <v>5.9612621999999996E-12</v>
      </c>
      <c r="H221" s="74">
        <v>1.4611491E-11</v>
      </c>
      <c r="I221" s="74">
        <v>1.5083481E-13</v>
      </c>
      <c r="J221" s="74">
        <v>1.1249273E-11</v>
      </c>
      <c r="K221" s="74">
        <v>6.0277403000000001E-12</v>
      </c>
    </row>
    <row r="222" spans="1:11" x14ac:dyDescent="0.25">
      <c r="A222">
        <v>207</v>
      </c>
      <c r="B222" t="s">
        <v>567</v>
      </c>
      <c r="C222" t="s">
        <v>10</v>
      </c>
      <c r="D222" t="s">
        <v>192</v>
      </c>
      <c r="E222" s="74">
        <v>5.0740897000000003E-13</v>
      </c>
      <c r="F222">
        <v>0</v>
      </c>
      <c r="G222" s="74">
        <v>2.4525019000000001E-14</v>
      </c>
      <c r="H222" s="74">
        <v>1.9494255000000001E-13</v>
      </c>
      <c r="I222" s="74">
        <v>1.9087098E-16</v>
      </c>
      <c r="J222" s="74">
        <v>1.0511214E-13</v>
      </c>
      <c r="K222" s="74">
        <v>1.826384E-13</v>
      </c>
    </row>
    <row r="223" spans="1:11" x14ac:dyDescent="0.25">
      <c r="A223">
        <v>208</v>
      </c>
      <c r="B223" t="s">
        <v>568</v>
      </c>
      <c r="C223" t="s">
        <v>10</v>
      </c>
      <c r="D223" t="s">
        <v>192</v>
      </c>
      <c r="E223" s="74">
        <v>4.9778831000000001E-8</v>
      </c>
      <c r="F223">
        <v>0</v>
      </c>
      <c r="G223" s="74">
        <v>6.0481109000000004E-9</v>
      </c>
      <c r="H223" s="74">
        <v>1.8342911999999999E-8</v>
      </c>
      <c r="I223" s="74">
        <v>4.5715316000000002E-11</v>
      </c>
      <c r="J223" s="74">
        <v>2.3564253E-8</v>
      </c>
      <c r="K223" s="74">
        <v>1.7778405999999999E-9</v>
      </c>
    </row>
    <row r="224" spans="1:11" x14ac:dyDescent="0.25">
      <c r="A224">
        <v>209</v>
      </c>
      <c r="B224" t="s">
        <v>569</v>
      </c>
      <c r="C224" t="s">
        <v>10</v>
      </c>
      <c r="D224" t="s">
        <v>305</v>
      </c>
      <c r="E224">
        <v>0.26718162000000001</v>
      </c>
      <c r="F224">
        <v>0</v>
      </c>
      <c r="G224">
        <v>1.2895873999999999E-3</v>
      </c>
      <c r="H224">
        <v>3.0814546000000002E-3</v>
      </c>
      <c r="I224" s="74">
        <v>2.950902E-5</v>
      </c>
      <c r="J224">
        <v>2.3694711000000002E-3</v>
      </c>
      <c r="K224">
        <v>0.26041159000000003</v>
      </c>
    </row>
    <row r="225" spans="1:11" x14ac:dyDescent="0.25">
      <c r="A225">
        <v>210</v>
      </c>
      <c r="B225" t="s">
        <v>570</v>
      </c>
      <c r="C225" t="s">
        <v>10</v>
      </c>
      <c r="D225" t="s">
        <v>192</v>
      </c>
      <c r="E225" s="74">
        <v>1.0240151E-21</v>
      </c>
      <c r="F225">
        <v>0</v>
      </c>
      <c r="G225" s="74">
        <v>3.0796565999999999E-23</v>
      </c>
      <c r="H225" s="74">
        <v>3.5247818999999998E-22</v>
      </c>
      <c r="I225" s="74">
        <v>2.8904557999999999E-26</v>
      </c>
      <c r="J225" s="74">
        <v>6.2493051999999997E-22</v>
      </c>
      <c r="K225" s="74">
        <v>1.5780888000000001E-23</v>
      </c>
    </row>
    <row r="226" spans="1:11" x14ac:dyDescent="0.25">
      <c r="A226">
        <v>211</v>
      </c>
      <c r="B226" t="s">
        <v>571</v>
      </c>
      <c r="C226" t="s">
        <v>10</v>
      </c>
      <c r="D226" t="s">
        <v>192</v>
      </c>
      <c r="E226" s="74">
        <v>1.0811478E-18</v>
      </c>
      <c r="F226">
        <v>0</v>
      </c>
      <c r="G226" s="74">
        <v>6.1240689E-20</v>
      </c>
      <c r="H226" s="74">
        <v>3.6258348999999998E-19</v>
      </c>
      <c r="I226" s="74">
        <v>4.0655597999999998E-22</v>
      </c>
      <c r="J226" s="74">
        <v>2.5439579999999999E-19</v>
      </c>
      <c r="K226" s="74">
        <v>4.0252128E-19</v>
      </c>
    </row>
    <row r="227" spans="1:11" x14ac:dyDescent="0.25">
      <c r="A227">
        <v>212</v>
      </c>
      <c r="B227" t="s">
        <v>572</v>
      </c>
      <c r="C227" t="s">
        <v>10</v>
      </c>
      <c r="D227" t="s">
        <v>192</v>
      </c>
      <c r="E227" s="74">
        <v>4.0921131E-11</v>
      </c>
      <c r="F227">
        <v>0</v>
      </c>
      <c r="G227" s="74">
        <v>1.4960780000000001E-12</v>
      </c>
      <c r="H227" s="74">
        <v>9.4515278000000002E-12</v>
      </c>
      <c r="I227" s="74">
        <v>9.0069463E-15</v>
      </c>
      <c r="J227" s="74">
        <v>7.4875566999999998E-12</v>
      </c>
      <c r="K227" s="74">
        <v>2.2476961E-11</v>
      </c>
    </row>
    <row r="228" spans="1:11" x14ac:dyDescent="0.25">
      <c r="A228">
        <v>213</v>
      </c>
      <c r="B228" t="s">
        <v>721</v>
      </c>
      <c r="C228" t="s">
        <v>10</v>
      </c>
      <c r="D228" t="s">
        <v>305</v>
      </c>
      <c r="E228">
        <v>3.3622181999999998E-3</v>
      </c>
      <c r="F228">
        <v>0</v>
      </c>
      <c r="G228" s="74">
        <v>2.5927803000000001E-5</v>
      </c>
      <c r="H228">
        <v>1.1155077E-4</v>
      </c>
      <c r="I228" s="74">
        <v>4.3754910000000003E-6</v>
      </c>
      <c r="J228">
        <v>3.0991664000000001E-3</v>
      </c>
      <c r="K228">
        <v>1.2119771999999999E-4</v>
      </c>
    </row>
    <row r="229" spans="1:11" x14ac:dyDescent="0.25">
      <c r="A229">
        <v>214</v>
      </c>
      <c r="B229" t="s">
        <v>722</v>
      </c>
      <c r="C229" t="s">
        <v>10</v>
      </c>
      <c r="D229" t="s">
        <v>305</v>
      </c>
      <c r="E229">
        <v>50.889080999999997</v>
      </c>
      <c r="F229">
        <v>0</v>
      </c>
      <c r="G229">
        <v>0.1478236</v>
      </c>
      <c r="H229">
        <v>0.35985082000000002</v>
      </c>
      <c r="I229">
        <v>3.2447264E-3</v>
      </c>
      <c r="J229">
        <v>0.27466586999999998</v>
      </c>
      <c r="K229">
        <v>50.103496</v>
      </c>
    </row>
    <row r="230" spans="1:11" x14ac:dyDescent="0.25">
      <c r="A230">
        <v>215</v>
      </c>
      <c r="B230" t="s">
        <v>723</v>
      </c>
      <c r="C230" t="s">
        <v>10</v>
      </c>
      <c r="D230" t="s">
        <v>305</v>
      </c>
      <c r="E230">
        <v>0.31147175999999999</v>
      </c>
      <c r="F230">
        <v>0</v>
      </c>
      <c r="G230">
        <v>2.0131065E-2</v>
      </c>
      <c r="H230">
        <v>9.977374E-2</v>
      </c>
      <c r="I230">
        <v>1.3547038E-4</v>
      </c>
      <c r="J230">
        <v>7.8497520000000001E-2</v>
      </c>
      <c r="K230">
        <v>0.11293396999999999</v>
      </c>
    </row>
    <row r="231" spans="1:11" x14ac:dyDescent="0.25">
      <c r="A231">
        <v>216</v>
      </c>
      <c r="B231" t="s">
        <v>575</v>
      </c>
      <c r="C231" t="s">
        <v>10</v>
      </c>
      <c r="D231" t="s">
        <v>305</v>
      </c>
      <c r="E231">
        <v>90.738104000000007</v>
      </c>
      <c r="F231">
        <v>0</v>
      </c>
      <c r="G231">
        <v>0.46713858000000003</v>
      </c>
      <c r="H231">
        <v>1.2420514</v>
      </c>
      <c r="I231">
        <v>1.0422882E-2</v>
      </c>
      <c r="J231">
        <v>1.1850839</v>
      </c>
      <c r="K231">
        <v>87.833406999999994</v>
      </c>
    </row>
    <row r="232" spans="1:11" x14ac:dyDescent="0.25">
      <c r="A232">
        <v>217</v>
      </c>
      <c r="B232" t="s">
        <v>576</v>
      </c>
      <c r="C232" t="s">
        <v>10</v>
      </c>
      <c r="D232" t="s">
        <v>305</v>
      </c>
      <c r="E232">
        <v>3.1173495999999998</v>
      </c>
      <c r="F232">
        <v>0</v>
      </c>
      <c r="G232">
        <v>4.7869878999999997E-2</v>
      </c>
      <c r="H232">
        <v>0.27291602999999998</v>
      </c>
      <c r="I232">
        <v>4.1809992000000002E-4</v>
      </c>
      <c r="J232">
        <v>0.22045295000000001</v>
      </c>
      <c r="K232">
        <v>2.5756926</v>
      </c>
    </row>
    <row r="233" spans="1:11" x14ac:dyDescent="0.25">
      <c r="A233">
        <v>218</v>
      </c>
      <c r="B233" t="s">
        <v>724</v>
      </c>
      <c r="C233" t="s">
        <v>10</v>
      </c>
      <c r="D233" t="s">
        <v>192</v>
      </c>
      <c r="E233" s="74">
        <v>6.2294351999999995E-8</v>
      </c>
      <c r="F233">
        <v>0</v>
      </c>
      <c r="G233" s="74">
        <v>4.0262129E-9</v>
      </c>
      <c r="H233" s="74">
        <v>1.9954748000000001E-8</v>
      </c>
      <c r="I233" s="74">
        <v>2.7094075E-11</v>
      </c>
      <c r="J233" s="74">
        <v>1.5699503999999999E-8</v>
      </c>
      <c r="K233" s="74">
        <v>2.2586794E-8</v>
      </c>
    </row>
    <row r="234" spans="1:11" x14ac:dyDescent="0.25">
      <c r="A234">
        <v>219</v>
      </c>
      <c r="B234" t="s">
        <v>579</v>
      </c>
      <c r="C234" t="s">
        <v>10</v>
      </c>
      <c r="D234" t="s">
        <v>305</v>
      </c>
      <c r="E234">
        <v>5.5150708999999998E-4</v>
      </c>
      <c r="F234">
        <v>0</v>
      </c>
      <c r="G234" s="74">
        <v>1.9218294999999998E-6</v>
      </c>
      <c r="H234" s="74">
        <v>4.7706638999999998E-6</v>
      </c>
      <c r="I234" s="74">
        <v>4.0289125999999998E-8</v>
      </c>
      <c r="J234" s="74">
        <v>3.6210847999999999E-6</v>
      </c>
      <c r="K234">
        <v>5.4115323E-4</v>
      </c>
    </row>
    <row r="235" spans="1:11" x14ac:dyDescent="0.25">
      <c r="A235">
        <v>220</v>
      </c>
      <c r="B235" t="s">
        <v>580</v>
      </c>
      <c r="C235" t="s">
        <v>10</v>
      </c>
      <c r="D235" t="s">
        <v>192</v>
      </c>
      <c r="E235" s="74">
        <v>4.6630573999999999E-6</v>
      </c>
      <c r="F235">
        <v>0</v>
      </c>
      <c r="G235" s="74">
        <v>3.0987407E-7</v>
      </c>
      <c r="H235" s="74">
        <v>1.1361658000000001E-6</v>
      </c>
      <c r="I235" s="74">
        <v>2.7925354000000001E-9</v>
      </c>
      <c r="J235" s="74">
        <v>1.2039533E-6</v>
      </c>
      <c r="K235" s="74">
        <v>2.0102716999999999E-6</v>
      </c>
    </row>
    <row r="236" spans="1:11" x14ac:dyDescent="0.25">
      <c r="A236">
        <v>221</v>
      </c>
      <c r="B236" t="s">
        <v>581</v>
      </c>
      <c r="C236" t="s">
        <v>10</v>
      </c>
      <c r="D236" t="s">
        <v>192</v>
      </c>
      <c r="E236" s="74">
        <v>5.9382210000000001E-6</v>
      </c>
      <c r="F236">
        <v>0</v>
      </c>
      <c r="G236" s="74">
        <v>4.6994046000000001E-7</v>
      </c>
      <c r="H236" s="74">
        <v>1.7042953E-6</v>
      </c>
      <c r="I236" s="74">
        <v>2.9892833000000001E-9</v>
      </c>
      <c r="J236" s="74">
        <v>1.7874754E-6</v>
      </c>
      <c r="K236" s="74">
        <v>1.9735206E-6</v>
      </c>
    </row>
    <row r="237" spans="1:11" x14ac:dyDescent="0.25">
      <c r="A237">
        <v>222</v>
      </c>
      <c r="B237" t="s">
        <v>583</v>
      </c>
      <c r="C237" t="s">
        <v>10</v>
      </c>
      <c r="D237" t="s">
        <v>192</v>
      </c>
      <c r="E237">
        <v>1.8089574000000001E-2</v>
      </c>
      <c r="F237">
        <v>0</v>
      </c>
      <c r="G237">
        <v>1.4773268E-3</v>
      </c>
      <c r="H237">
        <v>4.0894813000000004E-3</v>
      </c>
      <c r="I237" s="74">
        <v>1.8338205E-5</v>
      </c>
      <c r="J237">
        <v>5.0286039999999999E-3</v>
      </c>
      <c r="K237">
        <v>7.4758233E-3</v>
      </c>
    </row>
    <row r="238" spans="1:11" x14ac:dyDescent="0.25">
      <c r="A238">
        <v>223</v>
      </c>
      <c r="B238" t="s">
        <v>585</v>
      </c>
      <c r="C238" t="s">
        <v>10</v>
      </c>
      <c r="D238" t="s">
        <v>192</v>
      </c>
      <c r="E238" s="74">
        <v>3.1132231E-6</v>
      </c>
      <c r="F238">
        <v>0</v>
      </c>
      <c r="G238" s="74">
        <v>3.4822548999999999E-8</v>
      </c>
      <c r="H238" s="74">
        <v>1.8157246999999999E-7</v>
      </c>
      <c r="I238" s="74">
        <v>2.1613233E-10</v>
      </c>
      <c r="J238" s="74">
        <v>1.7245162000000001E-7</v>
      </c>
      <c r="K238" s="74">
        <v>2.7241604E-6</v>
      </c>
    </row>
    <row r="239" spans="1:11" x14ac:dyDescent="0.25">
      <c r="A239">
        <v>224</v>
      </c>
      <c r="B239" t="s">
        <v>586</v>
      </c>
      <c r="C239" t="s">
        <v>10</v>
      </c>
      <c r="D239" t="s">
        <v>305</v>
      </c>
      <c r="E239">
        <v>0.85442525999999996</v>
      </c>
      <c r="F239">
        <v>0</v>
      </c>
      <c r="G239">
        <v>3.2958401E-3</v>
      </c>
      <c r="H239">
        <v>8.0944471000000007E-3</v>
      </c>
      <c r="I239" s="74">
        <v>6.9877759999999994E-5</v>
      </c>
      <c r="J239">
        <v>6.2043345999999999E-3</v>
      </c>
      <c r="K239">
        <v>0.83676075999999999</v>
      </c>
    </row>
    <row r="240" spans="1:11" x14ac:dyDescent="0.25">
      <c r="A240">
        <v>225</v>
      </c>
      <c r="B240" t="s">
        <v>587</v>
      </c>
      <c r="C240" t="s">
        <v>10</v>
      </c>
      <c r="D240" t="s">
        <v>192</v>
      </c>
      <c r="E240">
        <v>3.430006E-2</v>
      </c>
      <c r="F240">
        <v>0</v>
      </c>
      <c r="G240">
        <v>6.6536408999999996E-4</v>
      </c>
      <c r="H240">
        <v>1.0027774999999999E-2</v>
      </c>
      <c r="I240">
        <v>2.5814251999999998E-4</v>
      </c>
      <c r="J240">
        <v>5.4792455000000004E-3</v>
      </c>
      <c r="K240">
        <v>1.7869532E-2</v>
      </c>
    </row>
    <row r="241" spans="1:11" x14ac:dyDescent="0.25">
      <c r="A241">
        <v>226</v>
      </c>
      <c r="B241" t="s">
        <v>725</v>
      </c>
      <c r="C241" t="s">
        <v>10</v>
      </c>
      <c r="D241" t="s">
        <v>305</v>
      </c>
      <c r="E241">
        <v>1.9520347E-2</v>
      </c>
      <c r="F241">
        <v>0</v>
      </c>
      <c r="G241" s="74">
        <v>6.8066144000000002E-5</v>
      </c>
      <c r="H241">
        <v>1.6895408E-4</v>
      </c>
      <c r="I241" s="74">
        <v>1.4268903E-6</v>
      </c>
      <c r="J241">
        <v>1.2825373999999999E-4</v>
      </c>
      <c r="K241">
        <v>1.9153646E-2</v>
      </c>
    </row>
    <row r="242" spans="1:11" x14ac:dyDescent="0.25">
      <c r="A242">
        <v>227</v>
      </c>
      <c r="B242" t="s">
        <v>588</v>
      </c>
      <c r="C242" t="s">
        <v>10</v>
      </c>
      <c r="D242" t="s">
        <v>192</v>
      </c>
      <c r="E242" s="74">
        <v>2.3970276999999998E-12</v>
      </c>
      <c r="F242">
        <v>0</v>
      </c>
      <c r="G242" s="74">
        <v>3.9352494000000003E-14</v>
      </c>
      <c r="H242" s="74">
        <v>1.1306689E-12</v>
      </c>
      <c r="I242" s="74">
        <v>3.3577978999999999E-16</v>
      </c>
      <c r="J242" s="74">
        <v>2.1932785999999999E-13</v>
      </c>
      <c r="K242" s="74">
        <v>1.0073427E-12</v>
      </c>
    </row>
    <row r="243" spans="1:11" x14ac:dyDescent="0.25">
      <c r="A243">
        <v>228</v>
      </c>
      <c r="B243" t="s">
        <v>590</v>
      </c>
      <c r="C243" t="s">
        <v>10</v>
      </c>
      <c r="D243" t="s">
        <v>192</v>
      </c>
      <c r="E243" s="74">
        <v>9.4704433999999997E-10</v>
      </c>
      <c r="F243">
        <v>0</v>
      </c>
      <c r="G243" s="74">
        <v>4.1704424999999997E-11</v>
      </c>
      <c r="H243" s="74">
        <v>7.2878144000000005E-10</v>
      </c>
      <c r="I243" s="74">
        <v>2.7947019E-13</v>
      </c>
      <c r="J243" s="74">
        <v>1.5909382E-10</v>
      </c>
      <c r="K243" s="74">
        <v>1.7185174E-11</v>
      </c>
    </row>
    <row r="244" spans="1:11" x14ac:dyDescent="0.25">
      <c r="A244">
        <v>229</v>
      </c>
      <c r="B244" t="s">
        <v>726</v>
      </c>
      <c r="C244" t="s">
        <v>10</v>
      </c>
      <c r="D244" t="s">
        <v>192</v>
      </c>
      <c r="E244">
        <v>1.1762061E-3</v>
      </c>
      <c r="F244">
        <v>0</v>
      </c>
      <c r="G244">
        <v>2.047315E-4</v>
      </c>
      <c r="H244">
        <v>3.3639458999999998E-4</v>
      </c>
      <c r="I244" s="74">
        <v>8.3458129000000002E-7</v>
      </c>
      <c r="J244" s="74">
        <v>8.4118237999999994E-5</v>
      </c>
      <c r="K244">
        <v>5.5012715000000002E-4</v>
      </c>
    </row>
    <row r="245" spans="1:11" x14ac:dyDescent="0.25">
      <c r="A245">
        <v>230</v>
      </c>
      <c r="B245" t="s">
        <v>593</v>
      </c>
      <c r="C245" t="s">
        <v>10</v>
      </c>
      <c r="D245" t="s">
        <v>192</v>
      </c>
      <c r="E245">
        <v>4.1297109000000001E-4</v>
      </c>
      <c r="F245">
        <v>0</v>
      </c>
      <c r="G245" s="74">
        <v>2.1934213999999999E-5</v>
      </c>
      <c r="H245" s="74">
        <v>8.0782502E-5</v>
      </c>
      <c r="I245" s="74">
        <v>5.7929879999999999E-7</v>
      </c>
      <c r="J245" s="74">
        <v>8.7072531999999998E-5</v>
      </c>
      <c r="K245">
        <v>2.2260254999999999E-4</v>
      </c>
    </row>
    <row r="246" spans="1:11" x14ac:dyDescent="0.25">
      <c r="A246">
        <v>231</v>
      </c>
      <c r="B246" t="s">
        <v>727</v>
      </c>
      <c r="C246" t="s">
        <v>10</v>
      </c>
      <c r="D246" t="s">
        <v>305</v>
      </c>
      <c r="E246">
        <v>2.3667996E-2</v>
      </c>
      <c r="F246">
        <v>0</v>
      </c>
      <c r="G246" s="74">
        <v>8.6040079000000006E-5</v>
      </c>
      <c r="H246">
        <v>2.1273999000000001E-4</v>
      </c>
      <c r="I246" s="74">
        <v>1.8006253E-6</v>
      </c>
      <c r="J246">
        <v>1.6245927E-4</v>
      </c>
      <c r="K246">
        <v>2.3204955999999999E-2</v>
      </c>
    </row>
    <row r="247" spans="1:11" x14ac:dyDescent="0.25">
      <c r="A247">
        <v>232</v>
      </c>
      <c r="B247" t="s">
        <v>728</v>
      </c>
      <c r="C247" t="s">
        <v>10</v>
      </c>
      <c r="D247" t="s">
        <v>305</v>
      </c>
      <c r="E247">
        <v>1.8310947</v>
      </c>
      <c r="F247">
        <v>0</v>
      </c>
      <c r="G247">
        <v>0.14250534000000001</v>
      </c>
      <c r="H247">
        <v>0.30854267000000002</v>
      </c>
      <c r="I247">
        <v>3.9527058999999998E-3</v>
      </c>
      <c r="J247">
        <v>0.24383224000000001</v>
      </c>
      <c r="K247">
        <v>1.1322618</v>
      </c>
    </row>
    <row r="248" spans="1:11" x14ac:dyDescent="0.25">
      <c r="A248">
        <v>233</v>
      </c>
      <c r="B248" t="s">
        <v>595</v>
      </c>
      <c r="C248" t="s">
        <v>10</v>
      </c>
      <c r="D248" t="s">
        <v>192</v>
      </c>
      <c r="E248">
        <v>0.10522606</v>
      </c>
      <c r="F248">
        <v>0</v>
      </c>
      <c r="G248">
        <v>6.1263385E-3</v>
      </c>
      <c r="H248">
        <v>3.5454338000000002E-2</v>
      </c>
      <c r="I248">
        <v>1.2575271999999999E-4</v>
      </c>
      <c r="J248">
        <v>2.2315155999999999E-2</v>
      </c>
      <c r="K248">
        <v>4.1204472999999998E-2</v>
      </c>
    </row>
    <row r="249" spans="1:11" x14ac:dyDescent="0.25">
      <c r="A249">
        <v>234</v>
      </c>
      <c r="B249" t="s">
        <v>729</v>
      </c>
      <c r="C249" t="s">
        <v>10</v>
      </c>
      <c r="D249" t="s">
        <v>192</v>
      </c>
      <c r="E249" s="74">
        <v>1.0728708E-7</v>
      </c>
      <c r="F249">
        <v>0</v>
      </c>
      <c r="G249" s="74">
        <v>2.7637755E-9</v>
      </c>
      <c r="H249" s="74">
        <v>8.9710610999999994E-9</v>
      </c>
      <c r="I249" s="74">
        <v>4.2772222000000001E-11</v>
      </c>
      <c r="J249" s="74">
        <v>7.1201633000000002E-9</v>
      </c>
      <c r="K249" s="74">
        <v>8.8389308999999994E-8</v>
      </c>
    </row>
    <row r="250" spans="1:11" x14ac:dyDescent="0.25">
      <c r="A250">
        <v>235</v>
      </c>
      <c r="B250" t="s">
        <v>730</v>
      </c>
      <c r="C250" t="s">
        <v>10</v>
      </c>
      <c r="D250" t="s">
        <v>192</v>
      </c>
      <c r="E250" s="74">
        <v>2.8195685000000002E-6</v>
      </c>
      <c r="F250">
        <v>0</v>
      </c>
      <c r="G250" s="74">
        <v>7.2139339999999998E-8</v>
      </c>
      <c r="H250" s="74">
        <v>1.8860759000000001E-7</v>
      </c>
      <c r="I250" s="74">
        <v>1.3422016000000001E-9</v>
      </c>
      <c r="J250" s="74">
        <v>1.4255666999999999E-7</v>
      </c>
      <c r="K250" s="74">
        <v>2.4149227000000001E-6</v>
      </c>
    </row>
    <row r="251" spans="1:11" x14ac:dyDescent="0.25">
      <c r="A251">
        <v>236</v>
      </c>
      <c r="B251" t="s">
        <v>731</v>
      </c>
      <c r="C251" t="s">
        <v>10</v>
      </c>
      <c r="D251" t="s">
        <v>192</v>
      </c>
      <c r="E251" s="74">
        <v>5.2622157999999999E-6</v>
      </c>
      <c r="F251">
        <v>0</v>
      </c>
      <c r="G251" s="74">
        <v>1.2215382000000001E-7</v>
      </c>
      <c r="H251" s="74">
        <v>6.2605286000000002E-7</v>
      </c>
      <c r="I251" s="74">
        <v>1.7079396999999999E-9</v>
      </c>
      <c r="J251" s="74">
        <v>5.5871415999999995E-7</v>
      </c>
      <c r="K251" s="74">
        <v>3.953587E-6</v>
      </c>
    </row>
    <row r="252" spans="1:11" x14ac:dyDescent="0.25">
      <c r="A252">
        <v>237</v>
      </c>
      <c r="B252" t="s">
        <v>732</v>
      </c>
      <c r="C252" t="s">
        <v>10</v>
      </c>
      <c r="D252" t="s">
        <v>192</v>
      </c>
      <c r="E252">
        <v>6.0291128999999999E-2</v>
      </c>
      <c r="F252">
        <v>0</v>
      </c>
      <c r="G252">
        <v>1.9647556E-4</v>
      </c>
      <c r="H252">
        <v>2.2429315999999999E-3</v>
      </c>
      <c r="I252" s="74">
        <v>4.1745236999999996E-6</v>
      </c>
      <c r="J252">
        <v>1.6810879E-3</v>
      </c>
      <c r="K252">
        <v>5.6166459000000002E-2</v>
      </c>
    </row>
    <row r="253" spans="1:11" x14ac:dyDescent="0.25">
      <c r="A253">
        <v>238</v>
      </c>
      <c r="B253" t="s">
        <v>602</v>
      </c>
      <c r="C253" t="s">
        <v>10</v>
      </c>
      <c r="D253" t="s">
        <v>192</v>
      </c>
      <c r="E253" s="74">
        <v>1.4676308999999999E-9</v>
      </c>
      <c r="F253">
        <v>0</v>
      </c>
      <c r="G253" s="74">
        <v>1.6817387999999999E-10</v>
      </c>
      <c r="H253" s="74">
        <v>1.1543851000000001E-9</v>
      </c>
      <c r="I253" s="74">
        <v>2.7011773999999999E-13</v>
      </c>
      <c r="J253" s="74">
        <v>7.8631032999999999E-11</v>
      </c>
      <c r="K253" s="74">
        <v>6.6170802999999994E-11</v>
      </c>
    </row>
    <row r="254" spans="1:11" x14ac:dyDescent="0.25">
      <c r="A254">
        <v>239</v>
      </c>
      <c r="B254" t="s">
        <v>603</v>
      </c>
      <c r="C254" t="s">
        <v>10</v>
      </c>
      <c r="D254" t="s">
        <v>192</v>
      </c>
      <c r="E254" s="74">
        <v>1.6261243000000001E-11</v>
      </c>
      <c r="F254">
        <v>0</v>
      </c>
      <c r="G254" s="74">
        <v>7.6876855999999995E-14</v>
      </c>
      <c r="H254" s="74">
        <v>1.5374042999999999E-11</v>
      </c>
      <c r="I254" s="74">
        <v>5.3646210999999996E-16</v>
      </c>
      <c r="J254" s="74">
        <v>4.0026098E-13</v>
      </c>
      <c r="K254" s="74">
        <v>4.0952641E-13</v>
      </c>
    </row>
    <row r="255" spans="1:11" x14ac:dyDescent="0.25">
      <c r="A255">
        <v>240</v>
      </c>
      <c r="B255" t="s">
        <v>604</v>
      </c>
      <c r="C255" t="s">
        <v>10</v>
      </c>
      <c r="D255" t="s">
        <v>192</v>
      </c>
      <c r="E255" s="74">
        <v>8.0918609000000003E-21</v>
      </c>
      <c r="F255">
        <v>0</v>
      </c>
      <c r="G255" s="74">
        <v>2.4335729000000001E-22</v>
      </c>
      <c r="H255" s="74">
        <v>2.785315E-21</v>
      </c>
      <c r="I255" s="74">
        <v>2.2840647000000001E-25</v>
      </c>
      <c r="J255" s="74">
        <v>4.9382581999999998E-21</v>
      </c>
      <c r="K255" s="74">
        <v>1.2470202999999999E-22</v>
      </c>
    </row>
    <row r="256" spans="1:11" x14ac:dyDescent="0.25">
      <c r="A256">
        <v>241</v>
      </c>
      <c r="B256" t="s">
        <v>733</v>
      </c>
      <c r="C256" t="s">
        <v>10</v>
      </c>
      <c r="D256" t="s">
        <v>305</v>
      </c>
      <c r="E256">
        <v>2.9948269E-2</v>
      </c>
      <c r="F256">
        <v>0</v>
      </c>
      <c r="G256">
        <v>1.0954505E-4</v>
      </c>
      <c r="H256">
        <v>2.7071212E-4</v>
      </c>
      <c r="I256" s="74">
        <v>2.2913577000000001E-6</v>
      </c>
      <c r="J256">
        <v>2.0692452E-4</v>
      </c>
      <c r="K256">
        <v>2.9358796E-2</v>
      </c>
    </row>
    <row r="257" spans="1:11" x14ac:dyDescent="0.25">
      <c r="A257">
        <v>242</v>
      </c>
      <c r="B257" t="s">
        <v>605</v>
      </c>
      <c r="C257" t="s">
        <v>10</v>
      </c>
      <c r="D257" t="s">
        <v>192</v>
      </c>
      <c r="E257" s="74">
        <v>8.7617437999999998E-23</v>
      </c>
      <c r="F257">
        <v>0</v>
      </c>
      <c r="G257" s="74">
        <v>1.1963586E-23</v>
      </c>
      <c r="H257" s="74">
        <v>2.9723677999999999E-23</v>
      </c>
      <c r="I257" s="74">
        <v>5.2117931999999996E-25</v>
      </c>
      <c r="J257" s="74">
        <v>4.4959546000000002E-23</v>
      </c>
      <c r="K257" s="74">
        <v>4.4944963E-25</v>
      </c>
    </row>
    <row r="258" spans="1:11" x14ac:dyDescent="0.25">
      <c r="A258">
        <v>243</v>
      </c>
      <c r="B258" t="s">
        <v>734</v>
      </c>
      <c r="C258" t="s">
        <v>10</v>
      </c>
      <c r="D258" t="s">
        <v>305</v>
      </c>
      <c r="E258">
        <v>2.9760351000000002E-3</v>
      </c>
      <c r="F258">
        <v>0</v>
      </c>
      <c r="G258" s="74">
        <v>1.4069118E-5</v>
      </c>
      <c r="H258" s="74">
        <v>3.3730996999999998E-5</v>
      </c>
      <c r="I258" s="74">
        <v>3.2053156000000002E-7</v>
      </c>
      <c r="J258" s="74">
        <v>2.5878884E-5</v>
      </c>
      <c r="K258">
        <v>2.9020355E-3</v>
      </c>
    </row>
    <row r="259" spans="1:11" x14ac:dyDescent="0.25">
      <c r="A259">
        <v>244</v>
      </c>
      <c r="B259" t="s">
        <v>735</v>
      </c>
      <c r="C259" t="s">
        <v>10</v>
      </c>
      <c r="D259" t="s">
        <v>305</v>
      </c>
      <c r="E259">
        <v>1.5773021E-4</v>
      </c>
      <c r="F259">
        <v>0</v>
      </c>
      <c r="G259" s="74">
        <v>5.4854241999999995E-7</v>
      </c>
      <c r="H259" s="74">
        <v>1.3619348000000001E-6</v>
      </c>
      <c r="I259" s="74">
        <v>1.1500727999999999E-8</v>
      </c>
      <c r="J259" s="74">
        <v>1.0334448E-6</v>
      </c>
      <c r="K259">
        <v>1.5477477999999999E-4</v>
      </c>
    </row>
    <row r="260" spans="1:11" x14ac:dyDescent="0.25">
      <c r="A260">
        <v>245</v>
      </c>
      <c r="B260" t="s">
        <v>608</v>
      </c>
      <c r="C260" t="s">
        <v>10</v>
      </c>
      <c r="D260" t="s">
        <v>192</v>
      </c>
      <c r="E260" s="74">
        <v>5.9351703999999999E-7</v>
      </c>
      <c r="F260">
        <v>0</v>
      </c>
      <c r="G260" s="74">
        <v>5.2937654000000003E-8</v>
      </c>
      <c r="H260" s="74">
        <v>2.1042985E-7</v>
      </c>
      <c r="I260" s="74">
        <v>2.0662654000000001E-10</v>
      </c>
      <c r="J260" s="74">
        <v>2.2952046000000001E-7</v>
      </c>
      <c r="K260" s="74">
        <v>1.0042245E-7</v>
      </c>
    </row>
    <row r="261" spans="1:11" x14ac:dyDescent="0.25">
      <c r="A261">
        <v>246</v>
      </c>
      <c r="B261" t="s">
        <v>612</v>
      </c>
      <c r="C261" t="s">
        <v>10</v>
      </c>
      <c r="D261" t="s">
        <v>305</v>
      </c>
      <c r="E261">
        <v>1.2459009000000001</v>
      </c>
      <c r="F261">
        <v>0</v>
      </c>
      <c r="G261">
        <v>8.0524362000000002E-2</v>
      </c>
      <c r="H261">
        <v>0.39909540999999998</v>
      </c>
      <c r="I261">
        <v>5.4190003999999995E-4</v>
      </c>
      <c r="J261">
        <v>0.31400323000000002</v>
      </c>
      <c r="K261">
        <v>0.45173598999999998</v>
      </c>
    </row>
    <row r="262" spans="1:11" x14ac:dyDescent="0.25">
      <c r="A262">
        <v>247</v>
      </c>
      <c r="B262" t="s">
        <v>613</v>
      </c>
      <c r="C262" t="s">
        <v>10</v>
      </c>
      <c r="D262" t="s">
        <v>305</v>
      </c>
      <c r="E262">
        <v>22.621023999999998</v>
      </c>
      <c r="F262">
        <v>0</v>
      </c>
      <c r="G262">
        <v>0.10918337</v>
      </c>
      <c r="H262">
        <v>0.26089242000000001</v>
      </c>
      <c r="I262">
        <v>2.4983914000000001E-3</v>
      </c>
      <c r="J262">
        <v>0.20061208999999999</v>
      </c>
      <c r="K262">
        <v>22.047837999999999</v>
      </c>
    </row>
    <row r="263" spans="1:11" x14ac:dyDescent="0.25">
      <c r="A263">
        <v>248</v>
      </c>
      <c r="B263" t="s">
        <v>614</v>
      </c>
      <c r="C263" t="s">
        <v>10</v>
      </c>
      <c r="D263" t="s">
        <v>305</v>
      </c>
      <c r="E263">
        <v>9.5314326000000005E-3</v>
      </c>
      <c r="F263">
        <v>0</v>
      </c>
      <c r="G263">
        <v>7.5971831999999996E-4</v>
      </c>
      <c r="H263">
        <v>1.9663864999999998E-3</v>
      </c>
      <c r="I263" s="74">
        <v>1.4553878E-5</v>
      </c>
      <c r="J263">
        <v>1.5061447000000001E-3</v>
      </c>
      <c r="K263">
        <v>5.2846292E-3</v>
      </c>
    </row>
    <row r="264" spans="1:11" x14ac:dyDescent="0.25">
      <c r="A264">
        <v>249</v>
      </c>
      <c r="B264" t="s">
        <v>615</v>
      </c>
      <c r="C264" t="s">
        <v>10</v>
      </c>
      <c r="D264" t="s">
        <v>305</v>
      </c>
      <c r="E264">
        <v>0.26726460000000002</v>
      </c>
      <c r="F264">
        <v>0</v>
      </c>
      <c r="G264">
        <v>1.2900622000000001E-3</v>
      </c>
      <c r="H264">
        <v>3.0825840000000002E-3</v>
      </c>
      <c r="I264" s="74">
        <v>2.9519993999999999E-5</v>
      </c>
      <c r="J264">
        <v>2.3703412999999999E-3</v>
      </c>
      <c r="K264">
        <v>0.2604921</v>
      </c>
    </row>
    <row r="265" spans="1:11" x14ac:dyDescent="0.25">
      <c r="A265">
        <v>250</v>
      </c>
      <c r="B265" t="s">
        <v>616</v>
      </c>
      <c r="C265" t="s">
        <v>10</v>
      </c>
      <c r="D265" t="s">
        <v>192</v>
      </c>
      <c r="E265" s="74">
        <v>4.9974890999999999E-6</v>
      </c>
      <c r="F265">
        <v>0</v>
      </c>
      <c r="G265" s="74">
        <v>4.5038708999999998E-7</v>
      </c>
      <c r="H265" s="74">
        <v>1.7068232999999999E-6</v>
      </c>
      <c r="I265" s="74">
        <v>1.3066229999999999E-9</v>
      </c>
      <c r="J265" s="74">
        <v>1.9631159E-6</v>
      </c>
      <c r="K265" s="74">
        <v>8.7585615000000002E-7</v>
      </c>
    </row>
    <row r="266" spans="1:11" x14ac:dyDescent="0.25">
      <c r="A266">
        <v>251</v>
      </c>
      <c r="B266" t="s">
        <v>617</v>
      </c>
      <c r="C266" t="s">
        <v>10</v>
      </c>
      <c r="D266" t="s">
        <v>192</v>
      </c>
      <c r="E266">
        <v>1.2786279999999999E-4</v>
      </c>
      <c r="F266">
        <v>0</v>
      </c>
      <c r="G266" s="74">
        <v>1.0130027999999999E-5</v>
      </c>
      <c r="H266" s="74">
        <v>3.2412641000000001E-5</v>
      </c>
      <c r="I266" s="74">
        <v>2.9359983999999998E-7</v>
      </c>
      <c r="J266" s="74">
        <v>3.8153233999999999E-5</v>
      </c>
      <c r="K266" s="74">
        <v>4.6873292999999998E-5</v>
      </c>
    </row>
    <row r="267" spans="1:11" x14ac:dyDescent="0.25">
      <c r="A267">
        <v>252</v>
      </c>
      <c r="B267" t="s">
        <v>736</v>
      </c>
      <c r="C267" t="s">
        <v>10</v>
      </c>
      <c r="D267" t="s">
        <v>192</v>
      </c>
      <c r="E267">
        <v>3.5162219999999998E-3</v>
      </c>
      <c r="F267">
        <v>0</v>
      </c>
      <c r="G267">
        <v>2.4430335999999999E-4</v>
      </c>
      <c r="H267">
        <v>1.0010856000000001E-3</v>
      </c>
      <c r="I267" s="74">
        <v>4.1218916000000003E-6</v>
      </c>
      <c r="J267">
        <v>1.8048157E-3</v>
      </c>
      <c r="K267">
        <v>4.6189545000000003E-4</v>
      </c>
    </row>
    <row r="268" spans="1:11" x14ac:dyDescent="0.25">
      <c r="A268">
        <v>253</v>
      </c>
      <c r="B268" t="s">
        <v>618</v>
      </c>
      <c r="C268" t="s">
        <v>10</v>
      </c>
      <c r="D268" t="s">
        <v>192</v>
      </c>
      <c r="E268" s="74">
        <v>2.9223913E-6</v>
      </c>
      <c r="F268">
        <v>0</v>
      </c>
      <c r="G268" s="74">
        <v>5.8059709999999999E-8</v>
      </c>
      <c r="H268" s="74">
        <v>3.1827826E-7</v>
      </c>
      <c r="I268" s="74">
        <v>4.7285199000000005E-10</v>
      </c>
      <c r="J268" s="74">
        <v>2.5548458999999998E-7</v>
      </c>
      <c r="K268" s="74">
        <v>2.2900958999999998E-6</v>
      </c>
    </row>
    <row r="269" spans="1:11" x14ac:dyDescent="0.25">
      <c r="A269">
        <v>254</v>
      </c>
      <c r="B269" t="s">
        <v>619</v>
      </c>
      <c r="C269" t="s">
        <v>10</v>
      </c>
      <c r="D269" t="s">
        <v>192</v>
      </c>
      <c r="E269" s="74">
        <v>6.6017851999999996E-11</v>
      </c>
      <c r="F269">
        <v>0</v>
      </c>
      <c r="G269" s="74">
        <v>1.1077024E-11</v>
      </c>
      <c r="H269" s="74">
        <v>2.5817739999999999E-11</v>
      </c>
      <c r="I269" s="74">
        <v>2.8844748999999998E-13</v>
      </c>
      <c r="J269" s="74">
        <v>1.9808599E-11</v>
      </c>
      <c r="K269" s="74">
        <v>9.0260410000000008E-12</v>
      </c>
    </row>
    <row r="270" spans="1:11" x14ac:dyDescent="0.25">
      <c r="A270">
        <v>255</v>
      </c>
      <c r="B270" t="s">
        <v>737</v>
      </c>
      <c r="C270" t="s">
        <v>10</v>
      </c>
      <c r="D270" t="s">
        <v>192</v>
      </c>
      <c r="E270" s="74">
        <v>2.9729059E-8</v>
      </c>
      <c r="F270">
        <v>0</v>
      </c>
      <c r="G270" s="74">
        <v>3.019358E-9</v>
      </c>
      <c r="H270" s="74">
        <v>1.1418054000000001E-8</v>
      </c>
      <c r="I270" s="74">
        <v>2.1051499E-11</v>
      </c>
      <c r="J270" s="74">
        <v>1.2272186E-8</v>
      </c>
      <c r="K270" s="74">
        <v>2.9984096000000001E-9</v>
      </c>
    </row>
    <row r="271" spans="1:11" x14ac:dyDescent="0.25">
      <c r="A271">
        <v>256</v>
      </c>
      <c r="B271" t="s">
        <v>738</v>
      </c>
      <c r="C271" t="s">
        <v>10</v>
      </c>
      <c r="D271" t="s">
        <v>192</v>
      </c>
      <c r="E271" s="74">
        <v>2.0442637E-8</v>
      </c>
      <c r="F271">
        <v>0</v>
      </c>
      <c r="G271" s="74">
        <v>7.1430574000000004E-10</v>
      </c>
      <c r="H271" s="74">
        <v>5.6106159999999998E-9</v>
      </c>
      <c r="I271" s="74">
        <v>1.6258918E-11</v>
      </c>
      <c r="J271" s="74">
        <v>7.0613250999999997E-9</v>
      </c>
      <c r="K271" s="74">
        <v>7.0401309E-9</v>
      </c>
    </row>
    <row r="272" spans="1:11" x14ac:dyDescent="0.25">
      <c r="A272">
        <v>257</v>
      </c>
      <c r="B272" t="s">
        <v>620</v>
      </c>
      <c r="C272" t="s">
        <v>10</v>
      </c>
      <c r="D272" t="s">
        <v>192</v>
      </c>
      <c r="E272" s="74">
        <v>3.0313627E-22</v>
      </c>
      <c r="F272">
        <v>0</v>
      </c>
      <c r="G272" s="74">
        <v>9.1166197999999996E-24</v>
      </c>
      <c r="H272" s="74">
        <v>1.0434312E-22</v>
      </c>
      <c r="I272" s="74">
        <v>8.5565341999999995E-27</v>
      </c>
      <c r="J272" s="74">
        <v>1.8499640000000001E-22</v>
      </c>
      <c r="K272" s="74">
        <v>4.6715715000000004E-24</v>
      </c>
    </row>
    <row r="273" spans="1:11" x14ac:dyDescent="0.25">
      <c r="A273">
        <v>258</v>
      </c>
      <c r="B273" t="s">
        <v>622</v>
      </c>
      <c r="C273" t="s">
        <v>10</v>
      </c>
      <c r="D273" t="s">
        <v>192</v>
      </c>
      <c r="E273" s="74">
        <v>3.2003721E-13</v>
      </c>
      <c r="F273">
        <v>0</v>
      </c>
      <c r="G273" s="74">
        <v>1.7596366E-14</v>
      </c>
      <c r="H273" s="74">
        <v>1.0835255E-13</v>
      </c>
      <c r="I273" s="74">
        <v>1.2690202000000001E-16</v>
      </c>
      <c r="J273" s="74">
        <v>8.2744172999999996E-14</v>
      </c>
      <c r="K273" s="74">
        <v>1.1121722E-13</v>
      </c>
    </row>
    <row r="274" spans="1:11" x14ac:dyDescent="0.25">
      <c r="A274">
        <v>259</v>
      </c>
      <c r="B274" t="s">
        <v>739</v>
      </c>
      <c r="C274" t="s">
        <v>10</v>
      </c>
      <c r="D274" t="s">
        <v>192</v>
      </c>
      <c r="E274" s="74">
        <v>1.2424212E-26</v>
      </c>
      <c r="F274">
        <v>0</v>
      </c>
      <c r="G274" s="74">
        <v>1.7030338999999999E-27</v>
      </c>
      <c r="H274" s="74">
        <v>4.2307437000000002E-27</v>
      </c>
      <c r="I274" s="74">
        <v>4.9252651E-29</v>
      </c>
      <c r="J274" s="74">
        <v>6.3826184000000003E-27</v>
      </c>
      <c r="K274" s="74">
        <v>5.8562820000000005E-29</v>
      </c>
    </row>
    <row r="275" spans="1:11" x14ac:dyDescent="0.25">
      <c r="A275">
        <v>260</v>
      </c>
      <c r="B275" t="s">
        <v>740</v>
      </c>
      <c r="C275" t="s">
        <v>10</v>
      </c>
      <c r="D275" t="s">
        <v>192</v>
      </c>
      <c r="E275" s="74">
        <v>5.2802899000000003E-27</v>
      </c>
      <c r="F275">
        <v>0</v>
      </c>
      <c r="G275" s="74">
        <v>7.2378941999999997E-28</v>
      </c>
      <c r="H275" s="74">
        <v>1.7980660999999999E-27</v>
      </c>
      <c r="I275" s="74">
        <v>2.0932377000000001E-29</v>
      </c>
      <c r="J275" s="74">
        <v>2.7126128000000001E-27</v>
      </c>
      <c r="K275" s="74">
        <v>2.4889198000000001E-29</v>
      </c>
    </row>
    <row r="276" spans="1:11" x14ac:dyDescent="0.25">
      <c r="A276">
        <v>261</v>
      </c>
      <c r="B276" t="s">
        <v>623</v>
      </c>
      <c r="C276" t="s">
        <v>10</v>
      </c>
      <c r="D276" t="s">
        <v>192</v>
      </c>
      <c r="E276" s="74">
        <v>6.4516370999999997E-6</v>
      </c>
      <c r="F276">
        <v>0</v>
      </c>
      <c r="G276" s="74">
        <v>6.5015554000000001E-7</v>
      </c>
      <c r="H276" s="74">
        <v>2.4130955E-6</v>
      </c>
      <c r="I276" s="74">
        <v>1.3568246000000001E-9</v>
      </c>
      <c r="J276" s="74">
        <v>2.3774644000000001E-6</v>
      </c>
      <c r="K276" s="74">
        <v>1.0095648E-6</v>
      </c>
    </row>
    <row r="277" spans="1:11" x14ac:dyDescent="0.25">
      <c r="A277">
        <v>262</v>
      </c>
      <c r="B277" t="s">
        <v>625</v>
      </c>
      <c r="C277" t="s">
        <v>10</v>
      </c>
      <c r="D277" t="s">
        <v>305</v>
      </c>
      <c r="E277">
        <v>0.30923774999999998</v>
      </c>
      <c r="F277">
        <v>0</v>
      </c>
      <c r="G277">
        <v>1.4925769000000001E-3</v>
      </c>
      <c r="H277">
        <v>3.5664957000000001E-3</v>
      </c>
      <c r="I277" s="74">
        <v>3.4153933000000002E-5</v>
      </c>
      <c r="J277">
        <v>2.7424413000000001E-3</v>
      </c>
      <c r="K277">
        <v>0.30140208000000002</v>
      </c>
    </row>
    <row r="278" spans="1:11" x14ac:dyDescent="0.25">
      <c r="A278">
        <v>263</v>
      </c>
      <c r="B278" t="s">
        <v>626</v>
      </c>
      <c r="C278" t="s">
        <v>10</v>
      </c>
      <c r="D278" t="s">
        <v>305</v>
      </c>
      <c r="E278">
        <v>0.34503990000000001</v>
      </c>
      <c r="F278">
        <v>0</v>
      </c>
      <c r="G278">
        <v>1.6653807E-3</v>
      </c>
      <c r="H278">
        <v>3.9794084000000004E-3</v>
      </c>
      <c r="I278" s="74">
        <v>3.8108120000000003E-5</v>
      </c>
      <c r="J278">
        <v>3.0599487000000001E-3</v>
      </c>
      <c r="K278">
        <v>0.33629704999999999</v>
      </c>
    </row>
    <row r="279" spans="1:11" x14ac:dyDescent="0.25">
      <c r="A279">
        <v>264</v>
      </c>
      <c r="B279" t="s">
        <v>627</v>
      </c>
      <c r="C279" t="s">
        <v>10</v>
      </c>
      <c r="D279" t="s">
        <v>305</v>
      </c>
      <c r="E279">
        <v>0.75230414999999995</v>
      </c>
      <c r="F279">
        <v>0</v>
      </c>
      <c r="G279">
        <v>5.4162276000000002E-3</v>
      </c>
      <c r="H279">
        <v>1.4869019000000001E-2</v>
      </c>
      <c r="I279">
        <v>2.4579581E-4</v>
      </c>
      <c r="J279">
        <v>0.11264902</v>
      </c>
      <c r="K279">
        <v>0.61912407999999997</v>
      </c>
    </row>
    <row r="280" spans="1:11" x14ac:dyDescent="0.25">
      <c r="A280">
        <v>265</v>
      </c>
      <c r="B280" t="s">
        <v>628</v>
      </c>
      <c r="C280" t="s">
        <v>10</v>
      </c>
      <c r="D280" t="s">
        <v>305</v>
      </c>
      <c r="E280">
        <v>10.429976</v>
      </c>
      <c r="F280">
        <v>0</v>
      </c>
      <c r="G280">
        <v>5.0351158E-2</v>
      </c>
      <c r="H280">
        <v>0.12031281000000001</v>
      </c>
      <c r="I280">
        <v>1.1521770999999999E-3</v>
      </c>
      <c r="J280">
        <v>9.2514246999999994E-2</v>
      </c>
      <c r="K280">
        <v>10.165646000000001</v>
      </c>
    </row>
    <row r="281" spans="1:11" x14ac:dyDescent="0.25">
      <c r="A281">
        <v>266</v>
      </c>
      <c r="B281" t="s">
        <v>741</v>
      </c>
      <c r="C281" t="s">
        <v>10</v>
      </c>
      <c r="D281" t="s">
        <v>192</v>
      </c>
      <c r="E281" s="74">
        <v>1.0407804E-12</v>
      </c>
      <c r="F281">
        <v>0</v>
      </c>
      <c r="G281" s="74">
        <v>7.0124858999999998E-14</v>
      </c>
      <c r="H281" s="74">
        <v>3.4088571999999999E-13</v>
      </c>
      <c r="I281" s="74">
        <v>5.3324076000000002E-16</v>
      </c>
      <c r="J281" s="74">
        <v>2.9204037999999999E-13</v>
      </c>
      <c r="K281" s="74">
        <v>3.3719616E-13</v>
      </c>
    </row>
    <row r="282" spans="1:11" x14ac:dyDescent="0.25">
      <c r="A282">
        <v>267</v>
      </c>
      <c r="B282" t="s">
        <v>629</v>
      </c>
      <c r="C282" t="s">
        <v>10</v>
      </c>
      <c r="D282" t="s">
        <v>192</v>
      </c>
      <c r="E282" s="74">
        <v>1.3925228E-5</v>
      </c>
      <c r="F282">
        <v>0</v>
      </c>
      <c r="G282" s="74">
        <v>9.8114362000000006E-7</v>
      </c>
      <c r="H282" s="74">
        <v>3.0462983000000001E-6</v>
      </c>
      <c r="I282" s="74">
        <v>2.8252748000000001E-8</v>
      </c>
      <c r="J282" s="74">
        <v>3.8420546999999996E-6</v>
      </c>
      <c r="K282" s="74">
        <v>6.0274791000000003E-6</v>
      </c>
    </row>
    <row r="283" spans="1:11" x14ac:dyDescent="0.25">
      <c r="A283">
        <v>268</v>
      </c>
      <c r="B283" t="s">
        <v>630</v>
      </c>
      <c r="C283" t="s">
        <v>10</v>
      </c>
      <c r="D283" t="s">
        <v>192</v>
      </c>
      <c r="E283" s="74">
        <v>2.655844E-6</v>
      </c>
      <c r="F283">
        <v>0</v>
      </c>
      <c r="G283" s="74">
        <v>1.4375462999999999E-7</v>
      </c>
      <c r="H283" s="74">
        <v>7.0518925000000001E-7</v>
      </c>
      <c r="I283" s="74">
        <v>1.0141734000000001E-9</v>
      </c>
      <c r="J283" s="74">
        <v>5.5470857999999995E-7</v>
      </c>
      <c r="K283" s="74">
        <v>1.2511773E-6</v>
      </c>
    </row>
    <row r="284" spans="1:11" x14ac:dyDescent="0.25">
      <c r="A284">
        <v>269</v>
      </c>
      <c r="B284" t="s">
        <v>742</v>
      </c>
      <c r="C284" t="s">
        <v>10</v>
      </c>
      <c r="D284" t="s">
        <v>632</v>
      </c>
      <c r="E284" s="74">
        <v>1.2582109999999999E-16</v>
      </c>
      <c r="F284">
        <v>0</v>
      </c>
      <c r="G284" s="74">
        <v>6.0749100999999999E-19</v>
      </c>
      <c r="H284" s="74">
        <v>1.8882212999999999E-18</v>
      </c>
      <c r="I284" s="74">
        <v>7.0278433999999996E-17</v>
      </c>
      <c r="J284" s="74">
        <v>5.0760155000000001E-17</v>
      </c>
      <c r="K284" s="74">
        <v>2.2867990000000001E-18</v>
      </c>
    </row>
    <row r="285" spans="1:11" x14ac:dyDescent="0.25">
      <c r="A285">
        <v>270</v>
      </c>
      <c r="B285" t="s">
        <v>743</v>
      </c>
      <c r="C285" t="s">
        <v>10</v>
      </c>
      <c r="D285" t="s">
        <v>632</v>
      </c>
      <c r="E285">
        <v>6.2923563000000002E-2</v>
      </c>
      <c r="F285">
        <v>0</v>
      </c>
      <c r="G285">
        <v>1.1460984E-2</v>
      </c>
      <c r="H285">
        <v>2.4714379000000002E-2</v>
      </c>
      <c r="I285">
        <v>3.1266924999999999E-4</v>
      </c>
      <c r="J285">
        <v>1.9514875000000001E-2</v>
      </c>
      <c r="K285">
        <v>6.9206557999999998E-3</v>
      </c>
    </row>
    <row r="286" spans="1:11" x14ac:dyDescent="0.25">
      <c r="A286">
        <v>271</v>
      </c>
      <c r="B286" t="s">
        <v>744</v>
      </c>
      <c r="C286" t="s">
        <v>10</v>
      </c>
      <c r="D286" t="s">
        <v>632</v>
      </c>
      <c r="E286">
        <v>2.8150791000000001E-2</v>
      </c>
      <c r="F286">
        <v>0</v>
      </c>
      <c r="G286">
        <v>4.0975539999999998E-3</v>
      </c>
      <c r="H286">
        <v>1.1568316E-2</v>
      </c>
      <c r="I286" s="74">
        <v>6.2857616999999999E-5</v>
      </c>
      <c r="J286">
        <v>1.0103334E-2</v>
      </c>
      <c r="K286">
        <v>2.3187299000000001E-3</v>
      </c>
    </row>
    <row r="287" spans="1:11" x14ac:dyDescent="0.25">
      <c r="A287">
        <v>272</v>
      </c>
      <c r="B287" t="s">
        <v>745</v>
      </c>
      <c r="C287" t="s">
        <v>10</v>
      </c>
      <c r="D287" t="s">
        <v>632</v>
      </c>
      <c r="E287">
        <v>1.0762137E-2</v>
      </c>
      <c r="F287">
        <v>0</v>
      </c>
      <c r="G287">
        <v>1.7520655999999999E-3</v>
      </c>
      <c r="H287">
        <v>4.2348078000000004E-3</v>
      </c>
      <c r="I287" s="74">
        <v>3.9252906999999997E-5</v>
      </c>
      <c r="J287">
        <v>3.777229E-3</v>
      </c>
      <c r="K287">
        <v>9.5878141999999997E-4</v>
      </c>
    </row>
    <row r="288" spans="1:11" x14ac:dyDescent="0.25">
      <c r="A288">
        <v>273</v>
      </c>
      <c r="B288" t="s">
        <v>746</v>
      </c>
      <c r="C288" t="s">
        <v>10</v>
      </c>
      <c r="D288" t="s">
        <v>632</v>
      </c>
      <c r="E288">
        <v>8.6005022999999996E-4</v>
      </c>
      <c r="F288">
        <v>0</v>
      </c>
      <c r="G288">
        <v>1.6565608000000001E-4</v>
      </c>
      <c r="H288">
        <v>3.5767165E-4</v>
      </c>
      <c r="I288" s="74">
        <v>4.7371946E-6</v>
      </c>
      <c r="J288">
        <v>2.7909885E-4</v>
      </c>
      <c r="K288" s="74">
        <v>5.2886449999999999E-5</v>
      </c>
    </row>
    <row r="289" spans="1:11" x14ac:dyDescent="0.25">
      <c r="A289">
        <v>274</v>
      </c>
      <c r="B289" t="s">
        <v>747</v>
      </c>
      <c r="C289" t="s">
        <v>10</v>
      </c>
      <c r="D289" t="s">
        <v>632</v>
      </c>
      <c r="E289">
        <v>8.2036661999999993E-3</v>
      </c>
      <c r="F289">
        <v>0</v>
      </c>
      <c r="G289">
        <v>1.5911734999999999E-3</v>
      </c>
      <c r="H289">
        <v>3.4618247999999999E-3</v>
      </c>
      <c r="I289" s="74">
        <v>4.4453864E-5</v>
      </c>
      <c r="J289">
        <v>2.6998281000000001E-3</v>
      </c>
      <c r="K289">
        <v>4.0638594999999999E-4</v>
      </c>
    </row>
    <row r="290" spans="1:11" x14ac:dyDescent="0.25">
      <c r="A290">
        <v>275</v>
      </c>
      <c r="B290" t="s">
        <v>748</v>
      </c>
      <c r="C290" t="s">
        <v>10</v>
      </c>
      <c r="D290" t="s">
        <v>632</v>
      </c>
      <c r="E290">
        <v>7.1897069999999993E-2</v>
      </c>
      <c r="F290">
        <v>0</v>
      </c>
      <c r="G290">
        <v>1.1725259E-2</v>
      </c>
      <c r="H290">
        <v>3.1532943000000001E-2</v>
      </c>
      <c r="I290">
        <v>2.0313865000000001E-4</v>
      </c>
      <c r="J290">
        <v>2.3571333999999999E-2</v>
      </c>
      <c r="K290">
        <v>4.8643957999999999E-3</v>
      </c>
    </row>
    <row r="291" spans="1:11" x14ac:dyDescent="0.25">
      <c r="A291">
        <v>276</v>
      </c>
      <c r="B291" t="s">
        <v>749</v>
      </c>
      <c r="C291" t="s">
        <v>10</v>
      </c>
      <c r="D291" t="s">
        <v>632</v>
      </c>
      <c r="E291">
        <v>2.9278333000000001</v>
      </c>
      <c r="F291">
        <v>0</v>
      </c>
      <c r="G291">
        <v>1.4485916E-2</v>
      </c>
      <c r="H291">
        <v>3.8470422999999997E-2</v>
      </c>
      <c r="I291">
        <v>1.6132418999999999E-4</v>
      </c>
      <c r="J291">
        <v>2.9818883000000001E-2</v>
      </c>
      <c r="K291">
        <v>2.8448967999999999</v>
      </c>
    </row>
    <row r="292" spans="1:11" x14ac:dyDescent="0.25">
      <c r="A292">
        <v>277</v>
      </c>
      <c r="B292" t="s">
        <v>750</v>
      </c>
      <c r="C292" t="s">
        <v>10</v>
      </c>
      <c r="D292" t="s">
        <v>632</v>
      </c>
      <c r="E292">
        <v>0.10784555999999999</v>
      </c>
      <c r="F292">
        <v>0</v>
      </c>
      <c r="G292">
        <v>1.2230575E-2</v>
      </c>
      <c r="H292">
        <v>2.6762713E-2</v>
      </c>
      <c r="I292">
        <v>1.017873E-4</v>
      </c>
      <c r="J292">
        <v>2.2202466000000001E-2</v>
      </c>
      <c r="K292">
        <v>4.6548017999999997E-2</v>
      </c>
    </row>
    <row r="293" spans="1:11" x14ac:dyDescent="0.25">
      <c r="A293">
        <v>278</v>
      </c>
      <c r="B293" t="s">
        <v>751</v>
      </c>
      <c r="C293" t="s">
        <v>10</v>
      </c>
      <c r="D293" t="s">
        <v>632</v>
      </c>
      <c r="E293">
        <v>2.4209877000000001E-2</v>
      </c>
      <c r="F293">
        <v>0</v>
      </c>
      <c r="G293">
        <v>4.0480454000000003E-3</v>
      </c>
      <c r="H293">
        <v>1.0691776E-2</v>
      </c>
      <c r="I293" s="74">
        <v>7.1736870999999995E-5</v>
      </c>
      <c r="J293">
        <v>7.8694739E-3</v>
      </c>
      <c r="K293">
        <v>1.5288446999999999E-3</v>
      </c>
    </row>
    <row r="294" spans="1:11" x14ac:dyDescent="0.25">
      <c r="A294">
        <v>279</v>
      </c>
      <c r="B294" t="s">
        <v>752</v>
      </c>
      <c r="C294" t="s">
        <v>10</v>
      </c>
      <c r="D294" t="s">
        <v>632</v>
      </c>
      <c r="E294">
        <v>0.94777305999999995</v>
      </c>
      <c r="F294">
        <v>0</v>
      </c>
      <c r="G294">
        <v>0.15181581</v>
      </c>
      <c r="H294">
        <v>0.41094164999999999</v>
      </c>
      <c r="I294">
        <v>2.6175986999999999E-3</v>
      </c>
      <c r="J294">
        <v>0.31589298999999998</v>
      </c>
      <c r="K294">
        <v>6.6505007000000005E-2</v>
      </c>
    </row>
    <row r="295" spans="1:11" x14ac:dyDescent="0.25">
      <c r="A295">
        <v>280</v>
      </c>
      <c r="B295" t="s">
        <v>753</v>
      </c>
      <c r="C295" t="s">
        <v>10</v>
      </c>
      <c r="D295" t="s">
        <v>632</v>
      </c>
      <c r="E295" s="74">
        <v>7.9962562999999999E-9</v>
      </c>
      <c r="F295">
        <v>0</v>
      </c>
      <c r="G295" s="74">
        <v>1.7975737999999999E-10</v>
      </c>
      <c r="H295" s="74">
        <v>1.708494E-9</v>
      </c>
      <c r="I295" s="74">
        <v>3.4055322E-12</v>
      </c>
      <c r="J295" s="74">
        <v>2.4074322000000001E-9</v>
      </c>
      <c r="K295" s="74">
        <v>3.6971671999999999E-9</v>
      </c>
    </row>
    <row r="296" spans="1:11" x14ac:dyDescent="0.25">
      <c r="A296">
        <v>281</v>
      </c>
      <c r="B296" t="s">
        <v>754</v>
      </c>
      <c r="C296" t="s">
        <v>10</v>
      </c>
      <c r="D296" t="s">
        <v>632</v>
      </c>
      <c r="E296" s="74">
        <v>6.0068828000000003E-6</v>
      </c>
      <c r="F296">
        <v>0</v>
      </c>
      <c r="G296" s="74">
        <v>1.009468E-6</v>
      </c>
      <c r="H296" s="74">
        <v>2.6538828999999999E-6</v>
      </c>
      <c r="I296" s="74">
        <v>1.7986882E-8</v>
      </c>
      <c r="J296" s="74">
        <v>1.9481034000000001E-6</v>
      </c>
      <c r="K296" s="74">
        <v>3.7744151999999998E-7</v>
      </c>
    </row>
    <row r="297" spans="1:11" x14ac:dyDescent="0.25">
      <c r="A297">
        <v>282</v>
      </c>
      <c r="B297" t="s">
        <v>755</v>
      </c>
      <c r="C297" t="s">
        <v>10</v>
      </c>
      <c r="D297" t="s">
        <v>632</v>
      </c>
      <c r="E297">
        <v>3.5257692999999999E-3</v>
      </c>
      <c r="F297">
        <v>0</v>
      </c>
      <c r="G297">
        <v>6.8528123999999995E-4</v>
      </c>
      <c r="H297">
        <v>1.4665660999999999E-3</v>
      </c>
      <c r="I297" s="74">
        <v>1.8729639000000001E-5</v>
      </c>
      <c r="J297">
        <v>1.1416247E-3</v>
      </c>
      <c r="K297">
        <v>2.1356764E-4</v>
      </c>
    </row>
    <row r="298" spans="1:11" x14ac:dyDescent="0.25">
      <c r="A298">
        <v>283</v>
      </c>
      <c r="B298" t="s">
        <v>756</v>
      </c>
      <c r="C298" t="s">
        <v>10</v>
      </c>
      <c r="D298" t="s">
        <v>632</v>
      </c>
      <c r="E298">
        <v>3.2894999000000001E-2</v>
      </c>
      <c r="F298">
        <v>0</v>
      </c>
      <c r="G298">
        <v>6.1315140999999998E-3</v>
      </c>
      <c r="H298">
        <v>1.3293087E-2</v>
      </c>
      <c r="I298">
        <v>1.6872995999999999E-4</v>
      </c>
      <c r="J298">
        <v>1.0612297999999999E-2</v>
      </c>
      <c r="K298">
        <v>2.6893696999999999E-3</v>
      </c>
    </row>
    <row r="299" spans="1:11" x14ac:dyDescent="0.25">
      <c r="A299">
        <v>284</v>
      </c>
      <c r="B299" t="s">
        <v>757</v>
      </c>
      <c r="C299" t="s">
        <v>10</v>
      </c>
      <c r="D299" t="s">
        <v>632</v>
      </c>
      <c r="E299" s="74">
        <v>3.4598192000000002E-5</v>
      </c>
      <c r="F299">
        <v>0</v>
      </c>
      <c r="G299" s="74">
        <v>6.3621257000000001E-6</v>
      </c>
      <c r="H299" s="74">
        <v>1.4536695000000001E-5</v>
      </c>
      <c r="I299" s="74">
        <v>1.801805E-7</v>
      </c>
      <c r="J299" s="74">
        <v>1.102449E-5</v>
      </c>
      <c r="K299" s="74">
        <v>2.4947014E-6</v>
      </c>
    </row>
    <row r="300" spans="1:11" x14ac:dyDescent="0.25">
      <c r="A300">
        <v>285</v>
      </c>
      <c r="B300" t="s">
        <v>758</v>
      </c>
      <c r="C300" t="s">
        <v>10</v>
      </c>
      <c r="D300" t="s">
        <v>632</v>
      </c>
      <c r="E300" s="74">
        <v>9.2101245999999998E-5</v>
      </c>
      <c r="F300">
        <v>0</v>
      </c>
      <c r="G300" s="74">
        <v>1.7650901E-5</v>
      </c>
      <c r="H300" s="74">
        <v>3.8734133000000003E-5</v>
      </c>
      <c r="I300" s="74">
        <v>4.8820914999999999E-7</v>
      </c>
      <c r="J300" s="74">
        <v>3.0333333E-5</v>
      </c>
      <c r="K300" s="74">
        <v>4.8946694999999998E-6</v>
      </c>
    </row>
    <row r="301" spans="1:11" x14ac:dyDescent="0.25">
      <c r="A301">
        <v>286</v>
      </c>
      <c r="B301" t="s">
        <v>759</v>
      </c>
      <c r="C301" t="s">
        <v>10</v>
      </c>
      <c r="D301" t="s">
        <v>632</v>
      </c>
      <c r="E301">
        <v>4.2796757999999997E-2</v>
      </c>
      <c r="F301">
        <v>0</v>
      </c>
      <c r="G301">
        <v>8.2041282000000007E-3</v>
      </c>
      <c r="H301">
        <v>1.7723260000000001E-2</v>
      </c>
      <c r="I301">
        <v>2.3125475999999999E-4</v>
      </c>
      <c r="J301">
        <v>1.4057837E-2</v>
      </c>
      <c r="K301">
        <v>2.5802783999999998E-3</v>
      </c>
    </row>
    <row r="302" spans="1:11" x14ac:dyDescent="0.25">
      <c r="A302">
        <v>287</v>
      </c>
      <c r="B302" t="s">
        <v>760</v>
      </c>
      <c r="C302" t="s">
        <v>10</v>
      </c>
      <c r="D302" t="s">
        <v>632</v>
      </c>
      <c r="E302">
        <v>5.9663502000000001E-4</v>
      </c>
      <c r="F302">
        <v>0</v>
      </c>
      <c r="G302">
        <v>2.0524434000000001E-4</v>
      </c>
      <c r="H302">
        <v>1.9615729999999999E-4</v>
      </c>
      <c r="I302">
        <v>1.6162558E-4</v>
      </c>
      <c r="J302" s="74">
        <v>1.3234811000000001E-5</v>
      </c>
      <c r="K302" s="74">
        <v>2.0372993E-5</v>
      </c>
    </row>
    <row r="303" spans="1:11" x14ac:dyDescent="0.25">
      <c r="A303">
        <v>288</v>
      </c>
      <c r="B303" t="s">
        <v>761</v>
      </c>
      <c r="C303" t="s">
        <v>10</v>
      </c>
      <c r="D303" t="s">
        <v>632</v>
      </c>
      <c r="E303" s="74">
        <v>6.8241129000000002E-6</v>
      </c>
      <c r="F303">
        <v>0</v>
      </c>
      <c r="G303" s="74">
        <v>8.6794292999999996E-7</v>
      </c>
      <c r="H303" s="74">
        <v>2.5739973000000002E-6</v>
      </c>
      <c r="I303" s="74">
        <v>2.2038821999999999E-8</v>
      </c>
      <c r="J303" s="74">
        <v>2.9260165000000002E-6</v>
      </c>
      <c r="K303" s="74">
        <v>4.3411734999999999E-7</v>
      </c>
    </row>
    <row r="304" spans="1:11" x14ac:dyDescent="0.25">
      <c r="A304">
        <v>289</v>
      </c>
      <c r="B304" t="s">
        <v>762</v>
      </c>
      <c r="C304" t="s">
        <v>10</v>
      </c>
      <c r="D304" t="s">
        <v>632</v>
      </c>
      <c r="E304">
        <v>1.4495031E-2</v>
      </c>
      <c r="F304">
        <v>0</v>
      </c>
      <c r="G304">
        <v>2.8376891E-3</v>
      </c>
      <c r="H304">
        <v>6.0904280000000002E-3</v>
      </c>
      <c r="I304" s="74">
        <v>8.1004162000000002E-5</v>
      </c>
      <c r="J304">
        <v>4.7782865999999998E-3</v>
      </c>
      <c r="K304">
        <v>7.0762345000000004E-4</v>
      </c>
    </row>
    <row r="305" spans="1:11" x14ac:dyDescent="0.25">
      <c r="A305">
        <v>290</v>
      </c>
      <c r="B305" t="s">
        <v>763</v>
      </c>
      <c r="C305" t="s">
        <v>10</v>
      </c>
      <c r="D305" t="s">
        <v>632</v>
      </c>
      <c r="E305">
        <v>0.18784551999999999</v>
      </c>
      <c r="F305">
        <v>0</v>
      </c>
      <c r="G305">
        <v>2.0212766E-2</v>
      </c>
      <c r="H305">
        <v>4.4545754E-2</v>
      </c>
      <c r="I305">
        <v>5.0976381999999997E-4</v>
      </c>
      <c r="J305">
        <v>3.5909993000000001E-2</v>
      </c>
      <c r="K305">
        <v>8.6667242000000005E-2</v>
      </c>
    </row>
    <row r="306" spans="1:11" x14ac:dyDescent="0.25">
      <c r="A306">
        <v>291</v>
      </c>
      <c r="B306" t="s">
        <v>764</v>
      </c>
      <c r="C306" t="s">
        <v>10</v>
      </c>
      <c r="D306" t="s">
        <v>632</v>
      </c>
      <c r="E306">
        <v>7.6767029000000004E-3</v>
      </c>
      <c r="F306">
        <v>0</v>
      </c>
      <c r="G306">
        <v>1.4913539E-3</v>
      </c>
      <c r="H306">
        <v>3.2047878E-3</v>
      </c>
      <c r="I306" s="74">
        <v>4.2514279999999999E-5</v>
      </c>
      <c r="J306">
        <v>2.5203907000000002E-3</v>
      </c>
      <c r="K306">
        <v>4.1765625E-4</v>
      </c>
    </row>
    <row r="307" spans="1:11" x14ac:dyDescent="0.25">
      <c r="A307">
        <v>292</v>
      </c>
      <c r="B307" t="s">
        <v>765</v>
      </c>
      <c r="C307" t="s">
        <v>10</v>
      </c>
      <c r="D307" t="s">
        <v>632</v>
      </c>
      <c r="E307">
        <v>3.1081424000000001E-3</v>
      </c>
      <c r="F307">
        <v>0</v>
      </c>
      <c r="G307" s="74">
        <v>2.7775236E-5</v>
      </c>
      <c r="H307">
        <v>2.8722613000000002E-3</v>
      </c>
      <c r="I307" s="74">
        <v>1.3772450000000001E-5</v>
      </c>
      <c r="J307">
        <v>1.2011984E-4</v>
      </c>
      <c r="K307" s="74">
        <v>7.4213607999999999E-5</v>
      </c>
    </row>
    <row r="308" spans="1:11" x14ac:dyDescent="0.25">
      <c r="A308">
        <v>293</v>
      </c>
      <c r="B308" t="s">
        <v>766</v>
      </c>
      <c r="C308" t="s">
        <v>10</v>
      </c>
      <c r="D308" t="s">
        <v>632</v>
      </c>
      <c r="E308">
        <v>7.1021356000000001E-3</v>
      </c>
      <c r="F308">
        <v>0</v>
      </c>
      <c r="G308">
        <v>1.3322293E-3</v>
      </c>
      <c r="H308">
        <v>2.9246071000000001E-3</v>
      </c>
      <c r="I308" s="74">
        <v>3.6184828999999999E-5</v>
      </c>
      <c r="J308">
        <v>2.3861324000000001E-3</v>
      </c>
      <c r="K308">
        <v>4.2298204999999999E-4</v>
      </c>
    </row>
    <row r="309" spans="1:11" x14ac:dyDescent="0.25">
      <c r="A309">
        <v>294</v>
      </c>
      <c r="B309" t="s">
        <v>767</v>
      </c>
      <c r="C309" t="s">
        <v>10</v>
      </c>
      <c r="D309" t="s">
        <v>632</v>
      </c>
      <c r="E309">
        <v>6.8631580000000001E-4</v>
      </c>
      <c r="F309">
        <v>0</v>
      </c>
      <c r="G309">
        <v>1.3423054E-4</v>
      </c>
      <c r="H309">
        <v>2.8834713000000002E-4</v>
      </c>
      <c r="I309" s="74">
        <v>3.8387716999999998E-6</v>
      </c>
      <c r="J309">
        <v>2.2590290999999999E-4</v>
      </c>
      <c r="K309" s="74">
        <v>3.3996445000000002E-5</v>
      </c>
    </row>
    <row r="310" spans="1:11" x14ac:dyDescent="0.25">
      <c r="A310">
        <v>295</v>
      </c>
      <c r="B310" t="s">
        <v>768</v>
      </c>
      <c r="C310" t="s">
        <v>10</v>
      </c>
      <c r="D310" t="s">
        <v>632</v>
      </c>
      <c r="E310">
        <v>5.4852806000000004E-4</v>
      </c>
      <c r="F310">
        <v>0</v>
      </c>
      <c r="G310">
        <v>1.0701913E-4</v>
      </c>
      <c r="H310">
        <v>2.3035574000000001E-4</v>
      </c>
      <c r="I310" s="74">
        <v>3.0593819999999998E-6</v>
      </c>
      <c r="J310">
        <v>1.8027205999999999E-4</v>
      </c>
      <c r="K310" s="74">
        <v>2.7821747E-5</v>
      </c>
    </row>
    <row r="311" spans="1:11" x14ac:dyDescent="0.25">
      <c r="A311">
        <v>296</v>
      </c>
      <c r="B311" t="s">
        <v>769</v>
      </c>
      <c r="C311" t="s">
        <v>10</v>
      </c>
      <c r="D311" t="s">
        <v>632</v>
      </c>
      <c r="E311" s="74">
        <v>3.0781457E-6</v>
      </c>
      <c r="F311">
        <v>0</v>
      </c>
      <c r="G311" s="74">
        <v>3.4220894000000001E-7</v>
      </c>
      <c r="H311" s="74">
        <v>8.9811229999999997E-7</v>
      </c>
      <c r="I311" s="74">
        <v>4.1298509999999998E-10</v>
      </c>
      <c r="J311" s="74">
        <v>1.2837427999999999E-6</v>
      </c>
      <c r="K311" s="74">
        <v>5.5366860000000001E-7</v>
      </c>
    </row>
    <row r="312" spans="1:11" x14ac:dyDescent="0.25">
      <c r="A312">
        <v>297</v>
      </c>
      <c r="B312" t="s">
        <v>770</v>
      </c>
      <c r="C312" t="s">
        <v>10</v>
      </c>
      <c r="D312" t="s">
        <v>632</v>
      </c>
      <c r="E312" s="74">
        <v>3.9464794000000001E-6</v>
      </c>
      <c r="F312">
        <v>0</v>
      </c>
      <c r="G312" s="74">
        <v>4.3939769000000002E-7</v>
      </c>
      <c r="H312" s="74">
        <v>1.1452327000000001E-6</v>
      </c>
      <c r="I312" s="74">
        <v>1.6650102999999999E-9</v>
      </c>
      <c r="J312" s="74">
        <v>1.6486207000000001E-6</v>
      </c>
      <c r="K312" s="74">
        <v>7.1156326000000002E-7</v>
      </c>
    </row>
    <row r="313" spans="1:11" x14ac:dyDescent="0.25">
      <c r="A313">
        <v>298</v>
      </c>
      <c r="B313" t="s">
        <v>771</v>
      </c>
      <c r="C313" t="s">
        <v>10</v>
      </c>
      <c r="D313" t="s">
        <v>632</v>
      </c>
      <c r="E313" s="74">
        <v>1.0991923E-5</v>
      </c>
      <c r="F313">
        <v>0</v>
      </c>
      <c r="G313" s="74">
        <v>1.2206331E-6</v>
      </c>
      <c r="H313" s="74">
        <v>3.2148323E-6</v>
      </c>
      <c r="I313" s="74">
        <v>3.1678576999999999E-9</v>
      </c>
      <c r="J313" s="74">
        <v>4.5794853000000004E-6</v>
      </c>
      <c r="K313" s="74">
        <v>1.9738040000000002E-6</v>
      </c>
    </row>
    <row r="314" spans="1:11" x14ac:dyDescent="0.25">
      <c r="A314">
        <v>299</v>
      </c>
      <c r="B314" t="s">
        <v>772</v>
      </c>
      <c r="C314" t="s">
        <v>10</v>
      </c>
      <c r="D314" t="s">
        <v>632</v>
      </c>
      <c r="E314" s="74">
        <v>1.6417712E-5</v>
      </c>
      <c r="F314">
        <v>0</v>
      </c>
      <c r="G314" s="74">
        <v>1.8275939E-6</v>
      </c>
      <c r="H314" s="74">
        <v>4.7730415000000001E-6</v>
      </c>
      <c r="I314" s="74">
        <v>2.1969480000000001E-9</v>
      </c>
      <c r="J314" s="74">
        <v>6.8558849999999997E-6</v>
      </c>
      <c r="K314" s="74">
        <v>2.9589945999999999E-6</v>
      </c>
    </row>
    <row r="315" spans="1:11" x14ac:dyDescent="0.25">
      <c r="A315">
        <v>300</v>
      </c>
      <c r="B315" t="s">
        <v>773</v>
      </c>
      <c r="C315" t="s">
        <v>10</v>
      </c>
      <c r="D315" t="s">
        <v>632</v>
      </c>
      <c r="E315" s="74">
        <v>7.8177241000000003E-6</v>
      </c>
      <c r="F315">
        <v>0</v>
      </c>
      <c r="G315" s="74">
        <v>8.6915028000000003E-7</v>
      </c>
      <c r="H315" s="74">
        <v>2.2796213999999999E-6</v>
      </c>
      <c r="I315" s="74">
        <v>1.9335450999999999E-9</v>
      </c>
      <c r="J315" s="74">
        <v>3.2607133999999999E-6</v>
      </c>
      <c r="K315" s="74">
        <v>1.4063054000000001E-6</v>
      </c>
    </row>
    <row r="316" spans="1:11" x14ac:dyDescent="0.25">
      <c r="A316">
        <v>301</v>
      </c>
      <c r="B316" t="s">
        <v>774</v>
      </c>
      <c r="C316" t="s">
        <v>10</v>
      </c>
      <c r="D316" t="s">
        <v>632</v>
      </c>
      <c r="E316" s="74">
        <v>1.358209E-6</v>
      </c>
      <c r="F316">
        <v>0</v>
      </c>
      <c r="G316" s="74">
        <v>1.5077082E-7</v>
      </c>
      <c r="H316" s="74">
        <v>3.9400797000000001E-7</v>
      </c>
      <c r="I316" s="74">
        <v>3.1123244E-9</v>
      </c>
      <c r="J316" s="74">
        <v>5.6637108000000001E-7</v>
      </c>
      <c r="K316" s="74">
        <v>2.4394683E-7</v>
      </c>
    </row>
    <row r="317" spans="1:11" x14ac:dyDescent="0.25">
      <c r="A317">
        <v>302</v>
      </c>
      <c r="B317" t="s">
        <v>775</v>
      </c>
      <c r="C317" t="s">
        <v>10</v>
      </c>
      <c r="D317" t="s">
        <v>632</v>
      </c>
      <c r="E317">
        <v>2.6298367999999998E-3</v>
      </c>
      <c r="F317">
        <v>0</v>
      </c>
      <c r="G317">
        <v>4.1228993000000001E-4</v>
      </c>
      <c r="H317">
        <v>1.1368557E-3</v>
      </c>
      <c r="I317" s="74">
        <v>7.2263789000000001E-6</v>
      </c>
      <c r="J317">
        <v>9.0416119000000001E-4</v>
      </c>
      <c r="K317">
        <v>1.6930362E-4</v>
      </c>
    </row>
    <row r="318" spans="1:11" x14ac:dyDescent="0.25">
      <c r="A318">
        <v>303</v>
      </c>
      <c r="B318" t="s">
        <v>776</v>
      </c>
      <c r="C318" t="s">
        <v>10</v>
      </c>
      <c r="D318" t="s">
        <v>632</v>
      </c>
      <c r="E318">
        <v>1.0911082E-3</v>
      </c>
      <c r="F318">
        <v>0</v>
      </c>
      <c r="G318">
        <v>2.1371814000000001E-4</v>
      </c>
      <c r="H318">
        <v>4.5851339999999999E-4</v>
      </c>
      <c r="I318" s="74">
        <v>6.1148356999999998E-6</v>
      </c>
      <c r="J318">
        <v>3.5945698000000001E-4</v>
      </c>
      <c r="K318" s="74">
        <v>5.3304823000000001E-5</v>
      </c>
    </row>
    <row r="319" spans="1:11" x14ac:dyDescent="0.25">
      <c r="A319">
        <v>304</v>
      </c>
      <c r="B319" t="s">
        <v>777</v>
      </c>
      <c r="C319" t="s">
        <v>10</v>
      </c>
      <c r="D319" t="s">
        <v>632</v>
      </c>
      <c r="E319" s="74">
        <v>4.1719387000000001E-11</v>
      </c>
      <c r="F319">
        <v>0</v>
      </c>
      <c r="G319" s="74">
        <v>5.6084428000000005E-13</v>
      </c>
      <c r="H319" s="74">
        <v>2.6547060000000001E-11</v>
      </c>
      <c r="I319" s="74">
        <v>5.5406484000000003E-14</v>
      </c>
      <c r="J319" s="74">
        <v>1.3218158E-11</v>
      </c>
      <c r="K319" s="74">
        <v>1.3379189E-12</v>
      </c>
    </row>
    <row r="320" spans="1:11" x14ac:dyDescent="0.25">
      <c r="A320">
        <v>305</v>
      </c>
      <c r="B320" t="s">
        <v>778</v>
      </c>
      <c r="C320" t="s">
        <v>10</v>
      </c>
      <c r="D320" t="s">
        <v>632</v>
      </c>
      <c r="E320">
        <v>8.3532319999999993E-2</v>
      </c>
      <c r="F320">
        <v>0</v>
      </c>
      <c r="G320">
        <v>1.3846338999999999E-2</v>
      </c>
      <c r="H320">
        <v>3.6830633000000002E-2</v>
      </c>
      <c r="I320">
        <v>2.4655962E-4</v>
      </c>
      <c r="J320">
        <v>2.7364531000000001E-2</v>
      </c>
      <c r="K320">
        <v>5.2442577000000002E-3</v>
      </c>
    </row>
    <row r="321" spans="1:11" x14ac:dyDescent="0.25">
      <c r="A321">
        <v>306</v>
      </c>
      <c r="B321" t="s">
        <v>779</v>
      </c>
      <c r="C321" t="s">
        <v>10</v>
      </c>
      <c r="D321" t="s">
        <v>632</v>
      </c>
      <c r="E321">
        <v>1.6383325000000001E-2</v>
      </c>
      <c r="F321">
        <v>0</v>
      </c>
      <c r="G321">
        <v>2.6934339000000002E-3</v>
      </c>
      <c r="H321">
        <v>7.1886273000000001E-3</v>
      </c>
      <c r="I321" s="74">
        <v>4.7151516999999997E-5</v>
      </c>
      <c r="J321">
        <v>5.3663790000000001E-3</v>
      </c>
      <c r="K321">
        <v>1.0877335E-3</v>
      </c>
    </row>
    <row r="322" spans="1:11" x14ac:dyDescent="0.25">
      <c r="A322">
        <v>307</v>
      </c>
      <c r="B322" t="s">
        <v>780</v>
      </c>
      <c r="C322" t="s">
        <v>10</v>
      </c>
      <c r="D322" t="s">
        <v>632</v>
      </c>
      <c r="E322">
        <v>9.7348511000000006E-3</v>
      </c>
      <c r="F322">
        <v>0</v>
      </c>
      <c r="G322">
        <v>1.3092244E-3</v>
      </c>
      <c r="H322">
        <v>3.5148313E-3</v>
      </c>
      <c r="I322" s="74">
        <v>1.8479737E-5</v>
      </c>
      <c r="J322">
        <v>3.6460111999999999E-3</v>
      </c>
      <c r="K322">
        <v>1.2463044999999999E-3</v>
      </c>
    </row>
    <row r="323" spans="1:11" x14ac:dyDescent="0.25">
      <c r="A323">
        <v>308</v>
      </c>
      <c r="B323" t="s">
        <v>781</v>
      </c>
      <c r="C323" t="s">
        <v>10</v>
      </c>
      <c r="D323" t="s">
        <v>632</v>
      </c>
      <c r="E323">
        <v>3.0515489E-2</v>
      </c>
      <c r="F323">
        <v>0</v>
      </c>
      <c r="G323">
        <v>5.9083273000000002E-3</v>
      </c>
      <c r="H323">
        <v>1.2715026000000001E-2</v>
      </c>
      <c r="I323">
        <v>1.6768725E-4</v>
      </c>
      <c r="J323">
        <v>1.0012889000000001E-2</v>
      </c>
      <c r="K323">
        <v>1.7115590999999999E-3</v>
      </c>
    </row>
    <row r="324" spans="1:11" x14ac:dyDescent="0.25">
      <c r="A324">
        <v>309</v>
      </c>
      <c r="B324" t="s">
        <v>782</v>
      </c>
      <c r="C324" t="s">
        <v>10</v>
      </c>
      <c r="D324" t="s">
        <v>632</v>
      </c>
      <c r="E324">
        <v>6.1457871999999997E-2</v>
      </c>
      <c r="F324">
        <v>0</v>
      </c>
      <c r="G324">
        <v>9.8671220000000007E-3</v>
      </c>
      <c r="H324">
        <v>2.6607698999999999E-2</v>
      </c>
      <c r="I324">
        <v>1.7199182999999999E-4</v>
      </c>
      <c r="J324">
        <v>2.0493436E-2</v>
      </c>
      <c r="K324">
        <v>4.3176229999999996E-3</v>
      </c>
    </row>
    <row r="325" spans="1:11" x14ac:dyDescent="0.25">
      <c r="A325">
        <v>310</v>
      </c>
      <c r="B325" t="s">
        <v>783</v>
      </c>
      <c r="C325" t="s">
        <v>10</v>
      </c>
      <c r="D325" t="s">
        <v>632</v>
      </c>
      <c r="E325">
        <v>3.3511737000000001E-3</v>
      </c>
      <c r="F325">
        <v>0</v>
      </c>
      <c r="G325">
        <v>5.3289077000000002E-4</v>
      </c>
      <c r="H325">
        <v>1.4289857E-3</v>
      </c>
      <c r="I325" s="74">
        <v>9.5012295000000005E-6</v>
      </c>
      <c r="J325">
        <v>1.1481911E-3</v>
      </c>
      <c r="K325">
        <v>2.3160486000000001E-4</v>
      </c>
    </row>
    <row r="326" spans="1:11" x14ac:dyDescent="0.25">
      <c r="A326">
        <v>311</v>
      </c>
      <c r="B326" t="s">
        <v>784</v>
      </c>
      <c r="C326" t="s">
        <v>10</v>
      </c>
      <c r="D326" t="s">
        <v>632</v>
      </c>
      <c r="E326">
        <v>6.6911132999999999E-4</v>
      </c>
      <c r="F326">
        <v>0</v>
      </c>
      <c r="G326">
        <v>1.3064515E-4</v>
      </c>
      <c r="H326">
        <v>2.8131051000000002E-4</v>
      </c>
      <c r="I326" s="74">
        <v>3.7284206999999999E-6</v>
      </c>
      <c r="J326">
        <v>2.2024123000000001E-4</v>
      </c>
      <c r="K326" s="74">
        <v>3.3186024000000003E-5</v>
      </c>
    </row>
    <row r="327" spans="1:11" x14ac:dyDescent="0.25">
      <c r="A327">
        <v>312</v>
      </c>
      <c r="B327" t="s">
        <v>785</v>
      </c>
      <c r="C327" t="s">
        <v>10</v>
      </c>
      <c r="D327" t="s">
        <v>632</v>
      </c>
      <c r="E327">
        <v>5.0333067E-4</v>
      </c>
      <c r="F327">
        <v>0</v>
      </c>
      <c r="G327" s="74">
        <v>9.8126719999999998E-5</v>
      </c>
      <c r="H327">
        <v>2.1047962E-4</v>
      </c>
      <c r="I327" s="74">
        <v>2.8019728E-6</v>
      </c>
      <c r="J327">
        <v>1.6511389000000001E-4</v>
      </c>
      <c r="K327" s="74">
        <v>2.6808471E-5</v>
      </c>
    </row>
    <row r="328" spans="1:11" x14ac:dyDescent="0.25">
      <c r="A328">
        <v>313</v>
      </c>
      <c r="B328" t="s">
        <v>786</v>
      </c>
      <c r="C328" t="s">
        <v>10</v>
      </c>
      <c r="D328" t="s">
        <v>632</v>
      </c>
      <c r="E328">
        <v>3.7344607E-3</v>
      </c>
      <c r="F328">
        <v>0</v>
      </c>
      <c r="G328">
        <v>7.3131911999999998E-4</v>
      </c>
      <c r="H328">
        <v>1.569715E-3</v>
      </c>
      <c r="I328" s="74">
        <v>2.0901677000000001E-5</v>
      </c>
      <c r="J328">
        <v>1.2305336E-3</v>
      </c>
      <c r="K328">
        <v>1.8199127999999999E-4</v>
      </c>
    </row>
    <row r="329" spans="1:11" x14ac:dyDescent="0.25">
      <c r="A329">
        <v>314</v>
      </c>
      <c r="B329" t="s">
        <v>787</v>
      </c>
      <c r="C329" t="s">
        <v>10</v>
      </c>
      <c r="D329" t="s">
        <v>632</v>
      </c>
      <c r="E329" s="74">
        <v>2.6504420999999999E-6</v>
      </c>
      <c r="F329">
        <v>0</v>
      </c>
      <c r="G329" s="74">
        <v>1.9924429000000001E-8</v>
      </c>
      <c r="H329" s="74">
        <v>8.6686578999999995E-8</v>
      </c>
      <c r="I329" s="74">
        <v>3.5481081999999999E-9</v>
      </c>
      <c r="J329" s="74">
        <v>2.5170651E-6</v>
      </c>
      <c r="K329" s="74">
        <v>2.3217872999999999E-8</v>
      </c>
    </row>
    <row r="330" spans="1:11" x14ac:dyDescent="0.25">
      <c r="A330">
        <v>315</v>
      </c>
      <c r="B330" t="s">
        <v>788</v>
      </c>
      <c r="C330" t="s">
        <v>10</v>
      </c>
      <c r="D330" t="s">
        <v>632</v>
      </c>
      <c r="E330">
        <v>4.3957257E-4</v>
      </c>
      <c r="F330">
        <v>0</v>
      </c>
      <c r="G330" s="74">
        <v>8.6125456999999996E-5</v>
      </c>
      <c r="H330">
        <v>1.8479443E-4</v>
      </c>
      <c r="I330" s="74">
        <v>2.4639343000000002E-6</v>
      </c>
      <c r="J330">
        <v>1.4482235E-4</v>
      </c>
      <c r="K330" s="74">
        <v>2.1366406999999998E-5</v>
      </c>
    </row>
    <row r="331" spans="1:11" x14ac:dyDescent="0.25">
      <c r="A331">
        <v>316</v>
      </c>
      <c r="B331" t="s">
        <v>789</v>
      </c>
      <c r="C331" t="s">
        <v>10</v>
      </c>
      <c r="D331" t="s">
        <v>632</v>
      </c>
      <c r="E331" s="74">
        <v>5.6797095000000002E-6</v>
      </c>
      <c r="F331">
        <v>0</v>
      </c>
      <c r="G331" s="74">
        <v>1.112833E-6</v>
      </c>
      <c r="H331" s="74">
        <v>2.3891891000000002E-6</v>
      </c>
      <c r="I331" s="74">
        <v>3.1839242999999999E-8</v>
      </c>
      <c r="J331" s="74">
        <v>1.8705766E-6</v>
      </c>
      <c r="K331" s="74">
        <v>2.7527159999999998E-7</v>
      </c>
    </row>
    <row r="332" spans="1:11" x14ac:dyDescent="0.25">
      <c r="A332">
        <v>317</v>
      </c>
      <c r="B332" t="s">
        <v>790</v>
      </c>
      <c r="C332" t="s">
        <v>10</v>
      </c>
      <c r="D332" t="s">
        <v>632</v>
      </c>
      <c r="E332">
        <v>4.0506761000000002E-2</v>
      </c>
      <c r="F332">
        <v>0</v>
      </c>
      <c r="G332">
        <v>6.7693019999999996E-3</v>
      </c>
      <c r="H332">
        <v>1.7925594999999999E-2</v>
      </c>
      <c r="I332">
        <v>1.20358E-4</v>
      </c>
      <c r="J332">
        <v>1.3126023000000001E-2</v>
      </c>
      <c r="K332">
        <v>2.5654827999999998E-3</v>
      </c>
    </row>
    <row r="333" spans="1:11" x14ac:dyDescent="0.25">
      <c r="A333">
        <v>318</v>
      </c>
      <c r="B333" t="s">
        <v>791</v>
      </c>
      <c r="C333" t="s">
        <v>10</v>
      </c>
      <c r="D333" t="s">
        <v>632</v>
      </c>
      <c r="E333">
        <v>2.7195524999999998E-3</v>
      </c>
      <c r="F333">
        <v>0</v>
      </c>
      <c r="G333">
        <v>4.5318490000000001E-4</v>
      </c>
      <c r="H333">
        <v>1.1989175E-3</v>
      </c>
      <c r="I333" s="74">
        <v>7.9943223000000007E-6</v>
      </c>
      <c r="J333">
        <v>8.8399517999999998E-4</v>
      </c>
      <c r="K333">
        <v>1.7546055E-4</v>
      </c>
    </row>
    <row r="334" spans="1:11" x14ac:dyDescent="0.25">
      <c r="A334">
        <v>319</v>
      </c>
      <c r="B334" t="s">
        <v>792</v>
      </c>
      <c r="C334" t="s">
        <v>10</v>
      </c>
      <c r="D334" t="s">
        <v>632</v>
      </c>
      <c r="E334">
        <v>3.2172981E-4</v>
      </c>
      <c r="F334">
        <v>0</v>
      </c>
      <c r="G334" s="74">
        <v>5.8402502999999997E-5</v>
      </c>
      <c r="H334">
        <v>1.2988157000000001E-4</v>
      </c>
      <c r="I334" s="74">
        <v>1.6495543000000001E-6</v>
      </c>
      <c r="J334">
        <v>1.0136035E-4</v>
      </c>
      <c r="K334" s="74">
        <v>3.0435828000000001E-5</v>
      </c>
    </row>
    <row r="335" spans="1:11" x14ac:dyDescent="0.25">
      <c r="A335">
        <v>320</v>
      </c>
      <c r="B335" t="s">
        <v>793</v>
      </c>
      <c r="C335" t="s">
        <v>10</v>
      </c>
      <c r="D335" t="s">
        <v>632</v>
      </c>
      <c r="E335">
        <v>5.0955080000000003E-3</v>
      </c>
      <c r="F335">
        <v>0</v>
      </c>
      <c r="G335">
        <v>8.9432892999999998E-4</v>
      </c>
      <c r="H335">
        <v>2.0378223E-3</v>
      </c>
      <c r="I335" s="74">
        <v>2.2464493999999998E-5</v>
      </c>
      <c r="J335">
        <v>1.7501496000000001E-3</v>
      </c>
      <c r="K335">
        <v>3.9074272999999998E-4</v>
      </c>
    </row>
    <row r="336" spans="1:11" x14ac:dyDescent="0.25">
      <c r="A336">
        <v>321</v>
      </c>
      <c r="B336" t="s">
        <v>794</v>
      </c>
      <c r="C336" t="s">
        <v>10</v>
      </c>
      <c r="D336" t="s">
        <v>632</v>
      </c>
      <c r="E336" s="74">
        <v>1.4127443E-8</v>
      </c>
      <c r="F336">
        <v>0</v>
      </c>
      <c r="G336" s="74">
        <v>2.6298431999999999E-9</v>
      </c>
      <c r="H336" s="74">
        <v>5.9410318000000003E-9</v>
      </c>
      <c r="I336" s="74">
        <v>6.9226324000000001E-11</v>
      </c>
      <c r="J336" s="74">
        <v>4.6548282E-9</v>
      </c>
      <c r="K336" s="74">
        <v>8.3251303000000001E-10</v>
      </c>
    </row>
    <row r="337" spans="1:11" x14ac:dyDescent="0.25">
      <c r="A337">
        <v>322</v>
      </c>
      <c r="B337" t="s">
        <v>795</v>
      </c>
      <c r="C337" t="s">
        <v>10</v>
      </c>
      <c r="D337" t="s">
        <v>632</v>
      </c>
      <c r="E337">
        <v>3.8186308999999998E-3</v>
      </c>
      <c r="F337">
        <v>0</v>
      </c>
      <c r="G337">
        <v>6.4056113999999998E-4</v>
      </c>
      <c r="H337">
        <v>1.6903465999999999E-3</v>
      </c>
      <c r="I337" s="74">
        <v>1.1422937999999999E-5</v>
      </c>
      <c r="J337">
        <v>1.2363509000000001E-3</v>
      </c>
      <c r="K337">
        <v>2.3994928000000001E-4</v>
      </c>
    </row>
    <row r="338" spans="1:11" x14ac:dyDescent="0.25">
      <c r="A338">
        <v>323</v>
      </c>
      <c r="B338" t="s">
        <v>796</v>
      </c>
      <c r="C338" t="s">
        <v>10</v>
      </c>
      <c r="D338" t="s">
        <v>632</v>
      </c>
      <c r="E338" s="74">
        <v>5.5258098999999998E-7</v>
      </c>
      <c r="F338">
        <v>0</v>
      </c>
      <c r="G338" s="74">
        <v>6.1087390999999999E-8</v>
      </c>
      <c r="H338" s="74">
        <v>1.6002036000000001E-7</v>
      </c>
      <c r="I338" s="74">
        <v>2.845087E-9</v>
      </c>
      <c r="J338" s="74">
        <v>2.2989799E-7</v>
      </c>
      <c r="K338" s="74">
        <v>9.8730161E-8</v>
      </c>
    </row>
    <row r="339" spans="1:11" x14ac:dyDescent="0.25">
      <c r="A339">
        <v>324</v>
      </c>
      <c r="B339" t="s">
        <v>797</v>
      </c>
      <c r="C339" t="s">
        <v>10</v>
      </c>
      <c r="D339" t="s">
        <v>632</v>
      </c>
      <c r="E339">
        <v>4.3343138999999998E-4</v>
      </c>
      <c r="F339">
        <v>0</v>
      </c>
      <c r="G339" s="74">
        <v>7.1648798999999995E-5</v>
      </c>
      <c r="H339">
        <v>1.8963648999999999E-4</v>
      </c>
      <c r="I339" s="74">
        <v>1.2593226E-6</v>
      </c>
      <c r="J339">
        <v>1.4324712999999999E-4</v>
      </c>
      <c r="K339" s="74">
        <v>2.7639644999999999E-5</v>
      </c>
    </row>
    <row r="340" spans="1:11" x14ac:dyDescent="0.25">
      <c r="A340">
        <v>325</v>
      </c>
      <c r="B340" t="s">
        <v>798</v>
      </c>
      <c r="C340" t="s">
        <v>10</v>
      </c>
      <c r="D340" t="s">
        <v>632</v>
      </c>
      <c r="E340" s="74">
        <v>9.9207012000000003E-7</v>
      </c>
      <c r="F340">
        <v>0</v>
      </c>
      <c r="G340" s="74">
        <v>1.3693304000000001E-7</v>
      </c>
      <c r="H340" s="74">
        <v>3.4018554999999998E-7</v>
      </c>
      <c r="I340" s="74">
        <v>5.9286107999999999E-11</v>
      </c>
      <c r="J340" s="74">
        <v>5.1135089999999997E-7</v>
      </c>
      <c r="K340" s="74">
        <v>3.5413503000000001E-9</v>
      </c>
    </row>
    <row r="341" spans="1:11" x14ac:dyDescent="0.25">
      <c r="A341">
        <v>326</v>
      </c>
      <c r="B341" t="s">
        <v>799</v>
      </c>
      <c r="C341" t="s">
        <v>10</v>
      </c>
      <c r="D341" t="s">
        <v>632</v>
      </c>
      <c r="E341" s="74">
        <v>4.7002560999999999E-7</v>
      </c>
      <c r="F341">
        <v>0</v>
      </c>
      <c r="G341" s="74">
        <v>1.7183944999999999E-8</v>
      </c>
      <c r="H341" s="74">
        <v>1.0856101999999999E-7</v>
      </c>
      <c r="I341" s="74">
        <v>1.0344488000000001E-10</v>
      </c>
      <c r="J341" s="74">
        <v>8.6002453999999997E-8</v>
      </c>
      <c r="K341" s="74">
        <v>2.5817475000000001E-7</v>
      </c>
    </row>
    <row r="342" spans="1:11" x14ac:dyDescent="0.25">
      <c r="A342">
        <v>327</v>
      </c>
      <c r="B342" t="s">
        <v>800</v>
      </c>
      <c r="C342" t="s">
        <v>10</v>
      </c>
      <c r="D342" t="s">
        <v>632</v>
      </c>
      <c r="E342">
        <v>4.4939715999999996E-3</v>
      </c>
      <c r="F342">
        <v>0</v>
      </c>
      <c r="G342">
        <v>8.8008824999999998E-4</v>
      </c>
      <c r="H342">
        <v>1.8870703999999999E-3</v>
      </c>
      <c r="I342" s="74">
        <v>2.5130275000000001E-5</v>
      </c>
      <c r="J342">
        <v>1.4794779E-3</v>
      </c>
      <c r="K342">
        <v>2.2220475999999999E-4</v>
      </c>
    </row>
    <row r="343" spans="1:11" x14ac:dyDescent="0.25">
      <c r="A343">
        <v>328</v>
      </c>
      <c r="B343" t="s">
        <v>801</v>
      </c>
      <c r="C343" t="s">
        <v>10</v>
      </c>
      <c r="D343" t="s">
        <v>632</v>
      </c>
      <c r="E343">
        <v>1.8036015999999998E-2</v>
      </c>
      <c r="F343">
        <v>0</v>
      </c>
      <c r="G343">
        <v>3.5306356000000001E-3</v>
      </c>
      <c r="H343">
        <v>7.5734039000000001E-3</v>
      </c>
      <c r="I343">
        <v>1.0101303000000001E-4</v>
      </c>
      <c r="J343">
        <v>5.9362751E-3</v>
      </c>
      <c r="K343">
        <v>8.9468879999999998E-4</v>
      </c>
    </row>
    <row r="344" spans="1:11" x14ac:dyDescent="0.25">
      <c r="A344">
        <v>329</v>
      </c>
      <c r="B344" t="s">
        <v>802</v>
      </c>
      <c r="C344" t="s">
        <v>10</v>
      </c>
      <c r="D344" t="s">
        <v>632</v>
      </c>
      <c r="E344" s="74">
        <v>1.2805915E-5</v>
      </c>
      <c r="F344">
        <v>0</v>
      </c>
      <c r="G344" s="74">
        <v>8.2775288E-7</v>
      </c>
      <c r="H344" s="74">
        <v>4.1019764999999997E-6</v>
      </c>
      <c r="I344" s="74">
        <v>5.5601115999999998E-9</v>
      </c>
      <c r="J344" s="74">
        <v>3.2247088E-6</v>
      </c>
      <c r="K344" s="74">
        <v>4.6459161000000002E-6</v>
      </c>
    </row>
    <row r="345" spans="1:11" x14ac:dyDescent="0.25">
      <c r="A345">
        <v>330</v>
      </c>
      <c r="B345" t="s">
        <v>803</v>
      </c>
      <c r="C345" t="s">
        <v>10</v>
      </c>
      <c r="D345" t="s">
        <v>632</v>
      </c>
      <c r="E345" s="74">
        <v>4.0229250999999997E-5</v>
      </c>
      <c r="F345">
        <v>0</v>
      </c>
      <c r="G345" s="74">
        <v>4.6142926000000003E-6</v>
      </c>
      <c r="H345" s="74">
        <v>1.1638260000000001E-5</v>
      </c>
      <c r="I345" s="74">
        <v>5.1998476999999997E-9</v>
      </c>
      <c r="J345" s="74">
        <v>1.7142546999999999E-5</v>
      </c>
      <c r="K345" s="74">
        <v>6.8289510000000003E-6</v>
      </c>
    </row>
    <row r="346" spans="1:11" x14ac:dyDescent="0.25">
      <c r="A346">
        <v>331</v>
      </c>
      <c r="B346" t="s">
        <v>804</v>
      </c>
      <c r="C346" t="s">
        <v>10</v>
      </c>
      <c r="D346" t="s">
        <v>632</v>
      </c>
      <c r="E346">
        <v>1.4482990999999999E-3</v>
      </c>
      <c r="F346">
        <v>0</v>
      </c>
      <c r="G346">
        <v>1.7883541999999999E-4</v>
      </c>
      <c r="H346">
        <v>5.8012147000000003E-4</v>
      </c>
      <c r="I346" s="74">
        <v>2.3616921999999998E-6</v>
      </c>
      <c r="J346">
        <v>4.5366904999999999E-4</v>
      </c>
      <c r="K346">
        <v>2.3331148E-4</v>
      </c>
    </row>
    <row r="347" spans="1:11" x14ac:dyDescent="0.25">
      <c r="A347">
        <v>332</v>
      </c>
      <c r="B347" t="s">
        <v>805</v>
      </c>
      <c r="C347" t="s">
        <v>10</v>
      </c>
      <c r="D347" t="s">
        <v>632</v>
      </c>
      <c r="E347" s="74">
        <v>5.9772780999999999E-5</v>
      </c>
      <c r="F347">
        <v>0</v>
      </c>
      <c r="G347" s="74">
        <v>1.5621593999999999E-6</v>
      </c>
      <c r="H347" s="74">
        <v>4.8898633000000003E-5</v>
      </c>
      <c r="I347" s="74">
        <v>1.279264E-8</v>
      </c>
      <c r="J347" s="74">
        <v>6.7113486999999996E-6</v>
      </c>
      <c r="K347" s="74">
        <v>2.5878472000000001E-6</v>
      </c>
    </row>
    <row r="348" spans="1:11" x14ac:dyDescent="0.25">
      <c r="A348">
        <v>333</v>
      </c>
      <c r="B348" t="s">
        <v>806</v>
      </c>
      <c r="C348" t="s">
        <v>10</v>
      </c>
      <c r="D348" t="s">
        <v>632</v>
      </c>
      <c r="E348">
        <v>1.2592483000000001E-4</v>
      </c>
      <c r="F348">
        <v>0</v>
      </c>
      <c r="G348" s="74">
        <v>8.1395700000000004E-6</v>
      </c>
      <c r="H348" s="74">
        <v>4.0336102E-5</v>
      </c>
      <c r="I348" s="74">
        <v>5.4674430999999999E-8</v>
      </c>
      <c r="J348" s="74">
        <v>3.1709637E-5</v>
      </c>
      <c r="K348" s="74">
        <v>4.5684842000000002E-5</v>
      </c>
    </row>
    <row r="349" spans="1:11" x14ac:dyDescent="0.25">
      <c r="A349">
        <v>334</v>
      </c>
      <c r="B349" t="s">
        <v>807</v>
      </c>
      <c r="C349" t="s">
        <v>10</v>
      </c>
      <c r="D349" t="s">
        <v>632</v>
      </c>
      <c r="E349">
        <v>1.0004776E-4</v>
      </c>
      <c r="F349">
        <v>0</v>
      </c>
      <c r="G349" s="74">
        <v>3.7197115999999999E-6</v>
      </c>
      <c r="H349" s="74">
        <v>9.8227541999999992E-6</v>
      </c>
      <c r="I349" s="74">
        <v>4.2413244000000002E-8</v>
      </c>
      <c r="J349" s="74">
        <v>1.1941378E-5</v>
      </c>
      <c r="K349" s="74">
        <v>7.4521504000000006E-5</v>
      </c>
    </row>
    <row r="350" spans="1:11" x14ac:dyDescent="0.25">
      <c r="A350">
        <v>335</v>
      </c>
      <c r="B350" t="s">
        <v>808</v>
      </c>
      <c r="C350" t="s">
        <v>10</v>
      </c>
      <c r="D350" t="s">
        <v>632</v>
      </c>
      <c r="E350">
        <v>3.2951069999999999E-2</v>
      </c>
      <c r="F350">
        <v>0</v>
      </c>
      <c r="G350">
        <v>6.2475242999999996E-3</v>
      </c>
      <c r="H350">
        <v>1.3666431E-2</v>
      </c>
      <c r="I350">
        <v>1.7201261999999999E-4</v>
      </c>
      <c r="J350">
        <v>1.099983E-2</v>
      </c>
      <c r="K350">
        <v>1.8652727999999999E-3</v>
      </c>
    </row>
    <row r="351" spans="1:11" x14ac:dyDescent="0.25">
      <c r="A351">
        <v>336</v>
      </c>
      <c r="B351" t="s">
        <v>809</v>
      </c>
      <c r="C351" t="s">
        <v>10</v>
      </c>
      <c r="D351" t="s">
        <v>632</v>
      </c>
      <c r="E351">
        <v>1.5274061000000001</v>
      </c>
      <c r="F351">
        <v>0</v>
      </c>
      <c r="G351">
        <v>0.2069289</v>
      </c>
      <c r="H351">
        <v>0.57547970000000004</v>
      </c>
      <c r="I351">
        <v>2.5067327E-3</v>
      </c>
      <c r="J351">
        <v>0.56841969999999997</v>
      </c>
      <c r="K351">
        <v>0.17407106</v>
      </c>
    </row>
    <row r="352" spans="1:11" x14ac:dyDescent="0.25">
      <c r="A352">
        <v>337</v>
      </c>
      <c r="B352" t="s">
        <v>810</v>
      </c>
      <c r="C352" t="s">
        <v>10</v>
      </c>
      <c r="D352" t="s">
        <v>632</v>
      </c>
      <c r="E352">
        <v>1.5390479E-2</v>
      </c>
      <c r="F352">
        <v>0</v>
      </c>
      <c r="G352">
        <v>3.0155391999999999E-3</v>
      </c>
      <c r="H352">
        <v>6.4722523000000001E-3</v>
      </c>
      <c r="I352" s="74">
        <v>8.6277373999999997E-5</v>
      </c>
      <c r="J352">
        <v>5.0694640000000001E-3</v>
      </c>
      <c r="K352">
        <v>7.4694642999999998E-4</v>
      </c>
    </row>
    <row r="353" spans="1:11" x14ac:dyDescent="0.25">
      <c r="A353">
        <v>338</v>
      </c>
      <c r="B353" t="s">
        <v>811</v>
      </c>
      <c r="C353" t="s">
        <v>10</v>
      </c>
      <c r="D353" t="s">
        <v>632</v>
      </c>
      <c r="E353">
        <v>0.24646805999999999</v>
      </c>
      <c r="F353">
        <v>0</v>
      </c>
      <c r="G353">
        <v>3.3542563999999997E-2</v>
      </c>
      <c r="H353">
        <v>9.5995371999999995E-2</v>
      </c>
      <c r="I353">
        <v>4.7937400000000002E-4</v>
      </c>
      <c r="J353">
        <v>8.7267164999999994E-2</v>
      </c>
      <c r="K353">
        <v>2.9183582999999999E-2</v>
      </c>
    </row>
    <row r="354" spans="1:11" x14ac:dyDescent="0.25">
      <c r="A354">
        <v>339</v>
      </c>
      <c r="B354" t="s">
        <v>812</v>
      </c>
      <c r="C354" t="s">
        <v>10</v>
      </c>
      <c r="D354" t="s">
        <v>632</v>
      </c>
      <c r="E354">
        <v>7.1770641999999998E-4</v>
      </c>
      <c r="F354">
        <v>0</v>
      </c>
      <c r="G354" s="74">
        <v>6.0797093000000002E-5</v>
      </c>
      <c r="H354">
        <v>2.1537311000000001E-4</v>
      </c>
      <c r="I354" s="74">
        <v>1.0963115E-6</v>
      </c>
      <c r="J354">
        <v>3.5357603999999998E-4</v>
      </c>
      <c r="K354" s="74">
        <v>8.6863865999999994E-5</v>
      </c>
    </row>
    <row r="355" spans="1:11" x14ac:dyDescent="0.25">
      <c r="A355">
        <v>340</v>
      </c>
      <c r="B355" t="s">
        <v>813</v>
      </c>
      <c r="C355" t="s">
        <v>10</v>
      </c>
      <c r="D355" t="s">
        <v>632</v>
      </c>
      <c r="E355">
        <v>9.3583146000000006E-2</v>
      </c>
      <c r="F355">
        <v>0</v>
      </c>
      <c r="G355">
        <v>1.8018805999999998E-2</v>
      </c>
      <c r="H355">
        <v>3.8989632000000003E-2</v>
      </c>
      <c r="I355">
        <v>5.0504912999999995E-4</v>
      </c>
      <c r="J355">
        <v>3.1085591999999999E-2</v>
      </c>
      <c r="K355">
        <v>4.9840669000000004E-3</v>
      </c>
    </row>
    <row r="356" spans="1:11" x14ac:dyDescent="0.25">
      <c r="A356">
        <v>341</v>
      </c>
      <c r="B356" t="s">
        <v>814</v>
      </c>
      <c r="C356" t="s">
        <v>10</v>
      </c>
      <c r="D356" t="s">
        <v>632</v>
      </c>
      <c r="E356">
        <v>1.3617328E-2</v>
      </c>
      <c r="F356">
        <v>0</v>
      </c>
      <c r="G356">
        <v>2.5699468999999999E-3</v>
      </c>
      <c r="H356">
        <v>5.6198691E-3</v>
      </c>
      <c r="I356" s="74">
        <v>7.0452266999999999E-5</v>
      </c>
      <c r="J356">
        <v>4.5463226000000004E-3</v>
      </c>
      <c r="K356">
        <v>8.1073742000000002E-4</v>
      </c>
    </row>
    <row r="357" spans="1:11" x14ac:dyDescent="0.25">
      <c r="A357">
        <v>342</v>
      </c>
      <c r="B357" t="s">
        <v>815</v>
      </c>
      <c r="C357" t="s">
        <v>10</v>
      </c>
      <c r="D357" t="s">
        <v>632</v>
      </c>
      <c r="E357">
        <v>7.4762913999999996E-3</v>
      </c>
      <c r="F357">
        <v>0</v>
      </c>
      <c r="G357">
        <v>1.3771872000000001E-3</v>
      </c>
      <c r="H357">
        <v>3.0581420999999998E-3</v>
      </c>
      <c r="I357" s="74">
        <v>3.6578653999999997E-5</v>
      </c>
      <c r="J357">
        <v>2.5256315000000001E-3</v>
      </c>
      <c r="K357">
        <v>4.7875197E-4</v>
      </c>
    </row>
    <row r="358" spans="1:11" x14ac:dyDescent="0.25">
      <c r="A358">
        <v>343</v>
      </c>
      <c r="B358" t="s">
        <v>816</v>
      </c>
      <c r="C358" t="s">
        <v>10</v>
      </c>
      <c r="D358" t="s">
        <v>632</v>
      </c>
      <c r="E358">
        <v>1.1854565000000001E-3</v>
      </c>
      <c r="F358">
        <v>0</v>
      </c>
      <c r="G358">
        <v>1.9910587000000001E-4</v>
      </c>
      <c r="H358">
        <v>5.2407479000000001E-4</v>
      </c>
      <c r="I358" s="74">
        <v>3.5484398000000002E-6</v>
      </c>
      <c r="J358">
        <v>3.8426302000000001E-4</v>
      </c>
      <c r="K358" s="74">
        <v>7.4464425000000007E-5</v>
      </c>
    </row>
    <row r="359" spans="1:11" x14ac:dyDescent="0.25">
      <c r="A359">
        <v>344</v>
      </c>
      <c r="B359" t="s">
        <v>817</v>
      </c>
      <c r="C359" t="s">
        <v>10</v>
      </c>
      <c r="D359" t="s">
        <v>632</v>
      </c>
      <c r="E359">
        <v>2.6173051999999999E-2</v>
      </c>
      <c r="F359">
        <v>0</v>
      </c>
      <c r="G359">
        <v>4.3603237E-3</v>
      </c>
      <c r="H359">
        <v>1.1513255999999999E-2</v>
      </c>
      <c r="I359" s="74">
        <v>7.8165788000000004E-5</v>
      </c>
      <c r="J359">
        <v>8.5453182000000006E-3</v>
      </c>
      <c r="K359">
        <v>1.6759876999999999E-3</v>
      </c>
    </row>
    <row r="360" spans="1:11" x14ac:dyDescent="0.25">
      <c r="A360">
        <v>345</v>
      </c>
      <c r="B360" t="s">
        <v>818</v>
      </c>
      <c r="C360" t="s">
        <v>10</v>
      </c>
      <c r="D360" t="s">
        <v>632</v>
      </c>
      <c r="E360">
        <v>4.8343872E-3</v>
      </c>
      <c r="F360">
        <v>0</v>
      </c>
      <c r="G360">
        <v>8.1191886000000005E-4</v>
      </c>
      <c r="H360">
        <v>2.1349594000000002E-3</v>
      </c>
      <c r="I360" s="74">
        <v>1.4467252999999999E-5</v>
      </c>
      <c r="J360">
        <v>1.5690024E-3</v>
      </c>
      <c r="K360">
        <v>3.0403929999999997E-4</v>
      </c>
    </row>
    <row r="361" spans="1:11" x14ac:dyDescent="0.25">
      <c r="A361">
        <v>346</v>
      </c>
      <c r="B361" t="s">
        <v>819</v>
      </c>
      <c r="C361" t="s">
        <v>10</v>
      </c>
      <c r="D361" t="s">
        <v>632</v>
      </c>
      <c r="E361">
        <v>5.1217302999999998E-4</v>
      </c>
      <c r="F361">
        <v>0</v>
      </c>
      <c r="G361" s="74">
        <v>8.477809E-5</v>
      </c>
      <c r="H361">
        <v>2.2486296E-4</v>
      </c>
      <c r="I361" s="74">
        <v>1.4983745999999999E-6</v>
      </c>
      <c r="J361">
        <v>1.6550172E-4</v>
      </c>
      <c r="K361" s="74">
        <v>3.5531887999999998E-5</v>
      </c>
    </row>
    <row r="362" spans="1:11" x14ac:dyDescent="0.25">
      <c r="A362">
        <v>347</v>
      </c>
      <c r="B362" t="s">
        <v>820</v>
      </c>
      <c r="C362" t="s">
        <v>10</v>
      </c>
      <c r="D362" t="s">
        <v>632</v>
      </c>
      <c r="E362">
        <v>1.312901E-2</v>
      </c>
      <c r="F362">
        <v>0</v>
      </c>
      <c r="G362">
        <v>2.5713029E-3</v>
      </c>
      <c r="H362">
        <v>5.5197487999999999E-3</v>
      </c>
      <c r="I362" s="74">
        <v>7.3563196999999999E-5</v>
      </c>
      <c r="J362">
        <v>4.3242717999999996E-3</v>
      </c>
      <c r="K362">
        <v>6.4012328999999996E-4</v>
      </c>
    </row>
    <row r="363" spans="1:11" x14ac:dyDescent="0.25">
      <c r="A363">
        <v>348</v>
      </c>
      <c r="B363" t="s">
        <v>821</v>
      </c>
      <c r="C363" t="s">
        <v>10</v>
      </c>
      <c r="D363" t="s">
        <v>632</v>
      </c>
      <c r="E363" s="74">
        <v>3.5054055E-9</v>
      </c>
      <c r="F363">
        <v>0</v>
      </c>
      <c r="G363" s="74">
        <v>2.7930055E-11</v>
      </c>
      <c r="H363" s="74">
        <v>6.4885215999999999E-11</v>
      </c>
      <c r="I363" s="74">
        <v>6.8070072999999997E-13</v>
      </c>
      <c r="J363" s="74">
        <v>5.0290864000000003E-11</v>
      </c>
      <c r="K363" s="74">
        <v>3.3616186999999998E-9</v>
      </c>
    </row>
    <row r="364" spans="1:11" x14ac:dyDescent="0.25">
      <c r="A364">
        <v>349</v>
      </c>
      <c r="B364" t="s">
        <v>822</v>
      </c>
      <c r="C364" t="s">
        <v>10</v>
      </c>
      <c r="D364" t="s">
        <v>632</v>
      </c>
      <c r="E364" s="74">
        <v>8.3425586000000001E-11</v>
      </c>
      <c r="F364">
        <v>0</v>
      </c>
      <c r="G364" s="74">
        <v>1.5648195000000001E-11</v>
      </c>
      <c r="H364" s="74">
        <v>3.3806583000000002E-11</v>
      </c>
      <c r="I364" s="74">
        <v>4.3564639000000002E-13</v>
      </c>
      <c r="J364" s="74">
        <v>2.6734389999999999E-11</v>
      </c>
      <c r="K364" s="74">
        <v>6.8007715999999996E-12</v>
      </c>
    </row>
    <row r="365" spans="1:11" x14ac:dyDescent="0.25">
      <c r="A365">
        <v>350</v>
      </c>
      <c r="B365" t="s">
        <v>823</v>
      </c>
      <c r="C365" t="s">
        <v>10</v>
      </c>
      <c r="D365" t="s">
        <v>632</v>
      </c>
      <c r="E365">
        <v>30.619070000000001</v>
      </c>
      <c r="F365">
        <v>0</v>
      </c>
      <c r="G365">
        <v>3.7941004E-2</v>
      </c>
      <c r="H365">
        <v>0.10096902000000001</v>
      </c>
      <c r="I365">
        <v>6.6375736000000003E-4</v>
      </c>
      <c r="J365">
        <v>7.5598819999999997E-2</v>
      </c>
      <c r="K365">
        <v>30.403898000000002</v>
      </c>
    </row>
    <row r="366" spans="1:11" x14ac:dyDescent="0.25">
      <c r="A366">
        <v>351</v>
      </c>
      <c r="B366" t="s">
        <v>824</v>
      </c>
      <c r="C366" t="s">
        <v>10</v>
      </c>
      <c r="D366" t="s">
        <v>632</v>
      </c>
      <c r="E366" s="74">
        <v>1.5830286999999999E-8</v>
      </c>
      <c r="F366">
        <v>0</v>
      </c>
      <c r="G366" s="74">
        <v>1.6006507000000001E-10</v>
      </c>
      <c r="H366" s="74">
        <v>4.4859389000000001E-10</v>
      </c>
      <c r="I366" s="74">
        <v>5.9981899999999999E-12</v>
      </c>
      <c r="J366" s="74">
        <v>5.1338308999999995E-10</v>
      </c>
      <c r="K366" s="74">
        <v>1.4702246999999999E-8</v>
      </c>
    </row>
    <row r="367" spans="1:11" x14ac:dyDescent="0.25">
      <c r="A367">
        <v>352</v>
      </c>
      <c r="B367" t="s">
        <v>825</v>
      </c>
      <c r="C367" t="s">
        <v>10</v>
      </c>
      <c r="D367" t="s">
        <v>632</v>
      </c>
      <c r="E367">
        <v>3.4091319999999999E-4</v>
      </c>
      <c r="F367">
        <v>0</v>
      </c>
      <c r="G367" s="74">
        <v>4.9970192999999999E-5</v>
      </c>
      <c r="H367">
        <v>1.3958836E-4</v>
      </c>
      <c r="I367" s="74">
        <v>7.1580474999999996E-7</v>
      </c>
      <c r="J367">
        <v>1.1799298000000001E-4</v>
      </c>
      <c r="K367" s="74">
        <v>3.2645860000000003E-5</v>
      </c>
    </row>
    <row r="368" spans="1:11" x14ac:dyDescent="0.25">
      <c r="A368">
        <v>353</v>
      </c>
      <c r="B368" t="s">
        <v>631</v>
      </c>
      <c r="C368" t="s">
        <v>10</v>
      </c>
      <c r="D368" t="s">
        <v>632</v>
      </c>
      <c r="E368" s="74">
        <v>1.4889531999999999E-6</v>
      </c>
      <c r="F368">
        <v>0</v>
      </c>
      <c r="G368" s="74">
        <v>1.6575132000000001E-7</v>
      </c>
      <c r="H368" s="74">
        <v>4.3284971000000002E-7</v>
      </c>
      <c r="I368" s="74">
        <v>1.9928218999999999E-10</v>
      </c>
      <c r="J368" s="74">
        <v>6.2178582999999997E-7</v>
      </c>
      <c r="K368" s="74">
        <v>2.6836701000000002E-7</v>
      </c>
    </row>
    <row r="369" spans="1:11" x14ac:dyDescent="0.25">
      <c r="A369">
        <v>354</v>
      </c>
      <c r="B369" t="s">
        <v>640</v>
      </c>
      <c r="C369" t="s">
        <v>10</v>
      </c>
      <c r="D369" t="s">
        <v>192</v>
      </c>
      <c r="E369" s="74">
        <v>1.7074167999999999E-6</v>
      </c>
      <c r="F369">
        <v>0</v>
      </c>
      <c r="G369" s="74">
        <v>4.4328827000000001E-8</v>
      </c>
      <c r="H369" s="74">
        <v>2.3504279E-7</v>
      </c>
      <c r="I369" s="74">
        <v>3.3961865E-10</v>
      </c>
      <c r="J369" s="74">
        <v>1.8737444E-7</v>
      </c>
      <c r="K369" s="74">
        <v>1.2403311E-6</v>
      </c>
    </row>
    <row r="370" spans="1:11" x14ac:dyDescent="0.25">
      <c r="A370">
        <v>355</v>
      </c>
      <c r="B370" t="s">
        <v>642</v>
      </c>
      <c r="C370" t="s">
        <v>10</v>
      </c>
      <c r="D370" t="s">
        <v>192</v>
      </c>
      <c r="E370">
        <v>3.1952309000000002E-4</v>
      </c>
      <c r="F370">
        <v>0</v>
      </c>
      <c r="G370" s="74">
        <v>2.8827409999999998E-5</v>
      </c>
      <c r="H370">
        <v>1.0741586999999999E-4</v>
      </c>
      <c r="I370" s="74">
        <v>1.0997869E-7</v>
      </c>
      <c r="J370">
        <v>1.1284592E-4</v>
      </c>
      <c r="K370" s="74">
        <v>7.0323912999999995E-5</v>
      </c>
    </row>
    <row r="371" spans="1:11" x14ac:dyDescent="0.25">
      <c r="A371">
        <v>356</v>
      </c>
      <c r="B371" t="s">
        <v>643</v>
      </c>
      <c r="C371" t="s">
        <v>10</v>
      </c>
      <c r="D371" t="s">
        <v>305</v>
      </c>
      <c r="E371">
        <v>0.97979967000000001</v>
      </c>
      <c r="F371">
        <v>0</v>
      </c>
      <c r="G371">
        <v>1.6085349000000001E-3</v>
      </c>
      <c r="H371">
        <v>4.0920727000000002E-3</v>
      </c>
      <c r="I371" s="74">
        <v>3.1366696000000001E-5</v>
      </c>
      <c r="J371">
        <v>3.0710358E-3</v>
      </c>
      <c r="K371">
        <v>0.97099665999999996</v>
      </c>
    </row>
    <row r="372" spans="1:11" x14ac:dyDescent="0.25">
      <c r="A372">
        <v>357</v>
      </c>
      <c r="B372" t="s">
        <v>645</v>
      </c>
      <c r="C372" t="s">
        <v>10</v>
      </c>
      <c r="D372" t="s">
        <v>305</v>
      </c>
      <c r="E372">
        <v>5.4706200999999997</v>
      </c>
      <c r="F372">
        <v>0</v>
      </c>
      <c r="G372">
        <v>7.4108599000000004E-3</v>
      </c>
      <c r="H372">
        <v>1.9064948000000002E-2</v>
      </c>
      <c r="I372">
        <v>1.4054087E-4</v>
      </c>
      <c r="J372">
        <v>1.4203281E-2</v>
      </c>
      <c r="K372">
        <v>5.4298004999999998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279C-1F58-40DD-8D20-4567ED7E47C0}">
  <dimension ref="B3:F10"/>
  <sheetViews>
    <sheetView workbookViewId="0">
      <selection activeCell="F17" sqref="F17"/>
    </sheetView>
  </sheetViews>
  <sheetFormatPr defaultRowHeight="15" x14ac:dyDescent="0.25"/>
  <cols>
    <col min="2" max="2" width="17.5703125" customWidth="1"/>
    <col min="3" max="3" width="8.7109375" customWidth="1"/>
    <col min="5" max="5" width="18.7109375" customWidth="1"/>
    <col min="6" max="6" width="10.85546875" customWidth="1"/>
  </cols>
  <sheetData>
    <row r="3" spans="2:6" x14ac:dyDescent="0.25">
      <c r="B3" s="53"/>
      <c r="C3" s="80" t="s">
        <v>194</v>
      </c>
      <c r="D3" s="80"/>
      <c r="E3" s="80" t="s">
        <v>195</v>
      </c>
      <c r="F3" s="80"/>
    </row>
    <row r="5" spans="2:6" x14ac:dyDescent="0.25">
      <c r="B5" t="s">
        <v>196</v>
      </c>
      <c r="D5">
        <v>660033.48312000011</v>
      </c>
      <c r="E5">
        <v>610976.02103999991</v>
      </c>
    </row>
    <row r="6" spans="2:6" x14ac:dyDescent="0.25">
      <c r="B6" t="s">
        <v>187</v>
      </c>
      <c r="D6">
        <v>1474439.9999999998</v>
      </c>
      <c r="E6">
        <v>1367519.9999999998</v>
      </c>
    </row>
    <row r="7" spans="2:6" x14ac:dyDescent="0.25">
      <c r="B7" t="s">
        <v>188</v>
      </c>
      <c r="D7">
        <v>208576</v>
      </c>
      <c r="E7">
        <v>419144</v>
      </c>
    </row>
    <row r="8" spans="2:6" x14ac:dyDescent="0.25">
      <c r="B8" t="s">
        <v>189</v>
      </c>
      <c r="D8">
        <v>4098943.1999999988</v>
      </c>
      <c r="E8">
        <v>3801705.5999999992</v>
      </c>
    </row>
    <row r="9" spans="2:6" x14ac:dyDescent="0.25">
      <c r="B9" t="s">
        <v>197</v>
      </c>
      <c r="D9">
        <v>4789037.537463841</v>
      </c>
      <c r="E9">
        <v>2113344.7374638394</v>
      </c>
    </row>
    <row r="10" spans="2:6" x14ac:dyDescent="0.25">
      <c r="B10" t="s">
        <v>198</v>
      </c>
      <c r="D10">
        <v>253740.00000000003</v>
      </c>
      <c r="E10">
        <v>253740.00000000003</v>
      </c>
    </row>
  </sheetData>
  <mergeCells count="2">
    <mergeCell ref="E3:F3"/>
    <mergeCell ref="C3:D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AB97-FCA9-4C1E-849E-F4D79B1F0578}">
  <dimension ref="A1:Q30"/>
  <sheetViews>
    <sheetView zoomScaleNormal="100" workbookViewId="0">
      <selection activeCell="D6" sqref="D6"/>
    </sheetView>
  </sheetViews>
  <sheetFormatPr defaultRowHeight="15" x14ac:dyDescent="0.25"/>
  <cols>
    <col min="1" max="1" width="10.140625" bestFit="1" customWidth="1"/>
    <col min="2" max="2" width="24.7109375" customWidth="1"/>
    <col min="3" max="3" width="11.85546875" bestFit="1" customWidth="1"/>
    <col min="4" max="4" width="13.140625" bestFit="1" customWidth="1"/>
    <col min="11" max="11" width="24.85546875" customWidth="1"/>
    <col min="12" max="12" width="7.42578125" bestFit="1" customWidth="1"/>
    <col min="13" max="13" width="9.140625" bestFit="1" customWidth="1"/>
    <col min="14" max="14" width="9.140625" customWidth="1"/>
  </cols>
  <sheetData>
    <row r="1" spans="1:17" ht="15.75" thickBot="1" x14ac:dyDescent="0.3">
      <c r="A1" s="43"/>
      <c r="B1" s="43"/>
      <c r="C1" s="43"/>
      <c r="D1" s="43"/>
      <c r="E1" s="43"/>
      <c r="F1" s="43"/>
      <c r="G1" s="43"/>
      <c r="H1" s="43"/>
      <c r="I1" s="43"/>
      <c r="J1" s="43"/>
    </row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44" t="s">
        <v>8</v>
      </c>
      <c r="J2" s="45"/>
      <c r="K2" s="25" t="s">
        <v>9</v>
      </c>
      <c r="L2" s="25" t="s">
        <v>5</v>
      </c>
      <c r="M2" s="25" t="s">
        <v>6</v>
      </c>
      <c r="N2" s="25" t="s">
        <v>10</v>
      </c>
      <c r="O2" s="25" t="s">
        <v>11</v>
      </c>
      <c r="P2" s="25" t="s">
        <v>44</v>
      </c>
      <c r="Q2" s="25" t="s">
        <v>12</v>
      </c>
    </row>
    <row r="3" spans="1:17" x14ac:dyDescent="0.25">
      <c r="A3" s="3"/>
      <c r="B3" s="45"/>
      <c r="C3" s="45"/>
      <c r="D3" s="45" t="s">
        <v>13</v>
      </c>
      <c r="E3" s="45"/>
      <c r="F3" s="45" t="s">
        <v>14</v>
      </c>
      <c r="G3" s="45" t="s">
        <v>14</v>
      </c>
      <c r="H3" s="45" t="s">
        <v>14</v>
      </c>
      <c r="I3" s="4" t="s">
        <v>14</v>
      </c>
      <c r="J3" s="45"/>
      <c r="K3" s="25" t="s">
        <v>15</v>
      </c>
      <c r="L3" s="25">
        <v>2170</v>
      </c>
      <c r="M3" s="25">
        <v>2680</v>
      </c>
      <c r="N3" s="25">
        <v>1000</v>
      </c>
      <c r="O3" s="25">
        <v>790</v>
      </c>
      <c r="P3" s="25">
        <v>790</v>
      </c>
      <c r="Q3" s="25">
        <v>1110</v>
      </c>
    </row>
    <row r="4" spans="1:17" x14ac:dyDescent="0.25">
      <c r="A4" s="5">
        <v>1</v>
      </c>
      <c r="B4" s="54" t="s">
        <v>16</v>
      </c>
      <c r="C4" s="54" t="s">
        <v>17</v>
      </c>
      <c r="D4" s="54">
        <v>31.5</v>
      </c>
      <c r="E4" s="54">
        <v>1.2450000000000001</v>
      </c>
      <c r="F4" s="54">
        <v>10</v>
      </c>
      <c r="G4" s="47">
        <v>16.738955823293171</v>
      </c>
      <c r="H4" s="47">
        <v>73.261044176706832</v>
      </c>
      <c r="I4" s="6">
        <v>0</v>
      </c>
      <c r="J4" s="46"/>
      <c r="K4" s="25" t="s">
        <v>18</v>
      </c>
      <c r="L4" s="25">
        <v>58.44</v>
      </c>
      <c r="M4" s="25">
        <v>142.04</v>
      </c>
      <c r="N4" s="25">
        <v>18.010000000000002</v>
      </c>
      <c r="O4" s="25">
        <v>46.07</v>
      </c>
      <c r="P4" s="25">
        <v>32.04</v>
      </c>
      <c r="Q4" s="25">
        <v>78.14</v>
      </c>
    </row>
    <row r="5" spans="1:17" ht="15.75" thickBot="1" x14ac:dyDescent="0.3">
      <c r="A5" s="5">
        <v>2</v>
      </c>
      <c r="B5" s="54" t="s">
        <v>19</v>
      </c>
      <c r="C5" s="54" t="s">
        <v>17</v>
      </c>
      <c r="D5" s="54">
        <v>31.5</v>
      </c>
      <c r="E5" s="55">
        <v>1.2450000000000001</v>
      </c>
      <c r="F5" s="54">
        <v>10</v>
      </c>
      <c r="G5" s="47">
        <v>16.738955823293171</v>
      </c>
      <c r="H5" s="47">
        <v>73.261044176706832</v>
      </c>
      <c r="I5" s="6">
        <v>0</v>
      </c>
      <c r="J5" s="46"/>
      <c r="K5" s="25"/>
      <c r="L5" s="25"/>
      <c r="M5" s="25"/>
      <c r="N5" s="25"/>
      <c r="O5" s="25"/>
      <c r="P5" s="25"/>
      <c r="Q5" s="25"/>
    </row>
    <row r="6" spans="1:17" x14ac:dyDescent="0.25">
      <c r="A6" s="5">
        <v>3</v>
      </c>
      <c r="B6" s="54" t="s">
        <v>20</v>
      </c>
      <c r="C6" s="54" t="s">
        <v>8</v>
      </c>
      <c r="D6" s="47">
        <v>12.154007228915667</v>
      </c>
      <c r="E6" s="54">
        <v>0.79</v>
      </c>
      <c r="F6" s="47">
        <v>0</v>
      </c>
      <c r="G6" s="54">
        <v>0</v>
      </c>
      <c r="H6" s="47">
        <v>0</v>
      </c>
      <c r="I6" s="6">
        <v>100</v>
      </c>
      <c r="J6" s="46"/>
      <c r="K6" s="7" t="s">
        <v>8</v>
      </c>
      <c r="L6" s="7" t="s">
        <v>11</v>
      </c>
      <c r="M6" s="8"/>
      <c r="N6" s="25"/>
      <c r="O6" s="25"/>
      <c r="P6" s="25"/>
      <c r="Q6" s="25"/>
    </row>
    <row r="7" spans="1:17" x14ac:dyDescent="0.25">
      <c r="A7" s="5">
        <v>4</v>
      </c>
      <c r="B7" s="54" t="s">
        <v>21</v>
      </c>
      <c r="C7" s="54" t="s">
        <v>22</v>
      </c>
      <c r="D7" s="47">
        <v>43.654007228915667</v>
      </c>
      <c r="E7" s="47">
        <v>1.1183203744582331</v>
      </c>
      <c r="F7" s="47">
        <v>7.2158324056754495</v>
      </c>
      <c r="G7" s="47">
        <v>12.078549986688863</v>
      </c>
      <c r="H7" s="47">
        <v>52.86394166439019</v>
      </c>
      <c r="I7" s="9">
        <v>27.841675943245502</v>
      </c>
      <c r="J7" s="47"/>
      <c r="K7" t="s">
        <v>23</v>
      </c>
      <c r="L7">
        <v>0.4</v>
      </c>
      <c r="M7" s="10"/>
    </row>
    <row r="8" spans="1:17" x14ac:dyDescent="0.25">
      <c r="A8" s="5">
        <v>5</v>
      </c>
      <c r="B8" s="54" t="s">
        <v>24</v>
      </c>
      <c r="C8" s="54" t="s">
        <v>22</v>
      </c>
      <c r="D8" s="47">
        <v>43.654007228915667</v>
      </c>
      <c r="E8" s="47">
        <v>1.1183203744582331</v>
      </c>
      <c r="F8" s="47">
        <v>7.2158324056754495</v>
      </c>
      <c r="G8" s="47">
        <v>12.078549986688863</v>
      </c>
      <c r="H8" s="47">
        <v>52.86394166439019</v>
      </c>
      <c r="I8" s="11">
        <v>27.841675943245502</v>
      </c>
      <c r="J8" s="48"/>
      <c r="K8" t="s">
        <v>25</v>
      </c>
      <c r="L8">
        <v>90</v>
      </c>
      <c r="M8" s="10"/>
    </row>
    <row r="9" spans="1:17" x14ac:dyDescent="0.25">
      <c r="A9" s="12">
        <v>6</v>
      </c>
      <c r="B9" s="54" t="s">
        <v>28</v>
      </c>
      <c r="C9" s="56" t="s">
        <v>29</v>
      </c>
      <c r="D9" s="48">
        <v>5.0767387156626498</v>
      </c>
      <c r="E9" s="46" t="s">
        <v>30</v>
      </c>
      <c r="F9" s="57">
        <v>3.4650000000000034</v>
      </c>
      <c r="G9" s="57">
        <v>95.534999999999997</v>
      </c>
      <c r="H9" s="46">
        <v>0</v>
      </c>
      <c r="I9" s="6">
        <v>1</v>
      </c>
      <c r="J9" s="48"/>
      <c r="K9" t="s">
        <v>26</v>
      </c>
      <c r="L9">
        <v>22.3</v>
      </c>
      <c r="M9" s="10"/>
    </row>
    <row r="10" spans="1:17" x14ac:dyDescent="0.25">
      <c r="A10" s="12">
        <v>7</v>
      </c>
      <c r="B10" s="46" t="s">
        <v>32</v>
      </c>
      <c r="C10" s="46" t="s">
        <v>17</v>
      </c>
      <c r="D10" s="48">
        <v>38.577268513253017</v>
      </c>
      <c r="E10" s="48">
        <v>1.1183203744582331</v>
      </c>
      <c r="F10" s="48">
        <v>7.7094390508248551</v>
      </c>
      <c r="G10" s="48">
        <v>1.0957456777527337</v>
      </c>
      <c r="H10" s="48">
        <v>59.820795522976425</v>
      </c>
      <c r="I10" s="11">
        <v>31.374019748445992</v>
      </c>
      <c r="J10" s="48"/>
      <c r="K10" t="s">
        <v>27</v>
      </c>
      <c r="L10">
        <v>5.2727710843373483</v>
      </c>
      <c r="M10" s="10"/>
    </row>
    <row r="11" spans="1:17" x14ac:dyDescent="0.25">
      <c r="A11" s="12">
        <v>8</v>
      </c>
      <c r="B11" s="46" t="s">
        <v>193</v>
      </c>
      <c r="C11" s="46" t="s">
        <v>17</v>
      </c>
      <c r="D11" s="49">
        <v>38.577268513253017</v>
      </c>
      <c r="E11" s="49">
        <v>1.1183203744582331</v>
      </c>
      <c r="F11" s="49">
        <v>7.7094390508248551</v>
      </c>
      <c r="G11" s="49">
        <v>1.0957456777527337</v>
      </c>
      <c r="H11" s="49">
        <v>59.820795522976425</v>
      </c>
      <c r="I11" s="14">
        <v>31.374019748445999</v>
      </c>
      <c r="J11" s="46"/>
      <c r="K11" t="s">
        <v>31</v>
      </c>
      <c r="L11">
        <v>4.7454939759036137</v>
      </c>
      <c r="M11" s="10"/>
    </row>
    <row r="12" spans="1:17" x14ac:dyDescent="0.25">
      <c r="A12" s="12">
        <v>9</v>
      </c>
      <c r="B12" s="46" t="s">
        <v>39</v>
      </c>
      <c r="C12" s="46" t="s">
        <v>17</v>
      </c>
      <c r="D12" s="58">
        <v>27.030961645783133</v>
      </c>
      <c r="E12" s="58">
        <v>1.2450000000000001</v>
      </c>
      <c r="F12" s="58">
        <v>11.002534954083853</v>
      </c>
      <c r="G12" s="58">
        <v>1.5637947249833761</v>
      </c>
      <c r="H12" s="58">
        <v>85.373318263957259</v>
      </c>
      <c r="I12" s="59">
        <v>2.0603520569755034</v>
      </c>
      <c r="J12" s="48"/>
      <c r="K12" t="s">
        <v>33</v>
      </c>
      <c r="L12">
        <v>3.15</v>
      </c>
      <c r="M12" s="10"/>
    </row>
    <row r="13" spans="1:17" x14ac:dyDescent="0.25">
      <c r="A13" s="12">
        <v>10</v>
      </c>
      <c r="B13" s="46" t="s">
        <v>41</v>
      </c>
      <c r="C13" s="46" t="s">
        <v>8</v>
      </c>
      <c r="D13" s="48">
        <v>11.546306867469884</v>
      </c>
      <c r="E13" s="46">
        <v>0.79</v>
      </c>
      <c r="F13" s="57">
        <v>0</v>
      </c>
      <c r="G13" s="57">
        <v>0</v>
      </c>
      <c r="H13" s="48">
        <v>0</v>
      </c>
      <c r="I13" s="6">
        <v>100</v>
      </c>
      <c r="J13" s="46"/>
      <c r="K13" t="s">
        <v>35</v>
      </c>
      <c r="L13">
        <v>0.28098000000000001</v>
      </c>
      <c r="M13" s="10"/>
    </row>
    <row r="14" spans="1:17" x14ac:dyDescent="0.25">
      <c r="A14" s="12">
        <v>11</v>
      </c>
      <c r="B14" s="46" t="s">
        <v>42</v>
      </c>
      <c r="C14" s="25" t="s">
        <v>8</v>
      </c>
      <c r="D14" s="49">
        <v>11.546306867469884</v>
      </c>
      <c r="E14" s="25">
        <v>0.79</v>
      </c>
      <c r="F14" s="58">
        <v>0</v>
      </c>
      <c r="G14" s="58">
        <v>0</v>
      </c>
      <c r="H14" s="49">
        <v>0</v>
      </c>
      <c r="I14" s="13">
        <v>100</v>
      </c>
      <c r="J14" s="25"/>
      <c r="K14" t="s">
        <v>37</v>
      </c>
      <c r="L14">
        <v>96.5</v>
      </c>
      <c r="M14" s="10"/>
    </row>
    <row r="15" spans="1:17" ht="15.75" thickBot="1" x14ac:dyDescent="0.3">
      <c r="A15" s="50">
        <v>12</v>
      </c>
      <c r="B15" s="51" t="s">
        <v>43</v>
      </c>
      <c r="C15" s="18" t="s">
        <v>8</v>
      </c>
      <c r="D15" s="17">
        <v>0.60770036144578299</v>
      </c>
      <c r="E15" s="17">
        <v>0.79</v>
      </c>
      <c r="F15" s="17">
        <v>0</v>
      </c>
      <c r="G15" s="17">
        <v>0</v>
      </c>
      <c r="H15" s="17">
        <v>0</v>
      </c>
      <c r="I15" s="60">
        <v>100</v>
      </c>
      <c r="J15" s="49"/>
      <c r="K15" t="s">
        <v>38</v>
      </c>
      <c r="L15">
        <v>1</v>
      </c>
      <c r="M15" s="10"/>
    </row>
    <row r="16" spans="1:17" x14ac:dyDescent="0.25">
      <c r="A16" s="46"/>
      <c r="C16" s="25"/>
      <c r="D16" s="49"/>
      <c r="E16" s="49"/>
      <c r="F16" s="49"/>
      <c r="G16" s="49"/>
      <c r="H16" s="49"/>
      <c r="I16" s="49"/>
      <c r="J16" s="49"/>
      <c r="K16" t="s">
        <v>40</v>
      </c>
      <c r="L16">
        <v>95</v>
      </c>
      <c r="M16" s="10"/>
    </row>
    <row r="17" spans="1:17" ht="15.75" thickBot="1" x14ac:dyDescent="0.3">
      <c r="A17" s="46"/>
      <c r="C17" s="25"/>
      <c r="D17" s="49"/>
      <c r="E17" s="25"/>
      <c r="F17" s="25"/>
      <c r="G17" s="25"/>
      <c r="H17" s="25"/>
      <c r="I17" s="25"/>
      <c r="J17" s="25"/>
      <c r="K17" s="15"/>
      <c r="L17" s="15"/>
      <c r="M17" s="16"/>
    </row>
    <row r="18" spans="1:17" ht="15.75" thickBot="1" x14ac:dyDescent="0.3">
      <c r="A18" s="46"/>
      <c r="C18" s="25"/>
      <c r="D18" s="49"/>
      <c r="E18" s="25"/>
      <c r="F18" s="25"/>
      <c r="G18" s="25"/>
      <c r="H18" s="25"/>
      <c r="I18" s="25"/>
      <c r="J18" s="25"/>
    </row>
    <row r="19" spans="1:17" x14ac:dyDescent="0.25">
      <c r="A19" s="46"/>
      <c r="C19" s="25"/>
      <c r="D19" s="49"/>
      <c r="E19" s="25"/>
      <c r="F19" s="25"/>
      <c r="G19" s="25"/>
      <c r="H19" s="25"/>
      <c r="I19" s="25"/>
      <c r="J19" s="25"/>
      <c r="K19" s="7"/>
      <c r="L19" s="61" t="s">
        <v>6</v>
      </c>
      <c r="M19" s="61" t="s">
        <v>5</v>
      </c>
      <c r="N19" s="61" t="s">
        <v>6</v>
      </c>
      <c r="O19" s="61" t="s">
        <v>5</v>
      </c>
      <c r="P19" s="61" t="s">
        <v>6</v>
      </c>
      <c r="Q19" s="62" t="s">
        <v>5</v>
      </c>
    </row>
    <row r="20" spans="1:17" x14ac:dyDescent="0.25">
      <c r="K20" s="52" t="s">
        <v>23</v>
      </c>
      <c r="L20" s="25" t="s">
        <v>11</v>
      </c>
      <c r="M20" s="25" t="s">
        <v>11</v>
      </c>
      <c r="N20" s="25" t="s">
        <v>44</v>
      </c>
      <c r="O20" s="25" t="s">
        <v>44</v>
      </c>
      <c r="P20" s="25" t="s">
        <v>12</v>
      </c>
      <c r="Q20" s="13" t="s">
        <v>12</v>
      </c>
    </row>
    <row r="21" spans="1:17" x14ac:dyDescent="0.25">
      <c r="K21" s="52">
        <v>0.2</v>
      </c>
      <c r="L21" s="25">
        <v>57.2</v>
      </c>
      <c r="M21" s="25">
        <v>11.1</v>
      </c>
      <c r="N21" s="25">
        <v>50</v>
      </c>
      <c r="O21" s="25">
        <v>13.5</v>
      </c>
      <c r="P21" s="25">
        <v>58</v>
      </c>
      <c r="Q21" s="13">
        <v>6</v>
      </c>
    </row>
    <row r="22" spans="1:17" x14ac:dyDescent="0.25">
      <c r="K22" s="63">
        <v>0.3</v>
      </c>
      <c r="L22" s="25">
        <v>76</v>
      </c>
      <c r="M22" s="25">
        <v>14.1</v>
      </c>
      <c r="N22" s="25">
        <v>67.5</v>
      </c>
      <c r="O22" s="25">
        <v>20.100000000000001</v>
      </c>
      <c r="P22" s="25">
        <v>78</v>
      </c>
      <c r="Q22" s="13">
        <v>10.9</v>
      </c>
    </row>
    <row r="23" spans="1:17" x14ac:dyDescent="0.25">
      <c r="K23" s="64">
        <v>0.4</v>
      </c>
      <c r="L23" s="65">
        <v>90</v>
      </c>
      <c r="M23" s="65">
        <v>22.3</v>
      </c>
      <c r="N23" s="65">
        <v>80.2</v>
      </c>
      <c r="O23" s="65">
        <v>26.5</v>
      </c>
      <c r="P23" s="65">
        <v>92.1</v>
      </c>
      <c r="Q23" s="66">
        <v>16.899999999999999</v>
      </c>
    </row>
    <row r="24" spans="1:17" x14ac:dyDescent="0.25">
      <c r="K24" s="63">
        <v>0.5</v>
      </c>
      <c r="L24" s="25">
        <v>96.4</v>
      </c>
      <c r="M24" s="25">
        <v>35.200000000000003</v>
      </c>
      <c r="N24" s="25">
        <v>88.2</v>
      </c>
      <c r="O24" s="25">
        <v>32.700000000000003</v>
      </c>
      <c r="P24" s="25">
        <v>98.2</v>
      </c>
      <c r="Q24" s="13">
        <v>23.8</v>
      </c>
    </row>
    <row r="25" spans="1:17" x14ac:dyDescent="0.25">
      <c r="K25" s="63">
        <v>0.6</v>
      </c>
      <c r="L25" s="25">
        <v>99.1</v>
      </c>
      <c r="M25" s="25">
        <v>45.2</v>
      </c>
      <c r="N25" s="25">
        <v>91.5</v>
      </c>
      <c r="O25" s="25">
        <v>38.5</v>
      </c>
      <c r="P25" s="25">
        <v>99</v>
      </c>
      <c r="Q25" s="13">
        <v>31.4</v>
      </c>
    </row>
    <row r="26" spans="1:17" x14ac:dyDescent="0.25">
      <c r="K26" s="21">
        <v>0.7</v>
      </c>
      <c r="L26" s="25">
        <v>99.4</v>
      </c>
      <c r="M26" s="25">
        <v>56.4</v>
      </c>
      <c r="N26" s="25">
        <v>93</v>
      </c>
      <c r="O26" s="25">
        <v>43.6</v>
      </c>
      <c r="P26" s="25">
        <v>99.5</v>
      </c>
      <c r="Q26" s="13">
        <v>38.700000000000003</v>
      </c>
    </row>
    <row r="27" spans="1:17" x14ac:dyDescent="0.25">
      <c r="K27" s="20"/>
      <c r="L27" s="52" t="s">
        <v>5</v>
      </c>
      <c r="M27" s="52" t="s">
        <v>6</v>
      </c>
      <c r="N27" s="52" t="s">
        <v>7</v>
      </c>
      <c r="O27" s="25"/>
      <c r="Q27" s="13"/>
    </row>
    <row r="28" spans="1:17" x14ac:dyDescent="0.25">
      <c r="K28" s="21"/>
      <c r="L28" s="52"/>
      <c r="M28" s="52"/>
      <c r="N28" s="52"/>
      <c r="O28" s="25"/>
      <c r="P28" s="25"/>
      <c r="Q28" s="13"/>
    </row>
    <row r="29" spans="1:17" ht="15.75" thickBot="1" x14ac:dyDescent="0.3">
      <c r="K29" s="22"/>
      <c r="L29" s="23"/>
      <c r="M29" s="23"/>
      <c r="N29" s="23"/>
      <c r="O29" s="18"/>
      <c r="P29" s="18"/>
      <c r="Q29" s="19"/>
    </row>
    <row r="30" spans="1:17" x14ac:dyDescent="0.25">
      <c r="K30" s="25"/>
      <c r="L30" s="25"/>
      <c r="M30" s="25"/>
      <c r="N30" s="25"/>
      <c r="O30" s="25"/>
      <c r="P30" s="25"/>
      <c r="Q30" s="2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1A82-D30B-4416-9159-39D0F737501C}">
  <dimension ref="A1:AD108"/>
  <sheetViews>
    <sheetView topLeftCell="A88" workbookViewId="0">
      <selection activeCell="G113" sqref="G113"/>
    </sheetView>
  </sheetViews>
  <sheetFormatPr defaultRowHeight="15" x14ac:dyDescent="0.25"/>
  <cols>
    <col min="1" max="1" width="33.85546875" customWidth="1"/>
    <col min="2" max="2" width="11.85546875" customWidth="1"/>
    <col min="3" max="3" width="11.28515625" customWidth="1"/>
    <col min="4" max="4" width="13.140625" customWidth="1"/>
    <col min="5" max="5" width="17.42578125" customWidth="1"/>
    <col min="6" max="7" width="20.7109375" customWidth="1"/>
    <col min="8" max="8" width="19.28515625" customWidth="1"/>
    <col min="9" max="9" width="15.5703125" customWidth="1"/>
    <col min="10" max="10" width="18.28515625" customWidth="1"/>
    <col min="11" max="11" width="14.42578125" customWidth="1"/>
    <col min="12" max="12" width="13.42578125" customWidth="1"/>
    <col min="13" max="13" width="14.42578125" customWidth="1"/>
    <col min="14" max="14" width="13.85546875" customWidth="1"/>
    <col min="20" max="20" width="33.28515625" customWidth="1"/>
    <col min="21" max="21" width="13.85546875" customWidth="1"/>
    <col min="22" max="22" width="14.7109375" customWidth="1"/>
    <col min="23" max="23" width="16.7109375" customWidth="1"/>
    <col min="24" max="25" width="13.28515625" customWidth="1"/>
  </cols>
  <sheetData>
    <row r="1" spans="1:30" ht="58.5" customHeight="1" x14ac:dyDescent="0.25">
      <c r="C1" s="82" t="s">
        <v>47</v>
      </c>
      <c r="D1" s="82"/>
      <c r="E1" s="30" t="s">
        <v>69</v>
      </c>
      <c r="F1" s="30" t="s">
        <v>48</v>
      </c>
      <c r="G1" s="30" t="s">
        <v>119</v>
      </c>
      <c r="H1" s="30" t="s">
        <v>120</v>
      </c>
      <c r="I1" s="30" t="s">
        <v>76</v>
      </c>
      <c r="J1" s="30" t="s">
        <v>49</v>
      </c>
      <c r="K1" s="30" t="s">
        <v>50</v>
      </c>
      <c r="L1" s="30" t="s">
        <v>51</v>
      </c>
      <c r="M1" s="30" t="s">
        <v>68</v>
      </c>
      <c r="N1" s="30" t="s">
        <v>52</v>
      </c>
      <c r="O1" s="31" t="s">
        <v>160</v>
      </c>
      <c r="Q1" s="79" t="s">
        <v>211</v>
      </c>
      <c r="R1" s="79"/>
      <c r="S1" s="79"/>
      <c r="U1" s="31" t="s">
        <v>127</v>
      </c>
      <c r="V1" s="31" t="s">
        <v>128</v>
      </c>
      <c r="X1" s="38" t="s">
        <v>131</v>
      </c>
      <c r="Y1" s="38" t="s">
        <v>132</v>
      </c>
      <c r="Z1" s="38" t="s">
        <v>133</v>
      </c>
    </row>
    <row r="2" spans="1:30" x14ac:dyDescent="0.25">
      <c r="C2" s="81" t="s">
        <v>53</v>
      </c>
      <c r="D2" s="81"/>
      <c r="E2" s="28">
        <f>B27</f>
        <v>36000</v>
      </c>
      <c r="F2" s="28">
        <f>40000</f>
        <v>40000</v>
      </c>
      <c r="G2" s="34">
        <f>B14</f>
        <v>598000</v>
      </c>
      <c r="H2" s="28">
        <f>((E2/F2)^$J$2)*G2</f>
        <v>557241.77292978787</v>
      </c>
      <c r="I2" s="28">
        <f>(ROUND(H2,0))*10^-6</f>
        <v>0.55724200000000002</v>
      </c>
      <c r="J2" s="28">
        <f>0.67</f>
        <v>0.67</v>
      </c>
      <c r="K2" s="28">
        <f>0.5</f>
        <v>0.5</v>
      </c>
      <c r="L2" s="28">
        <f>M2*C26</f>
        <v>3.6</v>
      </c>
      <c r="M2" s="28">
        <f>0.1</f>
        <v>0.1</v>
      </c>
      <c r="N2" s="28"/>
      <c r="O2" s="24"/>
      <c r="Q2" s="81">
        <f>330</f>
        <v>330</v>
      </c>
      <c r="R2" s="81"/>
      <c r="U2" s="24" t="s">
        <v>129</v>
      </c>
      <c r="V2" s="24">
        <f>30</f>
        <v>30</v>
      </c>
      <c r="X2" s="24" t="s">
        <v>134</v>
      </c>
      <c r="Y2" s="24">
        <f>0.1</f>
        <v>0.1</v>
      </c>
      <c r="Z2" s="24" t="s">
        <v>135</v>
      </c>
      <c r="AB2" t="s">
        <v>203</v>
      </c>
      <c r="AC2">
        <f>3.79</f>
        <v>3.79</v>
      </c>
      <c r="AD2" t="s">
        <v>138</v>
      </c>
    </row>
    <row r="3" spans="1:30" x14ac:dyDescent="0.25">
      <c r="C3" s="83" t="s">
        <v>56</v>
      </c>
      <c r="D3" s="83"/>
      <c r="E3" s="32">
        <f>B37</f>
        <v>15000</v>
      </c>
      <c r="F3" s="28">
        <v>200000</v>
      </c>
      <c r="G3" s="34">
        <f>B15</f>
        <v>35000</v>
      </c>
      <c r="H3" s="28">
        <f t="shared" ref="H3:H4" si="0">((E3/F3)^$J$2)*G3</f>
        <v>6171.0503635987998</v>
      </c>
      <c r="I3" s="28">
        <f t="shared" ref="I3:I9" si="1">(ROUND(H3,0))*10^-6</f>
        <v>6.1709999999999994E-3</v>
      </c>
      <c r="J3" s="28">
        <f t="shared" ref="J3:J9" si="2">0.67</f>
        <v>0.67</v>
      </c>
      <c r="K3" s="28">
        <f>0.1</f>
        <v>0.1</v>
      </c>
      <c r="L3" s="28" t="s">
        <v>55</v>
      </c>
      <c r="M3" s="28"/>
      <c r="N3" s="28"/>
      <c r="O3" s="24"/>
      <c r="Q3" t="s">
        <v>212</v>
      </c>
      <c r="R3" s="24">
        <f>Q2*Anti_solvent!D9</f>
        <v>1675.3237761686744</v>
      </c>
      <c r="S3" t="s">
        <v>154</v>
      </c>
      <c r="U3" s="24" t="s">
        <v>130</v>
      </c>
      <c r="V3" s="24">
        <f>50</f>
        <v>50</v>
      </c>
      <c r="X3" s="24" t="s">
        <v>136</v>
      </c>
      <c r="Y3" s="24">
        <f>0.142</f>
        <v>0.14199999999999999</v>
      </c>
      <c r="Z3" s="24" t="s">
        <v>137</v>
      </c>
      <c r="AB3" s="24" t="s">
        <v>139</v>
      </c>
      <c r="AC3" s="24">
        <f>748</f>
        <v>748</v>
      </c>
      <c r="AD3" s="24" t="s">
        <v>140</v>
      </c>
    </row>
    <row r="4" spans="1:30" x14ac:dyDescent="0.25">
      <c r="C4" s="81" t="s">
        <v>57</v>
      </c>
      <c r="D4" s="81"/>
      <c r="E4" s="28">
        <f>40</f>
        <v>40</v>
      </c>
      <c r="F4" s="28">
        <v>80</v>
      </c>
      <c r="G4" s="34">
        <f>B16</f>
        <v>32000</v>
      </c>
      <c r="H4" s="28">
        <f t="shared" si="0"/>
        <v>20112.213992349254</v>
      </c>
      <c r="I4" s="28">
        <f t="shared" si="1"/>
        <v>2.0111999999999998E-2</v>
      </c>
      <c r="J4" s="28">
        <f t="shared" si="2"/>
        <v>0.67</v>
      </c>
      <c r="K4" s="28">
        <f>1</f>
        <v>1</v>
      </c>
      <c r="L4" s="28">
        <f>0.1</f>
        <v>0.1</v>
      </c>
      <c r="M4" s="28"/>
      <c r="N4" s="28">
        <f>400</f>
        <v>400</v>
      </c>
      <c r="O4" s="24">
        <f>1000</f>
        <v>1000</v>
      </c>
      <c r="U4" t="s">
        <v>202</v>
      </c>
      <c r="V4">
        <f>36</f>
        <v>36</v>
      </c>
      <c r="AB4" s="24" t="s">
        <v>141</v>
      </c>
      <c r="AC4" s="24">
        <f>2.5</f>
        <v>2.5</v>
      </c>
      <c r="AD4" s="24" t="s">
        <v>142</v>
      </c>
    </row>
    <row r="5" spans="1:30" x14ac:dyDescent="0.25">
      <c r="C5" s="83" t="s">
        <v>61</v>
      </c>
      <c r="D5" s="83"/>
      <c r="E5" s="32"/>
      <c r="F5" s="28"/>
      <c r="G5" s="28"/>
      <c r="H5" s="34">
        <f>B17</f>
        <v>78000</v>
      </c>
      <c r="I5" s="28">
        <f t="shared" si="1"/>
        <v>7.8E-2</v>
      </c>
      <c r="J5" s="28">
        <f t="shared" si="2"/>
        <v>0.67</v>
      </c>
      <c r="K5" s="28">
        <f>1</f>
        <v>1</v>
      </c>
      <c r="L5" s="28">
        <f>C92</f>
        <v>1922</v>
      </c>
      <c r="M5" s="28"/>
      <c r="N5" s="28"/>
      <c r="O5" s="24"/>
      <c r="U5" s="38" t="s">
        <v>145</v>
      </c>
      <c r="V5" s="38" t="s">
        <v>146</v>
      </c>
      <c r="W5" s="38" t="s">
        <v>147</v>
      </c>
      <c r="X5" s="38" t="s">
        <v>148</v>
      </c>
    </row>
    <row r="6" spans="1:30" x14ac:dyDescent="0.25">
      <c r="C6" s="84" t="s">
        <v>62</v>
      </c>
      <c r="D6" s="85"/>
      <c r="E6" s="28">
        <f>50</f>
        <v>50</v>
      </c>
      <c r="F6" s="28">
        <f>100</f>
        <v>100</v>
      </c>
      <c r="G6" s="34">
        <f>B18</f>
        <v>8500</v>
      </c>
      <c r="H6" s="34">
        <f>G6*(E6/F6)^J6</f>
        <v>5342.306841717771</v>
      </c>
      <c r="I6" s="28">
        <f t="shared" si="1"/>
        <v>5.3419999999999995E-3</v>
      </c>
      <c r="J6" s="28">
        <f t="shared" si="2"/>
        <v>0.67</v>
      </c>
      <c r="K6" s="28" t="s">
        <v>55</v>
      </c>
      <c r="L6" s="28">
        <f>C67</f>
        <v>368</v>
      </c>
      <c r="M6" s="28"/>
      <c r="N6" s="28"/>
      <c r="O6" s="24"/>
      <c r="U6" s="39" t="s">
        <v>149</v>
      </c>
      <c r="V6" s="24">
        <f>50</f>
        <v>50</v>
      </c>
      <c r="W6" s="24">
        <f>(Anti_solvent!D4*Anti_solvent!F4/100)*330</f>
        <v>1039.5</v>
      </c>
      <c r="X6" s="24">
        <f>V6*W6</f>
        <v>51975</v>
      </c>
    </row>
    <row r="7" spans="1:30" x14ac:dyDescent="0.25">
      <c r="C7" s="81" t="s">
        <v>64</v>
      </c>
      <c r="D7" s="81"/>
      <c r="E7" s="28">
        <f>F7</f>
        <v>300</v>
      </c>
      <c r="F7" s="28">
        <f>300</f>
        <v>300</v>
      </c>
      <c r="G7" s="34">
        <f>B19</f>
        <v>10000</v>
      </c>
      <c r="H7" s="34">
        <f>G7</f>
        <v>10000</v>
      </c>
      <c r="I7" s="28">
        <f t="shared" si="1"/>
        <v>0.01</v>
      </c>
      <c r="J7" s="28">
        <f t="shared" si="2"/>
        <v>0.67</v>
      </c>
      <c r="K7" s="28">
        <f>0.05</f>
        <v>0.05</v>
      </c>
      <c r="L7" s="28">
        <f>0.1</f>
        <v>0.1</v>
      </c>
      <c r="M7" s="28"/>
      <c r="N7" s="28"/>
      <c r="O7" s="24"/>
      <c r="U7" s="39" t="s">
        <v>150</v>
      </c>
      <c r="V7" s="24">
        <f>90</f>
        <v>90</v>
      </c>
      <c r="W7" s="24">
        <f>(Anti_solvent!D4*Anti_solvent!G4/100)*330</f>
        <v>1740.014457831325</v>
      </c>
      <c r="X7" s="24">
        <f>V7*W7</f>
        <v>156601.30120481926</v>
      </c>
    </row>
    <row r="8" spans="1:30" x14ac:dyDescent="0.25">
      <c r="C8" s="81" t="s">
        <v>65</v>
      </c>
      <c r="D8" s="81"/>
      <c r="E8" s="28">
        <f t="shared" ref="E8:E9" si="3">F8</f>
        <v>300</v>
      </c>
      <c r="F8" s="28">
        <f>300</f>
        <v>300</v>
      </c>
      <c r="G8" s="34">
        <f>B19</f>
        <v>10000</v>
      </c>
      <c r="H8" s="34">
        <f>G8</f>
        <v>10000</v>
      </c>
      <c r="I8" s="28">
        <f t="shared" si="1"/>
        <v>0.01</v>
      </c>
      <c r="J8" s="28">
        <f t="shared" si="2"/>
        <v>0.67</v>
      </c>
      <c r="K8" s="28">
        <f>0.05</f>
        <v>0.05</v>
      </c>
      <c r="L8" s="28">
        <f t="shared" ref="L8:L9" si="4">0.1</f>
        <v>0.1</v>
      </c>
      <c r="M8" s="28"/>
      <c r="N8" s="28"/>
      <c r="O8" s="24"/>
      <c r="U8" s="39" t="s">
        <v>151</v>
      </c>
      <c r="V8" s="24">
        <f>900</f>
        <v>900</v>
      </c>
      <c r="W8" s="24">
        <f>(Anti_solvent!I15/100*Anti_solvent!D15)*'Anti_Cost_Anal (2)'!Q2</f>
        <v>200.54111927710838</v>
      </c>
      <c r="X8" s="24">
        <f>V8*W8</f>
        <v>180487.00734939755</v>
      </c>
    </row>
    <row r="9" spans="1:30" x14ac:dyDescent="0.25">
      <c r="C9" s="84" t="s">
        <v>66</v>
      </c>
      <c r="D9" s="85"/>
      <c r="E9" s="28">
        <f t="shared" si="3"/>
        <v>300</v>
      </c>
      <c r="F9" s="28">
        <f>300</f>
        <v>300</v>
      </c>
      <c r="G9" s="34">
        <f>B19</f>
        <v>10000</v>
      </c>
      <c r="H9" s="34">
        <f>G9</f>
        <v>10000</v>
      </c>
      <c r="I9" s="28">
        <f t="shared" si="1"/>
        <v>0.01</v>
      </c>
      <c r="J9" s="28">
        <f t="shared" si="2"/>
        <v>0.67</v>
      </c>
      <c r="K9" s="28">
        <f>0.05</f>
        <v>0.05</v>
      </c>
      <c r="L9" s="28">
        <f t="shared" si="4"/>
        <v>0.1</v>
      </c>
      <c r="M9" s="28"/>
      <c r="N9" s="28"/>
      <c r="O9" s="24"/>
      <c r="W9" s="24" t="s">
        <v>46</v>
      </c>
      <c r="X9" s="24">
        <f>SUM(X6:X8)</f>
        <v>389063.30855421681</v>
      </c>
      <c r="Y9" s="40">
        <f>ROUND(X9,0)</f>
        <v>389063</v>
      </c>
    </row>
    <row r="10" spans="1:30" x14ac:dyDescent="0.25">
      <c r="V10" s="24"/>
      <c r="W10" s="38" t="s">
        <v>154</v>
      </c>
      <c r="X10" s="38" t="s">
        <v>152</v>
      </c>
      <c r="Y10" s="38" t="s">
        <v>153</v>
      </c>
    </row>
    <row r="11" spans="1:30" x14ac:dyDescent="0.25">
      <c r="V11" s="41" t="s">
        <v>136</v>
      </c>
      <c r="W11" s="24">
        <f>(Anti_solvent!H4*Anti_solvent!D4/100)*330</f>
        <v>7615.4855421686761</v>
      </c>
      <c r="X11" s="24">
        <f>W11*1000</f>
        <v>7615485.5421686759</v>
      </c>
      <c r="Y11" s="24">
        <f>X11/3.79</f>
        <v>2009362.9398861942</v>
      </c>
    </row>
    <row r="12" spans="1:30" x14ac:dyDescent="0.25">
      <c r="A12" s="80" t="s">
        <v>75</v>
      </c>
      <c r="B12" s="80"/>
      <c r="C12" s="80"/>
      <c r="I12" s="80" t="s">
        <v>121</v>
      </c>
      <c r="J12" s="80"/>
      <c r="K12" s="80"/>
      <c r="O12" s="80" t="s">
        <v>156</v>
      </c>
      <c r="P12" s="80"/>
      <c r="Q12" s="80"/>
      <c r="R12" s="80"/>
      <c r="S12" s="37">
        <f>SUM(I2:I9)</f>
        <v>0.69686700000000001</v>
      </c>
    </row>
    <row r="13" spans="1:30" x14ac:dyDescent="0.25">
      <c r="A13" t="s">
        <v>70</v>
      </c>
      <c r="B13" t="s">
        <v>71</v>
      </c>
      <c r="C13" t="s">
        <v>73</v>
      </c>
    </row>
    <row r="14" spans="1:30" x14ac:dyDescent="0.25">
      <c r="A14" t="s">
        <v>72</v>
      </c>
      <c r="B14" s="33">
        <v>598000</v>
      </c>
      <c r="C14" t="s">
        <v>74</v>
      </c>
      <c r="I14" s="80" t="s">
        <v>122</v>
      </c>
      <c r="J14" s="80"/>
      <c r="K14" s="80"/>
      <c r="L14" s="38">
        <f>(M17*(1+M17)^(M16)/((1+M17)^M16-1))</f>
        <v>0.11016807219002084</v>
      </c>
      <c r="M14" s="38">
        <f>ROUND(L14,2)</f>
        <v>0.11</v>
      </c>
    </row>
    <row r="15" spans="1:30" x14ac:dyDescent="0.25">
      <c r="A15" t="s">
        <v>77</v>
      </c>
      <c r="B15" s="33">
        <v>35000</v>
      </c>
      <c r="C15" t="s">
        <v>78</v>
      </c>
    </row>
    <row r="16" spans="1:30" x14ac:dyDescent="0.25">
      <c r="A16" t="s">
        <v>79</v>
      </c>
      <c r="B16" s="33">
        <v>32000</v>
      </c>
      <c r="C16" t="s">
        <v>58</v>
      </c>
      <c r="L16" t="s">
        <v>123</v>
      </c>
      <c r="M16">
        <f>25</f>
        <v>25</v>
      </c>
      <c r="T16" t="str">
        <f>I20</f>
        <v>Annualized Capital Cost (CCAC) (M$)</v>
      </c>
      <c r="U16">
        <f>L20</f>
        <v>0.68713873668000003</v>
      </c>
      <c r="W16" t="s">
        <v>162</v>
      </c>
      <c r="X16">
        <f t="shared" ref="X16:X19" si="5">U16*10^6</f>
        <v>687138.73667999997</v>
      </c>
    </row>
    <row r="17" spans="1:24" x14ac:dyDescent="0.25">
      <c r="A17" t="s">
        <v>80</v>
      </c>
      <c r="B17" s="33">
        <v>78000</v>
      </c>
      <c r="L17" t="s">
        <v>201</v>
      </c>
      <c r="M17">
        <f>0.1</f>
        <v>0.1</v>
      </c>
      <c r="T17" t="str">
        <f>I45</f>
        <v>Other Cost (CCOC) (M$)</v>
      </c>
      <c r="U17">
        <f>L45</f>
        <v>2.4476231999999993</v>
      </c>
      <c r="W17" t="s">
        <v>163</v>
      </c>
      <c r="X17">
        <f t="shared" si="5"/>
        <v>2447623.1999999993</v>
      </c>
    </row>
    <row r="18" spans="1:24" x14ac:dyDescent="0.25">
      <c r="A18" t="s">
        <v>81</v>
      </c>
      <c r="B18" s="33">
        <v>8500</v>
      </c>
      <c r="C18" t="s">
        <v>63</v>
      </c>
      <c r="T18" t="str">
        <f>I50</f>
        <v>Utility Cost (CCUC) (M$)</v>
      </c>
      <c r="U18">
        <f>L50</f>
        <v>2.102177537463839</v>
      </c>
      <c r="W18" t="s">
        <v>164</v>
      </c>
      <c r="X18">
        <f t="shared" si="5"/>
        <v>2102177.5374638392</v>
      </c>
    </row>
    <row r="19" spans="1:24" x14ac:dyDescent="0.25">
      <c r="A19" t="s">
        <v>200</v>
      </c>
      <c r="B19" s="33">
        <v>10000</v>
      </c>
      <c r="C19" t="s">
        <v>82</v>
      </c>
      <c r="N19" t="s">
        <v>142</v>
      </c>
      <c r="O19" t="s">
        <v>144</v>
      </c>
      <c r="T19" t="str">
        <f>I55</f>
        <v>Consumables Cost (CCSC) (M$)</v>
      </c>
      <c r="U19">
        <f>L55</f>
        <v>0.12672</v>
      </c>
      <c r="W19" t="s">
        <v>165</v>
      </c>
      <c r="X19">
        <f t="shared" si="5"/>
        <v>126720</v>
      </c>
    </row>
    <row r="20" spans="1:24" x14ac:dyDescent="0.25">
      <c r="I20" s="80" t="s">
        <v>125</v>
      </c>
      <c r="J20" s="80"/>
      <c r="K20" s="80"/>
      <c r="L20" s="37">
        <f>1.66*M14*M25*(SUM(I2:I9))</f>
        <v>0.68713873668000003</v>
      </c>
      <c r="M20" s="37"/>
      <c r="N20" s="37">
        <f>L20*10^6</f>
        <v>687138.73667999997</v>
      </c>
      <c r="O20" s="37">
        <f>ROUND(N20,0)</f>
        <v>687139</v>
      </c>
      <c r="W20" t="s">
        <v>187</v>
      </c>
      <c r="X20">
        <f>O30</f>
        <v>880440</v>
      </c>
    </row>
    <row r="21" spans="1:24" x14ac:dyDescent="0.25">
      <c r="W21" t="s">
        <v>188</v>
      </c>
      <c r="X21">
        <f>O37</f>
        <v>389063</v>
      </c>
    </row>
    <row r="22" spans="1:24" x14ac:dyDescent="0.25">
      <c r="A22" s="37" t="s">
        <v>72</v>
      </c>
    </row>
    <row r="23" spans="1:24" x14ac:dyDescent="0.25">
      <c r="A23" t="s">
        <v>83</v>
      </c>
      <c r="B23" s="36">
        <f>Anti_solvent!$D$7</f>
        <v>43.654007228915667</v>
      </c>
    </row>
    <row r="24" spans="1:24" x14ac:dyDescent="0.25">
      <c r="A24" t="s">
        <v>84</v>
      </c>
      <c r="B24">
        <f>B23*1000</f>
        <v>43654.007228915667</v>
      </c>
    </row>
    <row r="25" spans="1:24" x14ac:dyDescent="0.25">
      <c r="A25" t="s">
        <v>85</v>
      </c>
      <c r="B25">
        <f>(Anti_solvent!$L$3*Anti_solvent!$F$7/100)+(Anti_solvent!$M$3*Anti_solvent!$G$7/100)+(Anti_solvent!$N$3*Anti_solvent!$H$7/100)+(Anti_solvent!$O$3*Anti_solvent!$I$7/100)</f>
        <v>1228.8773594419602</v>
      </c>
      <c r="L25" t="s">
        <v>124</v>
      </c>
      <c r="M25">
        <f>5.4</f>
        <v>5.4</v>
      </c>
    </row>
    <row r="26" spans="1:24" x14ac:dyDescent="0.25">
      <c r="A26" t="s">
        <v>86</v>
      </c>
      <c r="B26">
        <f>B24/B25</f>
        <v>35.523485637931508</v>
      </c>
      <c r="C26">
        <f>ROUND(B26,0)</f>
        <v>36</v>
      </c>
    </row>
    <row r="27" spans="1:24" x14ac:dyDescent="0.25">
      <c r="A27" t="s">
        <v>87</v>
      </c>
      <c r="B27">
        <f>C26*1000</f>
        <v>36000</v>
      </c>
    </row>
    <row r="29" spans="1:24" x14ac:dyDescent="0.25">
      <c r="N29" t="s">
        <v>142</v>
      </c>
      <c r="O29" t="s">
        <v>142</v>
      </c>
    </row>
    <row r="30" spans="1:24" x14ac:dyDescent="0.25">
      <c r="I30" s="80" t="s">
        <v>143</v>
      </c>
      <c r="J30" s="80"/>
      <c r="K30" s="80"/>
      <c r="L30" s="37">
        <f>((V2*M33*SUM(K2:K9) +(V3+V4)*(M33/3))*10^-6)</f>
        <v>0.88043999999999989</v>
      </c>
      <c r="N30" s="37">
        <f>L30*10^6</f>
        <v>880439.99999999988</v>
      </c>
      <c r="O30" s="37">
        <f>ROUND(N30,0)</f>
        <v>880440</v>
      </c>
    </row>
    <row r="32" spans="1:24" x14ac:dyDescent="0.25">
      <c r="A32" t="s">
        <v>77</v>
      </c>
    </row>
    <row r="33" spans="1:15" x14ac:dyDescent="0.25">
      <c r="A33" t="s">
        <v>83</v>
      </c>
      <c r="B33" s="36">
        <f>Anti_solvent!$D$6</f>
        <v>12.154007228915667</v>
      </c>
      <c r="L33" t="s">
        <v>126</v>
      </c>
      <c r="M33">
        <f>7920</f>
        <v>7920</v>
      </c>
    </row>
    <row r="34" spans="1:15" x14ac:dyDescent="0.25">
      <c r="A34" t="s">
        <v>84</v>
      </c>
      <c r="B34">
        <f>B33*1000</f>
        <v>12154.007228915667</v>
      </c>
    </row>
    <row r="35" spans="1:15" x14ac:dyDescent="0.25">
      <c r="A35" t="s">
        <v>85</v>
      </c>
      <c r="B35">
        <f>Anti_solvent!O3</f>
        <v>790</v>
      </c>
    </row>
    <row r="36" spans="1:15" x14ac:dyDescent="0.25">
      <c r="A36" t="s">
        <v>88</v>
      </c>
      <c r="B36">
        <f>B34/B35</f>
        <v>15.38481927710844</v>
      </c>
      <c r="C36">
        <f>ROUND(B36,0)</f>
        <v>15</v>
      </c>
      <c r="N36" s="42" t="s">
        <v>142</v>
      </c>
      <c r="O36" t="s">
        <v>142</v>
      </c>
    </row>
    <row r="37" spans="1:15" x14ac:dyDescent="0.25">
      <c r="A37" t="s">
        <v>89</v>
      </c>
      <c r="B37">
        <f>C36*1000</f>
        <v>15000</v>
      </c>
      <c r="I37" s="80" t="s">
        <v>155</v>
      </c>
      <c r="J37" s="80"/>
      <c r="K37" s="80"/>
      <c r="L37" s="37">
        <f>Y9/10^6</f>
        <v>0.38906299999999999</v>
      </c>
      <c r="N37" s="37">
        <f>X9</f>
        <v>389063.30855421681</v>
      </c>
      <c r="O37" s="37">
        <f>ROUND(N37,0)</f>
        <v>389063</v>
      </c>
    </row>
    <row r="44" spans="1:15" x14ac:dyDescent="0.25">
      <c r="N44" t="s">
        <v>142</v>
      </c>
      <c r="O44" t="s">
        <v>142</v>
      </c>
    </row>
    <row r="45" spans="1:15" x14ac:dyDescent="0.25">
      <c r="B45" s="36"/>
      <c r="I45" s="80" t="s">
        <v>157</v>
      </c>
      <c r="J45" s="80"/>
      <c r="K45" s="80"/>
      <c r="L45" s="37">
        <f>2.78*L30</f>
        <v>2.4476231999999993</v>
      </c>
      <c r="M45" s="37"/>
      <c r="N45" s="37">
        <f>L45*10^6</f>
        <v>2447623.1999999993</v>
      </c>
      <c r="O45" s="37">
        <f>ROUND(N45,0)</f>
        <v>2447623</v>
      </c>
    </row>
    <row r="49" spans="1:15" x14ac:dyDescent="0.25">
      <c r="N49" t="s">
        <v>142</v>
      </c>
      <c r="O49" t="s">
        <v>142</v>
      </c>
    </row>
    <row r="50" spans="1:15" x14ac:dyDescent="0.25">
      <c r="I50" s="80" t="s">
        <v>158</v>
      </c>
      <c r="J50" s="80"/>
      <c r="K50" s="80"/>
      <c r="L50" s="37">
        <f>((SUM(L2,L4:L9)*M33*Y2)+(Y11*Y3))/10^6</f>
        <v>2.102177537463839</v>
      </c>
      <c r="M50" s="37"/>
      <c r="N50" s="37">
        <f>L50*10^6</f>
        <v>2102177.5374638392</v>
      </c>
      <c r="O50" s="37">
        <f>ROUND(N50,0)</f>
        <v>2102178</v>
      </c>
    </row>
    <row r="51" spans="1:15" x14ac:dyDescent="0.25">
      <c r="C51" s="79"/>
      <c r="D51" s="79"/>
      <c r="E51" s="79"/>
      <c r="F51" s="79"/>
    </row>
    <row r="54" spans="1:15" x14ac:dyDescent="0.25">
      <c r="N54" t="s">
        <v>142</v>
      </c>
      <c r="O54" t="s">
        <v>142</v>
      </c>
    </row>
    <row r="55" spans="1:15" x14ac:dyDescent="0.25">
      <c r="I55" s="80" t="s">
        <v>159</v>
      </c>
      <c r="J55" s="80"/>
      <c r="K55" s="80"/>
      <c r="L55" s="37">
        <f>((M33*N4*E4/O4))/10^6</f>
        <v>0.12672</v>
      </c>
      <c r="M55" s="37"/>
      <c r="N55" s="37">
        <f>L55*10^6</f>
        <v>126720</v>
      </c>
      <c r="O55" s="37">
        <f>ROUND(N55,0)</f>
        <v>126720</v>
      </c>
    </row>
    <row r="59" spans="1:15" x14ac:dyDescent="0.25">
      <c r="A59" s="37" t="s">
        <v>81</v>
      </c>
    </row>
    <row r="60" spans="1:15" x14ac:dyDescent="0.25">
      <c r="A60" t="s">
        <v>83</v>
      </c>
      <c r="B60" s="36">
        <f>Anti_solvent!$D$13</f>
        <v>11.546306867469884</v>
      </c>
    </row>
    <row r="61" spans="1:15" x14ac:dyDescent="0.25">
      <c r="A61" t="s">
        <v>84</v>
      </c>
      <c r="B61">
        <f>B60*1000</f>
        <v>11546.306867469884</v>
      </c>
      <c r="N61" t="s">
        <v>142</v>
      </c>
      <c r="O61" t="s">
        <v>142</v>
      </c>
    </row>
    <row r="62" spans="1:15" x14ac:dyDescent="0.25">
      <c r="A62" t="s">
        <v>90</v>
      </c>
      <c r="B62">
        <f>B61/24</f>
        <v>481.09611947791183</v>
      </c>
      <c r="C62">
        <f>ROUND(B62,0)</f>
        <v>481</v>
      </c>
      <c r="I62" s="80" t="s">
        <v>161</v>
      </c>
      <c r="J62" s="80"/>
      <c r="K62" s="80"/>
      <c r="L62" s="37">
        <f>SUM(L20+L30+L37+L45+L50+L55)</f>
        <v>6.6331624741438375</v>
      </c>
      <c r="M62" s="37"/>
      <c r="N62" s="37">
        <f>L62*10^6</f>
        <v>6633162.4741438376</v>
      </c>
      <c r="O62" s="37">
        <f>ROUND(N62,0)</f>
        <v>6633162</v>
      </c>
    </row>
    <row r="63" spans="1:15" x14ac:dyDescent="0.25">
      <c r="A63" t="s">
        <v>91</v>
      </c>
      <c r="B63">
        <f>77</f>
        <v>77</v>
      </c>
    </row>
    <row r="64" spans="1:15" x14ac:dyDescent="0.25">
      <c r="A64" t="s">
        <v>92</v>
      </c>
      <c r="B64">
        <f>30</f>
        <v>30</v>
      </c>
    </row>
    <row r="65" spans="1:12" x14ac:dyDescent="0.25">
      <c r="A65" t="s">
        <v>93</v>
      </c>
      <c r="B65">
        <f>2.44</f>
        <v>2.44</v>
      </c>
    </row>
    <row r="66" spans="1:12" x14ac:dyDescent="0.25">
      <c r="A66" t="s">
        <v>94</v>
      </c>
      <c r="B66">
        <f>(B61)*B65*(B63-B64)</f>
        <v>1324130.4715614463</v>
      </c>
      <c r="C66">
        <f>ROUND(B66,0)</f>
        <v>1324130</v>
      </c>
    </row>
    <row r="67" spans="1:12" x14ac:dyDescent="0.25">
      <c r="A67" t="s">
        <v>99</v>
      </c>
      <c r="B67">
        <f>(C66*10^3/(3.6*10^6))</f>
        <v>367.81388888888887</v>
      </c>
      <c r="C67">
        <f>ROUND(B67,0)</f>
        <v>368</v>
      </c>
    </row>
    <row r="68" spans="1:12" x14ac:dyDescent="0.25">
      <c r="A68" t="s">
        <v>95</v>
      </c>
      <c r="B68">
        <f>28</f>
        <v>28</v>
      </c>
    </row>
    <row r="69" spans="1:12" x14ac:dyDescent="0.25">
      <c r="A69" t="s">
        <v>96</v>
      </c>
      <c r="B69">
        <f>B68+C66/(B71*B70)</f>
        <v>52.269017746325858</v>
      </c>
      <c r="C69">
        <f>ROUND(B69,1)</f>
        <v>52.3</v>
      </c>
    </row>
    <row r="70" spans="1:12" x14ac:dyDescent="0.25">
      <c r="A70" t="s">
        <v>97</v>
      </c>
      <c r="B70">
        <f>13040.275</f>
        <v>13040.275</v>
      </c>
    </row>
    <row r="71" spans="1:12" x14ac:dyDescent="0.25">
      <c r="A71" t="s">
        <v>98</v>
      </c>
      <c r="B71">
        <f>4.184</f>
        <v>4.1840000000000002</v>
      </c>
    </row>
    <row r="73" spans="1:12" x14ac:dyDescent="0.25">
      <c r="A73" s="37" t="s">
        <v>80</v>
      </c>
    </row>
    <row r="74" spans="1:12" x14ac:dyDescent="0.25">
      <c r="A74" t="s">
        <v>102</v>
      </c>
      <c r="B74" s="36">
        <f>Anti_solvent!$D$11</f>
        <v>38.577268513253017</v>
      </c>
    </row>
    <row r="75" spans="1:12" x14ac:dyDescent="0.25">
      <c r="A75" t="s">
        <v>103</v>
      </c>
      <c r="B75">
        <f>B74*1000</f>
        <v>38577.268513253017</v>
      </c>
      <c r="C75">
        <f>ROUND(B75,0)</f>
        <v>38577</v>
      </c>
    </row>
    <row r="76" spans="1:12" x14ac:dyDescent="0.25">
      <c r="A76" t="s">
        <v>106</v>
      </c>
      <c r="B76">
        <f>Anti_solvent!I11/100</f>
        <v>0.31374019748445997</v>
      </c>
    </row>
    <row r="77" spans="1:12" x14ac:dyDescent="0.25">
      <c r="A77" t="s">
        <v>107</v>
      </c>
      <c r="B77">
        <f>1-B76</f>
        <v>0.68625980251553997</v>
      </c>
    </row>
    <row r="78" spans="1:12" x14ac:dyDescent="0.25">
      <c r="A78" t="s">
        <v>104</v>
      </c>
      <c r="B78" s="36">
        <f>Anti_solvent!D13</f>
        <v>11.546306867469884</v>
      </c>
      <c r="G78" s="38" t="s">
        <v>166</v>
      </c>
      <c r="H78" s="38" t="s">
        <v>167</v>
      </c>
      <c r="I78" s="38" t="s">
        <v>174</v>
      </c>
      <c r="J78" s="38" t="s">
        <v>173</v>
      </c>
      <c r="K78" s="38" t="s">
        <v>172</v>
      </c>
      <c r="L78" s="38" t="s">
        <v>175</v>
      </c>
    </row>
    <row r="79" spans="1:12" x14ac:dyDescent="0.25">
      <c r="A79" t="s">
        <v>105</v>
      </c>
      <c r="B79" s="36">
        <f>B78*1000</f>
        <v>11546.306867469884</v>
      </c>
      <c r="C79" s="36">
        <f>ROUND(B79,0)</f>
        <v>11546</v>
      </c>
      <c r="G79" s="24" t="s">
        <v>168</v>
      </c>
      <c r="H79" s="24">
        <f>125</f>
        <v>125</v>
      </c>
      <c r="I79" s="24">
        <f>0.125</f>
        <v>0.125</v>
      </c>
      <c r="J79" s="24">
        <f>(Anti_solvent!D9*Anti_solvent!G9/100)*1000*'Anti_Cost_Anal (2)'!Q2</f>
        <v>1600520.5695627427</v>
      </c>
      <c r="K79" s="24">
        <f>J79/J81*100</f>
        <v>96.499999999999986</v>
      </c>
      <c r="L79" s="24">
        <f>I79*J79</f>
        <v>200065.07119534284</v>
      </c>
    </row>
    <row r="80" spans="1:12" x14ac:dyDescent="0.25">
      <c r="A80" t="s">
        <v>108</v>
      </c>
      <c r="B80" s="36">
        <f>0.95</f>
        <v>0.95</v>
      </c>
      <c r="C80" s="36"/>
      <c r="G80" s="24" t="s">
        <v>169</v>
      </c>
      <c r="H80" s="24">
        <f>90</f>
        <v>90</v>
      </c>
      <c r="I80" s="24">
        <f>H80/1000</f>
        <v>0.09</v>
      </c>
      <c r="J80" s="24">
        <f>(Anti_solvent!D9*Anti_solvent!F9/100)*1000*'Anti_Cost_Anal (2)'!Q2</f>
        <v>58049.968844244628</v>
      </c>
      <c r="K80" s="24">
        <f>J80/J81*100</f>
        <v>3.500000000000004</v>
      </c>
      <c r="L80" s="24">
        <f>I80*J80</f>
        <v>5224.4971959820159</v>
      </c>
    </row>
    <row r="81" spans="1:13" x14ac:dyDescent="0.25">
      <c r="A81" t="s">
        <v>109</v>
      </c>
      <c r="B81" s="36">
        <f>1-B80</f>
        <v>5.0000000000000044E-2</v>
      </c>
      <c r="C81" s="36"/>
      <c r="G81" s="86" t="s">
        <v>170</v>
      </c>
      <c r="H81" s="87"/>
      <c r="J81" s="24">
        <f>SUM(J79:J80)</f>
        <v>1658570.5384069874</v>
      </c>
      <c r="L81" s="24">
        <f>SUM(L79:L80)</f>
        <v>205289.56839132486</v>
      </c>
    </row>
    <row r="82" spans="1:13" x14ac:dyDescent="0.25">
      <c r="A82" t="s">
        <v>110</v>
      </c>
      <c r="B82" s="36">
        <f>38.56</f>
        <v>38.56</v>
      </c>
      <c r="C82" s="36"/>
      <c r="G82" s="86" t="s">
        <v>170</v>
      </c>
      <c r="H82" s="87"/>
      <c r="J82" s="24">
        <f>ROUND(J81,0)</f>
        <v>1658571</v>
      </c>
      <c r="L82" s="24">
        <f>ROUND(L81,0)</f>
        <v>205290</v>
      </c>
    </row>
    <row r="83" spans="1:13" x14ac:dyDescent="0.25">
      <c r="A83" t="s">
        <v>111</v>
      </c>
      <c r="B83" s="36">
        <f>40.67</f>
        <v>40.67</v>
      </c>
      <c r="C83" s="36"/>
    </row>
    <row r="84" spans="1:13" x14ac:dyDescent="0.25">
      <c r="A84" t="s">
        <v>113</v>
      </c>
      <c r="B84" s="36">
        <f>28</f>
        <v>28</v>
      </c>
      <c r="C84" s="36"/>
    </row>
    <row r="85" spans="1:13" x14ac:dyDescent="0.25">
      <c r="A85" t="s">
        <v>100</v>
      </c>
      <c r="B85">
        <f>77</f>
        <v>77</v>
      </c>
    </row>
    <row r="86" spans="1:13" x14ac:dyDescent="0.25">
      <c r="A86" t="s">
        <v>101</v>
      </c>
      <c r="B86">
        <f>70</f>
        <v>70</v>
      </c>
      <c r="E86" s="79" t="s">
        <v>208</v>
      </c>
      <c r="F86" s="79"/>
      <c r="G86">
        <f>((L82)/(J82))</f>
        <v>0.12377522578171209</v>
      </c>
      <c r="H86">
        <f>ROUND(G86,2)</f>
        <v>0.12</v>
      </c>
      <c r="J86" s="37" t="s">
        <v>184</v>
      </c>
      <c r="K86">
        <f>(K88-K87)/25</f>
        <v>66857.419980000006</v>
      </c>
      <c r="L86" s="37">
        <f>(ROUND(K86,0))</f>
        <v>66857</v>
      </c>
      <c r="M86" t="s">
        <v>142</v>
      </c>
    </row>
    <row r="87" spans="1:13" x14ac:dyDescent="0.25">
      <c r="A87" t="s">
        <v>112</v>
      </c>
      <c r="B87">
        <f>B80*2.44+B81*4.184</f>
        <v>2.5272000000000001</v>
      </c>
      <c r="E87" s="79" t="s">
        <v>180</v>
      </c>
      <c r="F87" s="79"/>
      <c r="G87">
        <f>(F90)/J82</f>
        <v>3.5086251960271824</v>
      </c>
      <c r="H87">
        <f>ROUND(G87,2)</f>
        <v>3.51</v>
      </c>
      <c r="J87" t="s">
        <v>185</v>
      </c>
      <c r="K87">
        <f>0.1*F92</f>
        <v>185715.05550000002</v>
      </c>
    </row>
    <row r="88" spans="1:13" x14ac:dyDescent="0.25">
      <c r="A88" t="s">
        <v>114</v>
      </c>
      <c r="B88">
        <f>C75*B87*(B86-B84)</f>
        <v>4094655.3648000001</v>
      </c>
      <c r="E88" s="79" t="s">
        <v>210</v>
      </c>
      <c r="F88" s="79"/>
      <c r="G88">
        <f>D104</f>
        <v>4.28</v>
      </c>
      <c r="J88" t="s">
        <v>204</v>
      </c>
      <c r="K88">
        <f>F92</f>
        <v>1857150.5550000002</v>
      </c>
    </row>
    <row r="89" spans="1:13" x14ac:dyDescent="0.25">
      <c r="A89" t="s">
        <v>115</v>
      </c>
      <c r="B89">
        <f>C79*(B80*B82)+((1-B81)*(C79*B83))</f>
        <v>869050.10100000002</v>
      </c>
      <c r="E89" t="s">
        <v>179</v>
      </c>
      <c r="F89">
        <f>O62-F90</f>
        <v>813858</v>
      </c>
      <c r="J89" t="s">
        <v>186</v>
      </c>
      <c r="K89">
        <f>25</f>
        <v>25</v>
      </c>
    </row>
    <row r="90" spans="1:13" x14ac:dyDescent="0.25">
      <c r="A90" t="s">
        <v>116</v>
      </c>
      <c r="B90">
        <f>C79*(B82+B83)+(C75-C79)*B82</f>
        <v>1957104.9400000002</v>
      </c>
      <c r="E90" t="s">
        <v>177</v>
      </c>
      <c r="F90">
        <f>O37+O50+O30+O45</f>
        <v>5819304</v>
      </c>
    </row>
    <row r="91" spans="1:13" x14ac:dyDescent="0.25">
      <c r="A91" t="s">
        <v>117</v>
      </c>
      <c r="B91">
        <f>SUM(B88:B90)</f>
        <v>6920810.4058000008</v>
      </c>
      <c r="E91" t="s">
        <v>181</v>
      </c>
      <c r="F91">
        <f>(1.7*S12*10^6)</f>
        <v>1184673.8999999999</v>
      </c>
    </row>
    <row r="92" spans="1:13" x14ac:dyDescent="0.25">
      <c r="A92" t="s">
        <v>118</v>
      </c>
      <c r="B92">
        <f>(B91*10^3)/(3.6*10^6)</f>
        <v>1922.4473349444447</v>
      </c>
      <c r="C92">
        <f>ROUND(B92,0)</f>
        <v>1922</v>
      </c>
      <c r="E92" s="37" t="s">
        <v>178</v>
      </c>
      <c r="F92">
        <f>(S12*10^6)+(0.9*S12*10^6)+(0.45*F91)</f>
        <v>1857150.5550000002</v>
      </c>
    </row>
    <row r="93" spans="1:13" x14ac:dyDescent="0.25">
      <c r="E93" t="s">
        <v>182</v>
      </c>
      <c r="F93">
        <f>0.15*F92</f>
        <v>278572.58325000003</v>
      </c>
    </row>
    <row r="94" spans="1:13" x14ac:dyDescent="0.25">
      <c r="E94" s="37" t="s">
        <v>183</v>
      </c>
      <c r="F94">
        <f>SUM(F92:F93)</f>
        <v>2135723.1382500003</v>
      </c>
      <c r="G94" s="37">
        <f>ROUND(F94,0)</f>
        <v>2135723</v>
      </c>
      <c r="H94" t="s">
        <v>142</v>
      </c>
    </row>
    <row r="96" spans="1:13" x14ac:dyDescent="0.25">
      <c r="E96" s="37" t="s">
        <v>171</v>
      </c>
      <c r="F96">
        <f>(0.2*O30+0.2155*G94)</f>
        <v>636336.30649999995</v>
      </c>
      <c r="I96" s="79"/>
      <c r="J96" s="79"/>
      <c r="K96" s="79"/>
      <c r="L96" s="79"/>
      <c r="M96" s="79"/>
    </row>
    <row r="97" spans="1:8" x14ac:dyDescent="0.25">
      <c r="E97" s="26" t="s">
        <v>190</v>
      </c>
      <c r="F97" s="26">
        <f>L86+0.03*F92</f>
        <v>122571.51665000001</v>
      </c>
    </row>
    <row r="98" spans="1:8" x14ac:dyDescent="0.25">
      <c r="E98" s="25"/>
      <c r="F98" s="25"/>
    </row>
    <row r="99" spans="1:8" x14ac:dyDescent="0.25">
      <c r="E99" t="s">
        <v>191</v>
      </c>
      <c r="F99">
        <f>F97+F96+0.6*O30</f>
        <v>1287171.8231500001</v>
      </c>
    </row>
    <row r="100" spans="1:8" x14ac:dyDescent="0.25">
      <c r="E100" t="s">
        <v>176</v>
      </c>
      <c r="F100">
        <f>F99/(G88-G87)</f>
        <v>1668672.3710972522</v>
      </c>
      <c r="G100" t="s">
        <v>192</v>
      </c>
      <c r="H100" s="35" t="s">
        <v>209</v>
      </c>
    </row>
    <row r="102" spans="1:8" x14ac:dyDescent="0.25">
      <c r="E102" s="35"/>
      <c r="F102" s="35"/>
    </row>
    <row r="103" spans="1:8" x14ac:dyDescent="0.25">
      <c r="A103" s="81" t="s">
        <v>199</v>
      </c>
      <c r="B103" s="81"/>
      <c r="C103" s="81"/>
      <c r="D103" s="24">
        <v>4.2846974951883281</v>
      </c>
      <c r="E103">
        <f>J82*D103-(F103)</f>
        <v>-0.81385799869894981</v>
      </c>
      <c r="F103">
        <f>F99+G87*J82</f>
        <v>7106475.8231499996</v>
      </c>
    </row>
    <row r="104" spans="1:8" x14ac:dyDescent="0.25">
      <c r="D104">
        <f>ROUND(D103,2)</f>
        <v>4.28</v>
      </c>
    </row>
    <row r="106" spans="1:8" x14ac:dyDescent="0.25">
      <c r="A106" t="s">
        <v>205</v>
      </c>
      <c r="B106">
        <f>J82</f>
        <v>1658571</v>
      </c>
    </row>
    <row r="107" spans="1:8" x14ac:dyDescent="0.25">
      <c r="A107" t="s">
        <v>206</v>
      </c>
      <c r="B107">
        <f>H86</f>
        <v>0.12</v>
      </c>
    </row>
    <row r="108" spans="1:8" x14ac:dyDescent="0.25">
      <c r="A108" t="s">
        <v>207</v>
      </c>
      <c r="B108">
        <f>D104</f>
        <v>4.28</v>
      </c>
    </row>
  </sheetData>
  <mergeCells count="30">
    <mergeCell ref="C4:D4"/>
    <mergeCell ref="C1:D1"/>
    <mergeCell ref="Q1:S1"/>
    <mergeCell ref="C2:D2"/>
    <mergeCell ref="Q2:R2"/>
    <mergeCell ref="C3:D3"/>
    <mergeCell ref="I37:K37"/>
    <mergeCell ref="C5:D5"/>
    <mergeCell ref="C6:D6"/>
    <mergeCell ref="C7:D7"/>
    <mergeCell ref="C8:D8"/>
    <mergeCell ref="C9:D9"/>
    <mergeCell ref="A12:C12"/>
    <mergeCell ref="I12:K12"/>
    <mergeCell ref="O12:R12"/>
    <mergeCell ref="I14:K14"/>
    <mergeCell ref="I20:K20"/>
    <mergeCell ref="I30:K30"/>
    <mergeCell ref="A103:C103"/>
    <mergeCell ref="I45:K45"/>
    <mergeCell ref="I50:K50"/>
    <mergeCell ref="C51:F51"/>
    <mergeCell ref="I55:K55"/>
    <mergeCell ref="I62:K62"/>
    <mergeCell ref="G81:H81"/>
    <mergeCell ref="G82:H82"/>
    <mergeCell ref="E86:F86"/>
    <mergeCell ref="E87:F87"/>
    <mergeCell ref="E88:F88"/>
    <mergeCell ref="I96:M9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DFD5-40CD-4E4D-BB93-B6F34FA7046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7BD8-1C85-4A19-9988-5A219058BEC2}">
  <dimension ref="A2:Q35"/>
  <sheetViews>
    <sheetView topLeftCell="F1" workbookViewId="0">
      <selection activeCell="H22" sqref="H22"/>
    </sheetView>
  </sheetViews>
  <sheetFormatPr defaultRowHeight="15" x14ac:dyDescent="0.25"/>
  <cols>
    <col min="1" max="1" width="11" style="92" customWidth="1"/>
    <col min="2" max="2" width="10.85546875" style="92" customWidth="1"/>
    <col min="3" max="3" width="17.28515625" style="92" customWidth="1"/>
    <col min="4" max="6" width="9.140625" style="92"/>
    <col min="7" max="7" width="2.7109375" style="92" customWidth="1"/>
    <col min="8" max="8" width="9.140625" style="92"/>
    <col min="9" max="9" width="10.85546875" style="92" customWidth="1"/>
    <col min="10" max="10" width="12.7109375" style="92" customWidth="1"/>
    <col min="11" max="13" width="9.140625" style="92"/>
    <col min="14" max="14" width="10.5703125" style="92" customWidth="1"/>
    <col min="15" max="15" width="9.140625" style="92"/>
    <col min="16" max="16" width="14.42578125" style="92" customWidth="1"/>
    <col min="17" max="16384" width="9.140625" style="92"/>
  </cols>
  <sheetData>
    <row r="2" spans="1:15" x14ac:dyDescent="0.25">
      <c r="A2" s="92" t="s">
        <v>1009</v>
      </c>
    </row>
    <row r="3" spans="1:15" x14ac:dyDescent="0.25">
      <c r="A3" s="92" t="s">
        <v>1010</v>
      </c>
    </row>
    <row r="4" spans="1:15" x14ac:dyDescent="0.25">
      <c r="A4" s="92" t="s">
        <v>1011</v>
      </c>
      <c r="H4" s="186"/>
      <c r="I4" s="186"/>
      <c r="J4" s="186"/>
      <c r="K4" s="187"/>
      <c r="L4" s="187"/>
      <c r="M4" s="188"/>
      <c r="N4" s="185"/>
    </row>
    <row r="5" spans="1:15" x14ac:dyDescent="0.25">
      <c r="M5" s="189"/>
    </row>
    <row r="7" spans="1:15" x14ac:dyDescent="0.25">
      <c r="B7" s="154"/>
      <c r="C7" s="154"/>
      <c r="D7" s="154"/>
    </row>
    <row r="9" spans="1:15" x14ac:dyDescent="0.25">
      <c r="B9" s="154"/>
      <c r="C9" s="154"/>
      <c r="I9" s="181"/>
    </row>
    <row r="10" spans="1:15" x14ac:dyDescent="0.25">
      <c r="I10" s="181"/>
      <c r="J10" s="155"/>
      <c r="K10" s="155"/>
      <c r="L10" s="155"/>
      <c r="N10" s="154"/>
      <c r="O10" s="154"/>
    </row>
    <row r="11" spans="1:15" x14ac:dyDescent="0.25">
      <c r="B11" s="154"/>
      <c r="C11" s="154"/>
    </row>
    <row r="12" spans="1:15" x14ac:dyDescent="0.25">
      <c r="J12" s="154"/>
      <c r="K12" s="154"/>
    </row>
    <row r="13" spans="1:15" x14ac:dyDescent="0.25">
      <c r="A13" s="152" t="s">
        <v>1013</v>
      </c>
      <c r="B13" s="152"/>
      <c r="C13" s="153"/>
      <c r="D13" s="153"/>
      <c r="E13" s="153"/>
    </row>
    <row r="14" spans="1:15" x14ac:dyDescent="0.25">
      <c r="A14" s="153" t="s">
        <v>1014</v>
      </c>
      <c r="B14" s="153" t="s">
        <v>1012</v>
      </c>
      <c r="C14" s="153"/>
      <c r="D14" s="153"/>
      <c r="E14" s="153"/>
    </row>
    <row r="15" spans="1:15" x14ac:dyDescent="0.25">
      <c r="A15" s="153" t="s">
        <v>1015</v>
      </c>
      <c r="B15" s="153"/>
      <c r="C15" s="153"/>
      <c r="D15" s="153"/>
      <c r="E15" s="153"/>
    </row>
    <row r="16" spans="1:15" x14ac:dyDescent="0.25">
      <c r="A16" s="153" t="s">
        <v>1016</v>
      </c>
      <c r="B16" s="153"/>
      <c r="C16" s="153"/>
      <c r="D16" s="153"/>
      <c r="E16" s="153"/>
    </row>
    <row r="17" spans="1:17" x14ac:dyDescent="0.25">
      <c r="A17" s="153"/>
      <c r="B17" s="153"/>
      <c r="C17" s="153"/>
      <c r="D17" s="153"/>
      <c r="E17" s="153"/>
    </row>
    <row r="18" spans="1:17" x14ac:dyDescent="0.25">
      <c r="A18" s="152" t="s">
        <v>1017</v>
      </c>
      <c r="B18" s="152"/>
      <c r="C18" s="153" t="s">
        <v>1018</v>
      </c>
      <c r="D18" s="153">
        <f>10.378</f>
        <v>10.378</v>
      </c>
      <c r="E18" s="153"/>
      <c r="I18" s="152" t="s">
        <v>1011</v>
      </c>
      <c r="J18" s="152"/>
      <c r="K18" s="152"/>
      <c r="L18" s="152"/>
      <c r="M18" s="152"/>
      <c r="N18" s="152"/>
    </row>
    <row r="19" spans="1:17" x14ac:dyDescent="0.25">
      <c r="A19" s="152" t="s">
        <v>1019</v>
      </c>
      <c r="B19" s="152"/>
      <c r="C19" s="152"/>
      <c r="D19" s="153" t="s">
        <v>1020</v>
      </c>
      <c r="E19" s="153">
        <f>28</f>
        <v>28</v>
      </c>
      <c r="I19" s="172" t="s">
        <v>1021</v>
      </c>
      <c r="J19" s="173"/>
      <c r="K19" s="174"/>
      <c r="L19" s="153" t="s">
        <v>1022</v>
      </c>
      <c r="M19" s="153"/>
      <c r="N19" s="175">
        <f>M20*L23*M22</f>
        <v>71481.169374999998</v>
      </c>
      <c r="O19" s="176" t="s">
        <v>1023</v>
      </c>
      <c r="P19" s="177"/>
      <c r="Q19" s="177"/>
    </row>
    <row r="20" spans="1:17" x14ac:dyDescent="0.25">
      <c r="A20" s="153" t="s">
        <v>1024</v>
      </c>
      <c r="B20" s="153"/>
      <c r="C20" s="153"/>
      <c r="D20" s="153" t="s">
        <v>1025</v>
      </c>
      <c r="E20" s="153">
        <f>76.9</f>
        <v>76.900000000000006</v>
      </c>
      <c r="I20" s="157"/>
      <c r="J20" s="157"/>
      <c r="K20" s="153"/>
      <c r="L20" s="153" t="s">
        <v>1026</v>
      </c>
      <c r="M20" s="153">
        <f>(M21*1000)*1/24</f>
        <v>481.25</v>
      </c>
      <c r="N20" s="153"/>
      <c r="O20" s="114"/>
      <c r="P20" s="114"/>
      <c r="Q20" s="114"/>
    </row>
    <row r="21" spans="1:17" x14ac:dyDescent="0.25">
      <c r="A21" s="152" t="s">
        <v>1027</v>
      </c>
      <c r="B21" s="152"/>
      <c r="C21" s="153"/>
      <c r="D21" s="153" t="s">
        <v>1028</v>
      </c>
      <c r="E21" s="153">
        <f>94.7</f>
        <v>94.7</v>
      </c>
      <c r="I21" s="152" t="s">
        <v>1029</v>
      </c>
      <c r="J21" s="152"/>
      <c r="K21" s="152"/>
      <c r="L21" s="153" t="s">
        <v>866</v>
      </c>
      <c r="M21" s="171">
        <f>11.55</f>
        <v>11.55</v>
      </c>
      <c r="N21" s="153"/>
    </row>
    <row r="22" spans="1:17" ht="60" x14ac:dyDescent="0.25">
      <c r="A22" s="153" t="s">
        <v>1030</v>
      </c>
      <c r="B22" s="153">
        <f>2.57</f>
        <v>2.57</v>
      </c>
      <c r="C22" s="153" t="s">
        <v>1031</v>
      </c>
      <c r="D22" s="153">
        <f>40.7</f>
        <v>40.700000000000003</v>
      </c>
      <c r="E22" s="153"/>
      <c r="I22" s="152" t="s">
        <v>1032</v>
      </c>
      <c r="J22" s="152"/>
      <c r="K22" s="152"/>
      <c r="L22" s="153" t="s">
        <v>1033</v>
      </c>
      <c r="M22" s="153">
        <f>J24-J25</f>
        <v>46.900000000000006</v>
      </c>
      <c r="N22" s="169" t="s">
        <v>1034</v>
      </c>
    </row>
    <row r="23" spans="1:17" x14ac:dyDescent="0.25">
      <c r="A23" s="153" t="s">
        <v>1035</v>
      </c>
      <c r="B23" s="153">
        <f>118.4</f>
        <v>118.4</v>
      </c>
      <c r="C23" s="153"/>
      <c r="D23" s="153"/>
      <c r="E23" s="153"/>
      <c r="I23" s="152" t="s">
        <v>1036</v>
      </c>
      <c r="J23" s="152"/>
      <c r="K23" s="152"/>
      <c r="L23" s="153">
        <f>3.167</f>
        <v>3.1669999999999998</v>
      </c>
      <c r="M23" s="153"/>
      <c r="N23" s="153"/>
    </row>
    <row r="24" spans="1:17" x14ac:dyDescent="0.25">
      <c r="A24" s="153"/>
      <c r="B24" s="153"/>
      <c r="C24" s="153"/>
      <c r="D24" s="153"/>
      <c r="E24" s="153"/>
      <c r="I24" s="153" t="s">
        <v>77</v>
      </c>
      <c r="J24" s="153">
        <f>76.9</f>
        <v>76.900000000000006</v>
      </c>
      <c r="K24" s="153"/>
      <c r="L24" s="153"/>
      <c r="M24" s="153"/>
      <c r="N24" s="153"/>
    </row>
    <row r="25" spans="1:17" x14ac:dyDescent="0.25">
      <c r="A25" s="178" t="s">
        <v>1037</v>
      </c>
      <c r="B25" s="178">
        <f>D18*(D22+(B23*(E20-E19)))</f>
        <v>60508.513880000013</v>
      </c>
      <c r="C25" s="153"/>
      <c r="D25" s="153"/>
      <c r="E25" s="153"/>
      <c r="I25" s="153" t="s">
        <v>1038</v>
      </c>
      <c r="J25" s="153">
        <f>30</f>
        <v>30</v>
      </c>
      <c r="K25" s="153"/>
      <c r="L25" s="153"/>
      <c r="M25" s="153"/>
      <c r="N25" s="153"/>
    </row>
    <row r="26" spans="1:17" x14ac:dyDescent="0.25">
      <c r="A26" s="153"/>
      <c r="B26" s="153"/>
      <c r="C26" s="153"/>
      <c r="D26" s="153"/>
      <c r="E26" s="153"/>
    </row>
    <row r="27" spans="1:17" x14ac:dyDescent="0.25">
      <c r="A27" s="153"/>
      <c r="B27" s="153"/>
      <c r="C27" s="153"/>
      <c r="D27" s="153"/>
      <c r="E27" s="153"/>
      <c r="M27" s="153" t="s">
        <v>272</v>
      </c>
      <c r="N27" s="153" t="s">
        <v>1039</v>
      </c>
      <c r="O27" s="153" t="s">
        <v>1040</v>
      </c>
      <c r="Q27" s="92" t="s">
        <v>1040</v>
      </c>
    </row>
    <row r="28" spans="1:17" x14ac:dyDescent="0.25">
      <c r="A28" s="153" t="s">
        <v>1041</v>
      </c>
      <c r="B28" s="153"/>
      <c r="C28" s="153" t="s">
        <v>1042</v>
      </c>
      <c r="D28" s="153">
        <f>901.2</f>
        <v>901.2</v>
      </c>
      <c r="E28" s="153"/>
      <c r="M28" s="153" t="s">
        <v>1013</v>
      </c>
      <c r="N28" s="153">
        <f>B25</f>
        <v>60508.513880000013</v>
      </c>
      <c r="O28" s="153">
        <f>0.28*N28</f>
        <v>16942.383886400006</v>
      </c>
      <c r="P28" s="179">
        <f>SUM(O28:O29)</f>
        <v>33955.238172800011</v>
      </c>
      <c r="Q28" s="165">
        <f>P28*1</f>
        <v>33955.238172800011</v>
      </c>
    </row>
    <row r="29" spans="1:17" x14ac:dyDescent="0.25">
      <c r="A29" s="152" t="s">
        <v>1043</v>
      </c>
      <c r="B29" s="152"/>
      <c r="C29" s="153" t="s">
        <v>1044</v>
      </c>
      <c r="D29" s="153">
        <f>50.011</f>
        <v>50.011000000000003</v>
      </c>
      <c r="E29" s="153"/>
      <c r="M29" s="153" t="s">
        <v>1045</v>
      </c>
      <c r="N29" s="153">
        <f>B33</f>
        <v>60760.193880000013</v>
      </c>
      <c r="O29" s="153">
        <f t="shared" ref="O29:O30" si="0">0.28*N29</f>
        <v>17012.854286400005</v>
      </c>
      <c r="P29" s="180"/>
      <c r="Q29" s="165"/>
    </row>
    <row r="30" spans="1:17" x14ac:dyDescent="0.25">
      <c r="A30" s="153" t="s">
        <v>1046</v>
      </c>
      <c r="B30" s="153">
        <f>D28*4.187*(E21-E19)</f>
        <v>251680.73748000004</v>
      </c>
      <c r="C30" s="153"/>
      <c r="D30" s="153"/>
      <c r="E30" s="153"/>
      <c r="M30" s="153" t="s">
        <v>1011</v>
      </c>
      <c r="N30" s="153">
        <f>78.9</f>
        <v>78.900000000000006</v>
      </c>
      <c r="O30" s="153">
        <f t="shared" si="0"/>
        <v>22.092000000000002</v>
      </c>
      <c r="Q30" s="92">
        <f>O30*1</f>
        <v>22.092000000000002</v>
      </c>
    </row>
    <row r="31" spans="1:17" x14ac:dyDescent="0.25">
      <c r="A31" s="153" t="s">
        <v>1047</v>
      </c>
      <c r="B31" s="153">
        <f>251.68</f>
        <v>251.68</v>
      </c>
      <c r="C31" s="153"/>
      <c r="D31" s="153"/>
      <c r="E31" s="153"/>
      <c r="M31" s="153" t="s">
        <v>929</v>
      </c>
      <c r="N31" s="153">
        <f>71.5</f>
        <v>71.5</v>
      </c>
      <c r="O31" s="153">
        <f>0.28*N31</f>
        <v>20.020000000000003</v>
      </c>
      <c r="Q31" s="92">
        <f>O31*1</f>
        <v>20.020000000000003</v>
      </c>
    </row>
    <row r="32" spans="1:17" x14ac:dyDescent="0.25">
      <c r="A32" s="153"/>
      <c r="B32" s="153"/>
      <c r="C32" s="153"/>
      <c r="D32" s="153"/>
      <c r="E32" s="153"/>
    </row>
    <row r="33" spans="1:17" x14ac:dyDescent="0.25">
      <c r="A33" s="178" t="s">
        <v>1048</v>
      </c>
      <c r="B33" s="178">
        <f>B25+B31</f>
        <v>60760.193880000013</v>
      </c>
      <c r="C33" s="153"/>
      <c r="D33" s="153"/>
      <c r="E33" s="153"/>
      <c r="Q33" s="181"/>
    </row>
    <row r="34" spans="1:17" x14ac:dyDescent="0.25">
      <c r="A34" s="153"/>
      <c r="B34" s="153"/>
      <c r="C34" s="153"/>
      <c r="D34" s="153"/>
      <c r="E34" s="153"/>
      <c r="H34" s="182" t="s">
        <v>1049</v>
      </c>
      <c r="I34" s="182"/>
      <c r="J34" s="182"/>
      <c r="K34" s="183">
        <f>SUM(N28:N31)</f>
        <v>121419.10776000001</v>
      </c>
    </row>
    <row r="35" spans="1:17" x14ac:dyDescent="0.25">
      <c r="J35" s="184" t="s">
        <v>1050</v>
      </c>
      <c r="K35" s="184">
        <f>0.28*K34</f>
        <v>33997.350172800005</v>
      </c>
    </row>
  </sheetData>
  <mergeCells count="20">
    <mergeCell ref="H34:J34"/>
    <mergeCell ref="A21:B21"/>
    <mergeCell ref="I21:K21"/>
    <mergeCell ref="I22:K22"/>
    <mergeCell ref="I23:K23"/>
    <mergeCell ref="P28:P29"/>
    <mergeCell ref="Q28:Q29"/>
    <mergeCell ref="A29:B29"/>
    <mergeCell ref="J12:K12"/>
    <mergeCell ref="A13:B13"/>
    <mergeCell ref="A18:B18"/>
    <mergeCell ref="I18:N18"/>
    <mergeCell ref="A19:C19"/>
    <mergeCell ref="I19:K19"/>
    <mergeCell ref="H4:J4"/>
    <mergeCell ref="K4:L4"/>
    <mergeCell ref="B7:D7"/>
    <mergeCell ref="B9:C9"/>
    <mergeCell ref="N10:O10"/>
    <mergeCell ref="B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3B58-1C07-4D0E-A299-EA55FECC7E8B}">
  <dimension ref="A1:Q30"/>
  <sheetViews>
    <sheetView zoomScale="67" zoomScaleNormal="80" workbookViewId="0">
      <selection activeCell="F23" sqref="F23"/>
    </sheetView>
  </sheetViews>
  <sheetFormatPr defaultRowHeight="15" x14ac:dyDescent="0.25"/>
  <cols>
    <col min="1" max="1" width="10.140625" bestFit="1" customWidth="1"/>
    <col min="2" max="2" width="26.5703125" customWidth="1"/>
    <col min="3" max="3" width="11.85546875" bestFit="1" customWidth="1"/>
    <col min="4" max="4" width="13.140625" bestFit="1" customWidth="1"/>
    <col min="11" max="11" width="31" customWidth="1"/>
    <col min="12" max="12" width="15.7109375" customWidth="1"/>
    <col min="13" max="13" width="14.28515625" customWidth="1"/>
    <col min="14" max="14" width="17" customWidth="1"/>
    <col min="15" max="15" width="16.85546875" customWidth="1"/>
    <col min="16" max="16" width="13.5703125" customWidth="1"/>
  </cols>
  <sheetData>
    <row r="1" spans="1:17" ht="15.75" thickBot="1" x14ac:dyDescent="0.3">
      <c r="A1" s="43"/>
      <c r="B1" s="43"/>
      <c r="C1" s="43"/>
      <c r="D1" s="43"/>
      <c r="E1" s="43"/>
      <c r="F1" s="43"/>
      <c r="G1" s="43"/>
      <c r="H1" s="43"/>
      <c r="I1" s="43"/>
      <c r="J1" s="43"/>
    </row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44" t="s">
        <v>8</v>
      </c>
      <c r="J2" s="45"/>
      <c r="K2" s="25" t="s">
        <v>9</v>
      </c>
      <c r="L2" s="25" t="s">
        <v>5</v>
      </c>
      <c r="M2" s="25" t="s">
        <v>6</v>
      </c>
      <c r="N2" s="25" t="s">
        <v>10</v>
      </c>
      <c r="O2" s="25" t="s">
        <v>11</v>
      </c>
      <c r="P2" s="25" t="s">
        <v>44</v>
      </c>
      <c r="Q2" s="25" t="s">
        <v>12</v>
      </c>
    </row>
    <row r="3" spans="1:17" x14ac:dyDescent="0.25">
      <c r="A3" s="3"/>
      <c r="B3" s="45"/>
      <c r="C3" s="45"/>
      <c r="D3" s="45" t="s">
        <v>13</v>
      </c>
      <c r="E3" s="45"/>
      <c r="F3" s="45" t="s">
        <v>14</v>
      </c>
      <c r="G3" s="45" t="s">
        <v>14</v>
      </c>
      <c r="H3" s="45" t="s">
        <v>14</v>
      </c>
      <c r="I3" s="4" t="s">
        <v>14</v>
      </c>
      <c r="J3" s="45"/>
      <c r="K3" s="25" t="s">
        <v>15</v>
      </c>
      <c r="L3" s="25">
        <v>2170</v>
      </c>
      <c r="M3" s="25">
        <v>2680</v>
      </c>
      <c r="N3" s="25">
        <v>1000</v>
      </c>
      <c r="O3" s="25">
        <v>790</v>
      </c>
      <c r="P3" s="25">
        <v>790</v>
      </c>
      <c r="Q3" s="25">
        <v>1110</v>
      </c>
    </row>
    <row r="4" spans="1:17" x14ac:dyDescent="0.25">
      <c r="A4" s="5">
        <v>1</v>
      </c>
      <c r="B4" s="54" t="s">
        <v>16</v>
      </c>
      <c r="C4" s="54" t="s">
        <v>17</v>
      </c>
      <c r="D4" s="54">
        <v>31.5</v>
      </c>
      <c r="E4" s="54">
        <v>1.2450000000000001</v>
      </c>
      <c r="F4" s="54">
        <v>10</v>
      </c>
      <c r="G4" s="47">
        <v>16.738955823293171</v>
      </c>
      <c r="H4" s="47">
        <v>73.261044176706832</v>
      </c>
      <c r="I4" s="6">
        <v>0</v>
      </c>
      <c r="J4" s="46"/>
      <c r="K4" s="25" t="s">
        <v>18</v>
      </c>
      <c r="L4" s="25">
        <v>58.44</v>
      </c>
      <c r="M4" s="25">
        <v>142.04</v>
      </c>
      <c r="N4" s="25">
        <v>18.010000000000002</v>
      </c>
      <c r="O4" s="25">
        <v>46.07</v>
      </c>
      <c r="P4" s="25">
        <v>32.04</v>
      </c>
      <c r="Q4" s="25">
        <v>78.14</v>
      </c>
    </row>
    <row r="5" spans="1:17" ht="15.75" thickBot="1" x14ac:dyDescent="0.3">
      <c r="A5" s="5">
        <v>2</v>
      </c>
      <c r="B5" s="54" t="s">
        <v>19</v>
      </c>
      <c r="C5" s="54" t="s">
        <v>17</v>
      </c>
      <c r="D5" s="54">
        <v>31.5</v>
      </c>
      <c r="E5" s="55">
        <v>1.2450000000000001</v>
      </c>
      <c r="F5" s="54">
        <v>10</v>
      </c>
      <c r="G5" s="47">
        <v>16.738955823293171</v>
      </c>
      <c r="H5" s="47">
        <v>73.261044176706832</v>
      </c>
      <c r="I5" s="6">
        <v>0</v>
      </c>
      <c r="J5" s="46"/>
      <c r="K5" s="25"/>
      <c r="L5" s="25"/>
      <c r="M5" s="25"/>
      <c r="N5" s="25"/>
      <c r="O5" s="25"/>
      <c r="P5" s="25"/>
      <c r="Q5" s="25"/>
    </row>
    <row r="6" spans="1:17" x14ac:dyDescent="0.25">
      <c r="A6" s="5">
        <v>3</v>
      </c>
      <c r="B6" s="54" t="s">
        <v>20</v>
      </c>
      <c r="C6" s="54" t="s">
        <v>8</v>
      </c>
      <c r="D6" s="47">
        <v>12.154007228915667</v>
      </c>
      <c r="E6" s="54">
        <v>0.79</v>
      </c>
      <c r="F6" s="47">
        <v>0</v>
      </c>
      <c r="G6" s="54">
        <v>0</v>
      </c>
      <c r="H6" s="47">
        <v>0</v>
      </c>
      <c r="I6" s="6">
        <v>100</v>
      </c>
      <c r="J6" s="46"/>
      <c r="K6" s="7" t="s">
        <v>8</v>
      </c>
      <c r="L6" s="7" t="s">
        <v>11</v>
      </c>
      <c r="M6" s="8"/>
      <c r="N6" s="25"/>
      <c r="O6" s="25"/>
      <c r="P6" s="25"/>
      <c r="Q6" s="25"/>
    </row>
    <row r="7" spans="1:17" x14ac:dyDescent="0.25">
      <c r="A7" s="5">
        <v>4</v>
      </c>
      <c r="B7" s="54" t="s">
        <v>21</v>
      </c>
      <c r="C7" s="54" t="s">
        <v>22</v>
      </c>
      <c r="D7" s="47">
        <v>43.654007228915667</v>
      </c>
      <c r="E7" s="47">
        <v>1.1183203744582331</v>
      </c>
      <c r="F7" s="47">
        <v>7.2158324056754495</v>
      </c>
      <c r="G7" s="47">
        <v>12.078549986688863</v>
      </c>
      <c r="H7" s="47">
        <v>52.86394166439019</v>
      </c>
      <c r="I7" s="9">
        <v>27.841675943245502</v>
      </c>
      <c r="J7" s="47"/>
      <c r="K7" t="s">
        <v>23</v>
      </c>
      <c r="L7">
        <v>0.4</v>
      </c>
      <c r="M7" s="10"/>
    </row>
    <row r="8" spans="1:17" x14ac:dyDescent="0.25">
      <c r="A8" s="5">
        <v>5</v>
      </c>
      <c r="B8" s="54" t="s">
        <v>24</v>
      </c>
      <c r="C8" s="54" t="s">
        <v>22</v>
      </c>
      <c r="D8" s="47">
        <v>43.654007228915667</v>
      </c>
      <c r="E8" s="47">
        <v>1.1183203744582331</v>
      </c>
      <c r="F8" s="47">
        <v>7.2158324056754495</v>
      </c>
      <c r="G8" s="47">
        <v>12.078549986688863</v>
      </c>
      <c r="H8" s="47">
        <v>52.86394166439019</v>
      </c>
      <c r="I8" s="11">
        <v>27.841675943245502</v>
      </c>
      <c r="J8" s="48"/>
      <c r="K8" t="s">
        <v>25</v>
      </c>
      <c r="L8">
        <v>90</v>
      </c>
      <c r="M8" s="10"/>
    </row>
    <row r="9" spans="1:17" x14ac:dyDescent="0.25">
      <c r="A9" s="12">
        <v>6</v>
      </c>
      <c r="B9" s="54" t="s">
        <v>28</v>
      </c>
      <c r="C9" s="56" t="s">
        <v>29</v>
      </c>
      <c r="D9" s="48">
        <v>5.0767387156626498</v>
      </c>
      <c r="E9" s="46" t="s">
        <v>30</v>
      </c>
      <c r="F9" s="57">
        <v>3.4650000000000034</v>
      </c>
      <c r="G9" s="57">
        <v>95.534999999999997</v>
      </c>
      <c r="H9" s="46">
        <v>0</v>
      </c>
      <c r="I9" s="6">
        <v>1</v>
      </c>
      <c r="J9" s="48"/>
      <c r="K9" t="s">
        <v>26</v>
      </c>
      <c r="L9">
        <v>22.3</v>
      </c>
      <c r="M9" s="10"/>
    </row>
    <row r="10" spans="1:17" x14ac:dyDescent="0.25">
      <c r="A10" s="12">
        <v>7</v>
      </c>
      <c r="B10" s="46" t="s">
        <v>32</v>
      </c>
      <c r="C10" s="46" t="s">
        <v>17</v>
      </c>
      <c r="D10" s="48">
        <v>38.577268513253017</v>
      </c>
      <c r="E10" s="48">
        <v>1.1183203744582331</v>
      </c>
      <c r="F10" s="48">
        <v>7.7094390508248551</v>
      </c>
      <c r="G10" s="48">
        <v>1.0957456777527337</v>
      </c>
      <c r="H10" s="48">
        <v>59.820795522976425</v>
      </c>
      <c r="I10" s="11">
        <v>31.374019748445992</v>
      </c>
      <c r="J10" s="48"/>
      <c r="K10" t="s">
        <v>27</v>
      </c>
      <c r="L10">
        <v>5.2727710843373483</v>
      </c>
      <c r="M10" s="10"/>
    </row>
    <row r="11" spans="1:17" x14ac:dyDescent="0.25">
      <c r="A11" s="12">
        <v>8</v>
      </c>
      <c r="B11" s="46" t="s">
        <v>193</v>
      </c>
      <c r="C11" s="46" t="s">
        <v>17</v>
      </c>
      <c r="D11" s="49">
        <v>38.577268513253017</v>
      </c>
      <c r="E11" s="49">
        <v>1.1183203744582331</v>
      </c>
      <c r="F11" s="49">
        <v>7.7094390508248551</v>
      </c>
      <c r="G11" s="49">
        <v>1.0957456777527337</v>
      </c>
      <c r="H11" s="49">
        <v>59.820795522976425</v>
      </c>
      <c r="I11" s="14">
        <v>31.374019748445999</v>
      </c>
      <c r="J11" s="46"/>
      <c r="K11" t="s">
        <v>31</v>
      </c>
      <c r="L11">
        <v>4.7454939759036137</v>
      </c>
      <c r="M11" s="10"/>
    </row>
    <row r="12" spans="1:17" x14ac:dyDescent="0.25">
      <c r="A12" s="12">
        <v>9</v>
      </c>
      <c r="B12" s="46" t="s">
        <v>39</v>
      </c>
      <c r="C12" s="46" t="s">
        <v>17</v>
      </c>
      <c r="D12" s="58">
        <v>27.030961645783133</v>
      </c>
      <c r="E12" s="58">
        <v>1.2450000000000001</v>
      </c>
      <c r="F12" s="58">
        <v>11.002534954083853</v>
      </c>
      <c r="G12" s="58">
        <v>1.5637947249833761</v>
      </c>
      <c r="H12" s="58">
        <v>85.373318263957259</v>
      </c>
      <c r="I12" s="59">
        <v>2.0603520569755034</v>
      </c>
      <c r="J12" s="48"/>
      <c r="K12" t="s">
        <v>33</v>
      </c>
      <c r="L12">
        <v>3.15</v>
      </c>
      <c r="M12" s="10"/>
    </row>
    <row r="13" spans="1:17" x14ac:dyDescent="0.25">
      <c r="A13" s="12">
        <v>10</v>
      </c>
      <c r="B13" s="46" t="s">
        <v>41</v>
      </c>
      <c r="C13" s="46" t="s">
        <v>8</v>
      </c>
      <c r="D13" s="48">
        <v>11.546306867469884</v>
      </c>
      <c r="E13" s="46">
        <v>0.79</v>
      </c>
      <c r="F13" s="57">
        <v>0</v>
      </c>
      <c r="G13" s="57">
        <v>0</v>
      </c>
      <c r="H13" s="48">
        <v>0</v>
      </c>
      <c r="I13" s="6">
        <v>100</v>
      </c>
      <c r="J13" s="46"/>
      <c r="K13" t="s">
        <v>35</v>
      </c>
      <c r="L13">
        <v>0.28098000000000001</v>
      </c>
      <c r="M13" s="10"/>
    </row>
    <row r="14" spans="1:17" x14ac:dyDescent="0.25">
      <c r="A14" s="12">
        <v>11</v>
      </c>
      <c r="B14" s="46" t="s">
        <v>42</v>
      </c>
      <c r="C14" s="25" t="s">
        <v>8</v>
      </c>
      <c r="D14" s="49">
        <v>11.546306867469884</v>
      </c>
      <c r="E14" s="25">
        <v>0.79</v>
      </c>
      <c r="F14" s="58">
        <v>0</v>
      </c>
      <c r="G14" s="58">
        <v>0</v>
      </c>
      <c r="H14" s="49">
        <v>0</v>
      </c>
      <c r="I14" s="13">
        <v>100</v>
      </c>
      <c r="J14" s="25"/>
      <c r="K14" t="s">
        <v>37</v>
      </c>
      <c r="L14">
        <v>96.5</v>
      </c>
      <c r="M14" s="10"/>
    </row>
    <row r="15" spans="1:17" ht="15.75" thickBot="1" x14ac:dyDescent="0.3">
      <c r="A15" s="50">
        <v>12</v>
      </c>
      <c r="B15" s="51" t="s">
        <v>43</v>
      </c>
      <c r="C15" s="18" t="s">
        <v>8</v>
      </c>
      <c r="D15" s="17">
        <v>0.60770036144578299</v>
      </c>
      <c r="E15" s="17">
        <v>0.79</v>
      </c>
      <c r="F15" s="17">
        <v>0</v>
      </c>
      <c r="G15" s="17">
        <v>0</v>
      </c>
      <c r="H15" s="17">
        <v>0</v>
      </c>
      <c r="I15" s="60">
        <v>100</v>
      </c>
      <c r="J15" s="49"/>
      <c r="K15" t="s">
        <v>38</v>
      </c>
      <c r="L15">
        <v>1</v>
      </c>
      <c r="M15" s="10"/>
    </row>
    <row r="16" spans="1:17" x14ac:dyDescent="0.25">
      <c r="A16" s="46"/>
      <c r="C16" s="25"/>
      <c r="D16" s="49"/>
      <c r="E16" s="49"/>
      <c r="F16" s="49"/>
      <c r="G16" s="49"/>
      <c r="H16" s="49"/>
      <c r="I16" s="49"/>
      <c r="J16" s="49"/>
      <c r="K16" t="s">
        <v>40</v>
      </c>
      <c r="L16">
        <v>95</v>
      </c>
      <c r="M16" s="10"/>
    </row>
    <row r="17" spans="1:17" ht="15.75" thickBot="1" x14ac:dyDescent="0.3">
      <c r="A17" s="46"/>
      <c r="C17" s="25"/>
      <c r="D17" s="49"/>
      <c r="E17" s="25"/>
      <c r="F17" s="25"/>
      <c r="G17" s="25"/>
      <c r="H17" s="25"/>
      <c r="I17" s="25"/>
      <c r="J17" s="25"/>
      <c r="K17" s="15"/>
      <c r="L17" s="15"/>
      <c r="M17" s="16"/>
    </row>
    <row r="18" spans="1:17" ht="15.75" thickBot="1" x14ac:dyDescent="0.3">
      <c r="A18" s="46"/>
      <c r="C18" s="25"/>
      <c r="D18" s="49"/>
      <c r="E18" s="25"/>
      <c r="F18" s="25"/>
      <c r="G18" s="25"/>
      <c r="H18" s="25"/>
      <c r="I18" s="25"/>
      <c r="J18" s="25"/>
    </row>
    <row r="19" spans="1:17" x14ac:dyDescent="0.25">
      <c r="A19" s="46"/>
      <c r="C19" s="25"/>
      <c r="D19" s="49"/>
      <c r="E19" s="25"/>
      <c r="F19" s="25"/>
      <c r="G19" s="25"/>
      <c r="H19" s="25"/>
      <c r="I19" s="25"/>
      <c r="J19" s="25"/>
      <c r="K19" s="7"/>
      <c r="L19" s="61" t="s">
        <v>6</v>
      </c>
      <c r="M19" s="61" t="s">
        <v>5</v>
      </c>
      <c r="N19" s="61" t="s">
        <v>6</v>
      </c>
      <c r="O19" s="61" t="s">
        <v>5</v>
      </c>
      <c r="P19" s="61" t="s">
        <v>6</v>
      </c>
      <c r="Q19" s="62" t="s">
        <v>5</v>
      </c>
    </row>
    <row r="20" spans="1:17" x14ac:dyDescent="0.25">
      <c r="B20">
        <f>D4*1000</f>
        <v>31500</v>
      </c>
      <c r="D20">
        <f>B20*330</f>
        <v>10395000</v>
      </c>
      <c r="K20" s="52" t="s">
        <v>23</v>
      </c>
      <c r="L20" s="25" t="s">
        <v>11</v>
      </c>
      <c r="M20" s="25" t="s">
        <v>11</v>
      </c>
      <c r="N20" s="25" t="s">
        <v>44</v>
      </c>
      <c r="O20" s="25" t="s">
        <v>44</v>
      </c>
      <c r="P20" s="25" t="s">
        <v>12</v>
      </c>
      <c r="Q20" s="13" t="s">
        <v>12</v>
      </c>
    </row>
    <row r="21" spans="1:17" x14ac:dyDescent="0.25">
      <c r="B21">
        <f>(F4/100)*D4*1000</f>
        <v>3150.0000000000005</v>
      </c>
      <c r="C21">
        <f>B21/B20</f>
        <v>0.10000000000000002</v>
      </c>
      <c r="D21">
        <f>B21*330</f>
        <v>1039500.0000000001</v>
      </c>
      <c r="K21" s="52">
        <v>0.2</v>
      </c>
      <c r="L21" s="25">
        <v>57.2</v>
      </c>
      <c r="M21" s="25">
        <v>11.1</v>
      </c>
      <c r="N21" s="25">
        <v>50</v>
      </c>
      <c r="O21" s="25">
        <v>13.5</v>
      </c>
      <c r="P21" s="25">
        <v>58</v>
      </c>
      <c r="Q21" s="13">
        <v>6</v>
      </c>
    </row>
    <row r="22" spans="1:17" x14ac:dyDescent="0.25">
      <c r="B22">
        <f>(G4/100)*D4*1000</f>
        <v>5272.7710843373488</v>
      </c>
      <c r="C22">
        <f t="shared" ref="C22:C23" si="0">B22/B21</f>
        <v>1.6738955823293169</v>
      </c>
      <c r="D22">
        <f t="shared" ref="D22:D23" si="1">B22*330</f>
        <v>1740014.457831325</v>
      </c>
      <c r="K22" s="63">
        <v>0.3</v>
      </c>
      <c r="L22" s="25">
        <v>76</v>
      </c>
      <c r="M22" s="25">
        <v>14.1</v>
      </c>
      <c r="N22" s="25">
        <v>67.5</v>
      </c>
      <c r="O22" s="25">
        <v>20.100000000000001</v>
      </c>
      <c r="P22" s="25">
        <v>78</v>
      </c>
      <c r="Q22" s="13">
        <v>10.9</v>
      </c>
    </row>
    <row r="23" spans="1:17" x14ac:dyDescent="0.25">
      <c r="B23">
        <f>(H4/100)*D4*1000</f>
        <v>23077.228915662654</v>
      </c>
      <c r="C23">
        <f t="shared" si="0"/>
        <v>4.3766794625719783</v>
      </c>
      <c r="D23">
        <f t="shared" si="1"/>
        <v>7615485.5421686759</v>
      </c>
      <c r="K23" s="64">
        <v>0.4</v>
      </c>
      <c r="L23" s="65">
        <v>90</v>
      </c>
      <c r="M23" s="65">
        <v>22.3</v>
      </c>
      <c r="N23" s="65">
        <v>80.2</v>
      </c>
      <c r="O23" s="65">
        <v>26.5</v>
      </c>
      <c r="P23" s="65">
        <v>92.1</v>
      </c>
      <c r="Q23" s="66">
        <v>16.899999999999999</v>
      </c>
    </row>
    <row r="24" spans="1:17" x14ac:dyDescent="0.25">
      <c r="K24" s="63">
        <v>0.5</v>
      </c>
      <c r="L24" s="25">
        <v>96.4</v>
      </c>
      <c r="M24" s="25">
        <v>35.200000000000003</v>
      </c>
      <c r="N24" s="25">
        <v>88.2</v>
      </c>
      <c r="O24" s="25">
        <v>32.700000000000003</v>
      </c>
      <c r="P24" s="25">
        <v>98.2</v>
      </c>
      <c r="Q24" s="13">
        <v>23.8</v>
      </c>
    </row>
    <row r="25" spans="1:17" x14ac:dyDescent="0.25">
      <c r="K25" s="63">
        <v>0.6</v>
      </c>
      <c r="L25" s="25">
        <v>99.1</v>
      </c>
      <c r="M25" s="25">
        <v>45.2</v>
      </c>
      <c r="N25" s="25">
        <v>91.5</v>
      </c>
      <c r="O25" s="25">
        <v>38.5</v>
      </c>
      <c r="P25" s="25">
        <v>99</v>
      </c>
      <c r="Q25" s="13">
        <v>31.4</v>
      </c>
    </row>
    <row r="26" spans="1:17" x14ac:dyDescent="0.25">
      <c r="K26" s="21">
        <v>0.7</v>
      </c>
      <c r="L26" s="25">
        <v>99.4</v>
      </c>
      <c r="M26" s="25">
        <v>56.4</v>
      </c>
      <c r="N26" s="25">
        <v>93</v>
      </c>
      <c r="O26" s="25">
        <v>43.6</v>
      </c>
      <c r="P26" s="25">
        <v>99.5</v>
      </c>
      <c r="Q26" s="13">
        <v>38.700000000000003</v>
      </c>
    </row>
    <row r="27" spans="1:17" x14ac:dyDescent="0.25">
      <c r="K27" s="20"/>
      <c r="L27" s="52" t="s">
        <v>5</v>
      </c>
      <c r="M27" s="52" t="s">
        <v>6</v>
      </c>
      <c r="N27" s="52" t="s">
        <v>7</v>
      </c>
      <c r="O27" s="25"/>
      <c r="Q27" s="13"/>
    </row>
    <row r="28" spans="1:17" x14ac:dyDescent="0.25">
      <c r="K28" s="21"/>
      <c r="L28" s="52"/>
      <c r="M28" s="52"/>
      <c r="N28" s="52"/>
      <c r="O28" s="25"/>
      <c r="P28" s="25"/>
      <c r="Q28" s="13"/>
    </row>
    <row r="29" spans="1:17" ht="15.75" thickBot="1" x14ac:dyDescent="0.3">
      <c r="K29" s="22"/>
      <c r="L29" s="23"/>
      <c r="M29" s="23"/>
      <c r="N29" s="23"/>
      <c r="O29" s="18"/>
      <c r="P29" s="18"/>
      <c r="Q29" s="19"/>
    </row>
    <row r="30" spans="1:17" x14ac:dyDescent="0.25">
      <c r="K30" s="25"/>
      <c r="L30" s="25"/>
      <c r="M30" s="25"/>
      <c r="N30" s="25"/>
      <c r="O30" s="25"/>
      <c r="P30" s="25"/>
      <c r="Q3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06CF-6C50-4028-A2F4-60FDC8C72E98}">
  <dimension ref="A1:AO88"/>
  <sheetViews>
    <sheetView workbookViewId="0">
      <selection activeCell="J25" sqref="J25"/>
    </sheetView>
  </sheetViews>
  <sheetFormatPr defaultRowHeight="15" x14ac:dyDescent="0.25"/>
  <cols>
    <col min="1" max="1" width="16" style="92" customWidth="1"/>
    <col min="2" max="5" width="9.140625" style="92"/>
    <col min="6" max="6" width="18.85546875" style="92" customWidth="1"/>
    <col min="7" max="7" width="18.5703125" style="92" customWidth="1"/>
    <col min="8" max="8" width="14.42578125" style="92" customWidth="1"/>
    <col min="9" max="9" width="16" style="92" customWidth="1"/>
    <col min="10" max="10" width="15.5703125" style="92" customWidth="1"/>
    <col min="11" max="11" width="9" style="92" customWidth="1"/>
    <col min="12" max="12" width="14.5703125" style="92" customWidth="1"/>
    <col min="13" max="13" width="12.28515625" style="92" customWidth="1"/>
    <col min="14" max="14" width="20" style="92" customWidth="1"/>
    <col min="15" max="15" width="9.140625" style="92"/>
    <col min="16" max="16" width="10.5703125" style="92" customWidth="1"/>
    <col min="17" max="20" width="9.140625" style="92"/>
    <col min="21" max="21" width="9.42578125" style="92" customWidth="1"/>
    <col min="22" max="22" width="11.42578125" style="92" customWidth="1"/>
    <col min="23" max="25" width="9.140625" style="92"/>
    <col min="26" max="26" width="17.42578125" style="92" customWidth="1"/>
    <col min="27" max="27" width="10.85546875" style="92" customWidth="1"/>
    <col min="28" max="28" width="15.140625" style="92" customWidth="1"/>
    <col min="29" max="39" width="9.140625" style="92"/>
    <col min="40" max="40" width="16.5703125" style="92" customWidth="1"/>
    <col min="41" max="41" width="15.42578125" style="92" customWidth="1"/>
    <col min="42" max="42" width="14.42578125" style="92" customWidth="1"/>
    <col min="43" max="16384" width="9.140625" style="92"/>
  </cols>
  <sheetData>
    <row r="1" spans="1:31" x14ac:dyDescent="0.25">
      <c r="O1" s="190" t="s">
        <v>1051</v>
      </c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1"/>
    </row>
    <row r="2" spans="1:31" x14ac:dyDescent="0.25">
      <c r="A2" s="154"/>
      <c r="B2" s="154"/>
      <c r="C2" s="154"/>
      <c r="O2" s="190" t="s">
        <v>1052</v>
      </c>
      <c r="P2" s="190"/>
      <c r="Q2" s="190" t="s">
        <v>1053</v>
      </c>
      <c r="R2" s="190"/>
      <c r="S2" s="192" t="s">
        <v>127</v>
      </c>
      <c r="T2" s="190" t="s">
        <v>1054</v>
      </c>
      <c r="U2" s="190"/>
      <c r="V2" s="193" t="s">
        <v>1055</v>
      </c>
      <c r="W2" s="190" t="s">
        <v>1056</v>
      </c>
      <c r="X2" s="190"/>
      <c r="Z2" s="190" t="s">
        <v>1057</v>
      </c>
      <c r="AA2" s="190"/>
      <c r="AB2" s="193" t="s">
        <v>1058</v>
      </c>
      <c r="AC2" s="153" t="s">
        <v>1059</v>
      </c>
    </row>
    <row r="3" spans="1:31" ht="45" x14ac:dyDescent="0.25">
      <c r="A3" s="92" t="s">
        <v>216</v>
      </c>
      <c r="B3" s="92" t="s">
        <v>1060</v>
      </c>
      <c r="M3" s="169" t="s">
        <v>1061</v>
      </c>
      <c r="N3" s="153">
        <v>330</v>
      </c>
      <c r="O3" s="152" t="s">
        <v>53</v>
      </c>
      <c r="P3" s="152"/>
      <c r="Q3" s="152">
        <f>598000</f>
        <v>598000</v>
      </c>
      <c r="R3" s="152"/>
      <c r="S3" s="153">
        <f>1</f>
        <v>1</v>
      </c>
      <c r="T3" s="152" t="s">
        <v>1062</v>
      </c>
      <c r="U3" s="152"/>
      <c r="V3" s="153">
        <f>40000</f>
        <v>40000</v>
      </c>
      <c r="W3" s="194">
        <f>2620</f>
        <v>2620</v>
      </c>
      <c r="X3" s="152"/>
      <c r="Z3" s="152" t="s">
        <v>1063</v>
      </c>
      <c r="AA3" s="152"/>
      <c r="AB3" s="153">
        <f>30</f>
        <v>30</v>
      </c>
      <c r="AC3" s="153"/>
    </row>
    <row r="4" spans="1:31" ht="31.5" customHeight="1" x14ac:dyDescent="0.25">
      <c r="A4" s="92">
        <f>43.65</f>
        <v>43.65</v>
      </c>
      <c r="B4" s="92">
        <f>(A4*1000/24)</f>
        <v>1818.75</v>
      </c>
      <c r="O4" s="195" t="s">
        <v>54</v>
      </c>
      <c r="P4" s="195"/>
      <c r="Q4" s="152">
        <f>57000</f>
        <v>57000</v>
      </c>
      <c r="R4" s="152"/>
      <c r="S4" s="153">
        <f>1</f>
        <v>1</v>
      </c>
      <c r="T4" s="152" t="s">
        <v>1062</v>
      </c>
      <c r="U4" s="152"/>
      <c r="V4" s="153">
        <f>50000</f>
        <v>50000</v>
      </c>
      <c r="W4" s="194">
        <f>W3</f>
        <v>2620</v>
      </c>
      <c r="X4" s="152"/>
      <c r="Z4" s="152" t="s">
        <v>1064</v>
      </c>
      <c r="AA4" s="152"/>
      <c r="AB4" s="153">
        <f>30</f>
        <v>30</v>
      </c>
      <c r="AC4" s="153"/>
    </row>
    <row r="5" spans="1:31" x14ac:dyDescent="0.25">
      <c r="A5" s="181"/>
      <c r="O5" s="195" t="s">
        <v>56</v>
      </c>
      <c r="P5" s="195"/>
      <c r="Q5" s="152">
        <f>35000</f>
        <v>35000</v>
      </c>
      <c r="R5" s="152"/>
      <c r="S5" s="153">
        <f>1</f>
        <v>1</v>
      </c>
      <c r="T5" s="152" t="s">
        <v>1062</v>
      </c>
      <c r="U5" s="152"/>
      <c r="V5" s="153">
        <f>200000</f>
        <v>200000</v>
      </c>
      <c r="W5" s="152">
        <f>650</f>
        <v>650</v>
      </c>
      <c r="X5" s="152"/>
      <c r="Z5" s="152" t="s">
        <v>1065</v>
      </c>
      <c r="AA5" s="152"/>
      <c r="AB5" s="153">
        <v>30</v>
      </c>
      <c r="AC5" s="153"/>
    </row>
    <row r="6" spans="1:31" x14ac:dyDescent="0.25">
      <c r="A6" s="92" t="s">
        <v>1066</v>
      </c>
      <c r="B6" s="92" t="s">
        <v>866</v>
      </c>
      <c r="C6" s="92" t="s">
        <v>1067</v>
      </c>
      <c r="O6" s="152" t="s">
        <v>57</v>
      </c>
      <c r="P6" s="152"/>
      <c r="Q6" s="152">
        <f>32000</f>
        <v>32000</v>
      </c>
      <c r="R6" s="152"/>
      <c r="S6" s="153">
        <f>1</f>
        <v>1</v>
      </c>
      <c r="T6" s="152" t="s">
        <v>1068</v>
      </c>
      <c r="U6" s="152"/>
      <c r="V6" s="153">
        <f>80</f>
        <v>80</v>
      </c>
      <c r="W6" s="152">
        <f>80</f>
        <v>80</v>
      </c>
      <c r="X6" s="152"/>
      <c r="Z6" s="152" t="s">
        <v>1069</v>
      </c>
      <c r="AA6" s="152"/>
      <c r="AB6" s="153">
        <f>36</f>
        <v>36</v>
      </c>
      <c r="AC6" s="153"/>
    </row>
    <row r="7" spans="1:31" x14ac:dyDescent="0.25">
      <c r="A7" s="92">
        <f>(B7*1000)/C7</f>
        <v>2613.1126257708538</v>
      </c>
      <c r="B7" s="92">
        <f>B4</f>
        <v>1818.75</v>
      </c>
      <c r="C7" s="92">
        <f>1/((1/('[1]Material balance'!L3+'[1]Material balance'!M3+'[1]Material balance'!N3)+1/('[1]Material balance'!O3)))</f>
        <v>696.00903614457832</v>
      </c>
      <c r="H7" s="196"/>
      <c r="O7" s="160" t="s">
        <v>59</v>
      </c>
      <c r="P7" s="159"/>
      <c r="Q7" s="158">
        <f>302000</f>
        <v>302000</v>
      </c>
      <c r="R7" s="159"/>
      <c r="S7" s="153">
        <v>0.1</v>
      </c>
      <c r="T7" s="158"/>
      <c r="U7" s="159"/>
      <c r="V7" s="163"/>
      <c r="W7" s="158"/>
      <c r="X7" s="159"/>
      <c r="Y7" s="197"/>
      <c r="Z7" s="152"/>
      <c r="AA7" s="152"/>
      <c r="AB7" s="198"/>
      <c r="AC7" s="199"/>
      <c r="AD7" s="153"/>
      <c r="AE7" s="153"/>
    </row>
    <row r="8" spans="1:31" x14ac:dyDescent="0.25">
      <c r="O8" s="152" t="s">
        <v>60</v>
      </c>
      <c r="P8" s="152"/>
      <c r="Q8" s="159">
        <f>38000</f>
        <v>38000</v>
      </c>
      <c r="R8" s="152"/>
      <c r="S8" s="153">
        <f>0.5</f>
        <v>0.5</v>
      </c>
      <c r="T8" s="152" t="s">
        <v>1070</v>
      </c>
      <c r="U8" s="152"/>
      <c r="V8" s="153">
        <f>1000</f>
        <v>1000</v>
      </c>
      <c r="W8" s="152">
        <f>210</f>
        <v>210</v>
      </c>
      <c r="X8" s="152"/>
      <c r="Z8" s="152" t="s">
        <v>130</v>
      </c>
      <c r="AA8" s="152"/>
      <c r="AB8" s="153">
        <f>50</f>
        <v>50</v>
      </c>
      <c r="AC8" s="200"/>
    </row>
    <row r="9" spans="1:31" ht="29.45" customHeight="1" x14ac:dyDescent="0.25">
      <c r="A9" s="92" t="s">
        <v>216</v>
      </c>
      <c r="B9" s="92" t="s">
        <v>1060</v>
      </c>
      <c r="O9" s="195" t="s">
        <v>61</v>
      </c>
      <c r="P9" s="195"/>
      <c r="Q9" s="159">
        <f>78000</f>
        <v>78000</v>
      </c>
      <c r="R9" s="152"/>
      <c r="S9" s="153">
        <f>1</f>
        <v>1</v>
      </c>
      <c r="T9" s="152"/>
      <c r="U9" s="152"/>
      <c r="V9" s="153"/>
      <c r="W9" s="152"/>
      <c r="X9" s="152"/>
      <c r="Z9" s="195" t="s">
        <v>1071</v>
      </c>
      <c r="AA9" s="195"/>
      <c r="AB9" s="153">
        <f>30</f>
        <v>30</v>
      </c>
      <c r="AC9" s="200"/>
    </row>
    <row r="10" spans="1:31" x14ac:dyDescent="0.25">
      <c r="A10" s="92">
        <f>11.55+0.61</f>
        <v>12.16</v>
      </c>
      <c r="B10" s="92">
        <f>(A10*1000/24)</f>
        <v>506.66666666666669</v>
      </c>
      <c r="O10" s="152" t="s">
        <v>62</v>
      </c>
      <c r="P10" s="152"/>
      <c r="Q10" s="159">
        <f>8500</f>
        <v>8500</v>
      </c>
      <c r="R10" s="152"/>
      <c r="S10" s="153">
        <f>0.1</f>
        <v>0.1</v>
      </c>
      <c r="T10" s="152" t="s">
        <v>1072</v>
      </c>
      <c r="U10" s="152"/>
      <c r="V10" s="153">
        <f>100</f>
        <v>100</v>
      </c>
      <c r="W10" s="152"/>
      <c r="X10" s="152"/>
      <c r="Z10" s="154"/>
      <c r="AA10" s="154"/>
    </row>
    <row r="11" spans="1:31" x14ac:dyDescent="0.25">
      <c r="A11" s="181"/>
      <c r="O11" s="152" t="s">
        <v>64</v>
      </c>
      <c r="P11" s="152"/>
      <c r="Q11" s="152">
        <f>10000</f>
        <v>10000</v>
      </c>
      <c r="R11" s="152"/>
      <c r="S11" s="153">
        <f>0.05</f>
        <v>0.05</v>
      </c>
      <c r="T11" s="152" t="s">
        <v>1073</v>
      </c>
      <c r="U11" s="152"/>
      <c r="V11" s="153">
        <f>300</f>
        <v>300</v>
      </c>
      <c r="W11" s="152"/>
      <c r="X11" s="152"/>
      <c r="Z11" s="154"/>
      <c r="AA11" s="154"/>
    </row>
    <row r="12" spans="1:31" x14ac:dyDescent="0.25">
      <c r="A12" s="92" t="s">
        <v>1066</v>
      </c>
      <c r="B12" s="92" t="s">
        <v>866</v>
      </c>
      <c r="C12" s="92" t="s">
        <v>1067</v>
      </c>
      <c r="O12" s="152" t="s">
        <v>65</v>
      </c>
      <c r="P12" s="152"/>
      <c r="Q12" s="152">
        <f>10000</f>
        <v>10000</v>
      </c>
      <c r="R12" s="152"/>
      <c r="S12" s="153">
        <f t="shared" ref="S12:S14" si="0">0.05</f>
        <v>0.05</v>
      </c>
      <c r="T12" s="152" t="s">
        <v>1073</v>
      </c>
      <c r="U12" s="152"/>
      <c r="V12" s="153">
        <f>300</f>
        <v>300</v>
      </c>
      <c r="W12" s="152"/>
      <c r="X12" s="152"/>
      <c r="Z12" s="154"/>
      <c r="AA12" s="154"/>
    </row>
    <row r="13" spans="1:31" x14ac:dyDescent="0.25">
      <c r="A13" s="92">
        <f>(B13*1000)/C13</f>
        <v>641.3502109704641</v>
      </c>
      <c r="B13" s="92">
        <f>B10</f>
        <v>506.66666666666669</v>
      </c>
      <c r="C13" s="92">
        <f>790</f>
        <v>790</v>
      </c>
      <c r="F13" s="153" t="s">
        <v>1074</v>
      </c>
      <c r="G13" s="153" t="s">
        <v>1075</v>
      </c>
      <c r="H13" s="153" t="s">
        <v>154</v>
      </c>
      <c r="I13" s="153" t="s">
        <v>1076</v>
      </c>
      <c r="J13" s="153" t="s">
        <v>152</v>
      </c>
      <c r="K13" s="153" t="s">
        <v>132</v>
      </c>
      <c r="L13" s="153" t="s">
        <v>1077</v>
      </c>
      <c r="M13" s="153" t="s">
        <v>1078</v>
      </c>
      <c r="O13" s="158" t="s">
        <v>66</v>
      </c>
      <c r="P13" s="159"/>
      <c r="Q13" s="158">
        <f>10000</f>
        <v>10000</v>
      </c>
      <c r="R13" s="159"/>
      <c r="S13" s="153">
        <f t="shared" si="0"/>
        <v>0.05</v>
      </c>
      <c r="T13" s="157" t="s">
        <v>1073</v>
      </c>
      <c r="U13" s="157"/>
      <c r="V13" s="153">
        <f>300</f>
        <v>300</v>
      </c>
      <c r="W13" s="152"/>
      <c r="X13" s="152"/>
      <c r="AB13" s="154"/>
      <c r="AC13" s="154"/>
    </row>
    <row r="14" spans="1:31" x14ac:dyDescent="0.25">
      <c r="F14" s="166" t="s">
        <v>5</v>
      </c>
      <c r="G14" s="166">
        <f>I14/1000</f>
        <v>3.15</v>
      </c>
      <c r="H14" s="166">
        <f>G14*330</f>
        <v>1039.5</v>
      </c>
      <c r="I14" s="153">
        <f>('[1]Material balance'!F4*'[1]Material balance'!D4/100)*1000</f>
        <v>3150</v>
      </c>
      <c r="J14" s="153">
        <f>I14*330</f>
        <v>1039500</v>
      </c>
      <c r="K14" s="153"/>
      <c r="L14" s="153"/>
      <c r="M14" s="153"/>
      <c r="O14" s="158" t="s">
        <v>67</v>
      </c>
      <c r="P14" s="159"/>
      <c r="Q14" s="158">
        <f>10000</f>
        <v>10000</v>
      </c>
      <c r="R14" s="159"/>
      <c r="S14" s="153">
        <f t="shared" si="0"/>
        <v>0.05</v>
      </c>
      <c r="T14" s="157" t="s">
        <v>1073</v>
      </c>
      <c r="U14" s="157"/>
      <c r="V14" s="153">
        <f>300</f>
        <v>300</v>
      </c>
      <c r="W14" s="152"/>
      <c r="X14" s="152"/>
      <c r="AB14" s="154"/>
      <c r="AC14" s="154"/>
    </row>
    <row r="15" spans="1:31" x14ac:dyDescent="0.25">
      <c r="F15" s="166" t="s">
        <v>6</v>
      </c>
      <c r="G15" s="166">
        <f t="shared" ref="G15:G16" si="1">I15/1000</f>
        <v>5.2727710843373483</v>
      </c>
      <c r="H15" s="166">
        <f t="shared" ref="H15:H16" si="2">G15*330</f>
        <v>1740.014457831325</v>
      </c>
      <c r="I15" s="153">
        <f>('[1]Material balance'!G4*'[1]Material balance'!D4/100)*1000</f>
        <v>5272.7710843373479</v>
      </c>
      <c r="J15" s="153">
        <f>I15*330</f>
        <v>1740014.4578313248</v>
      </c>
      <c r="K15" s="153"/>
      <c r="L15" s="153"/>
      <c r="M15" s="153"/>
    </row>
    <row r="16" spans="1:31" x14ac:dyDescent="0.25">
      <c r="A16" s="92" t="s">
        <v>216</v>
      </c>
      <c r="B16" s="92" t="s">
        <v>1060</v>
      </c>
      <c r="F16" s="166" t="s">
        <v>11</v>
      </c>
      <c r="G16" s="166">
        <f t="shared" si="1"/>
        <v>0.60770036144578299</v>
      </c>
      <c r="H16" s="166">
        <f t="shared" si="2"/>
        <v>200.54111927710838</v>
      </c>
      <c r="I16" s="153">
        <f>('[1]Material balance'!I6*'[1]Material balance'!D19/100)*1000</f>
        <v>607.70036144578296</v>
      </c>
      <c r="J16" s="153">
        <f>I16*330</f>
        <v>200541.11927710837</v>
      </c>
      <c r="K16" s="153"/>
      <c r="L16" s="153"/>
      <c r="M16" s="153"/>
    </row>
    <row r="17" spans="1:33" ht="41.1" customHeight="1" x14ac:dyDescent="0.25">
      <c r="A17" s="92">
        <f>5.03</f>
        <v>5.03</v>
      </c>
      <c r="B17" s="92">
        <f>(A17*1000/24)</f>
        <v>209.58333333333334</v>
      </c>
      <c r="F17" s="153" t="s">
        <v>1079</v>
      </c>
      <c r="G17" s="153">
        <f>('[1]Material balance'!H4*'[1]Material balance'!D4/100)*1000</f>
        <v>23077.228915662654</v>
      </c>
      <c r="H17" s="153"/>
      <c r="I17" s="153"/>
      <c r="J17" s="153"/>
    </row>
    <row r="18" spans="1:33" x14ac:dyDescent="0.25">
      <c r="A18" s="181"/>
      <c r="F18" s="201"/>
      <c r="G18" s="161"/>
      <c r="H18" s="202"/>
      <c r="V18" s="203"/>
      <c r="W18" s="203"/>
      <c r="X18" s="203"/>
      <c r="Z18" s="153"/>
    </row>
    <row r="19" spans="1:33" x14ac:dyDescent="0.25">
      <c r="F19" s="166" t="s">
        <v>46</v>
      </c>
      <c r="G19" s="153">
        <f>SUM(G17:G18)</f>
        <v>23077.228915662654</v>
      </c>
      <c r="H19" s="153">
        <f>G19*330</f>
        <v>7615485.5421686759</v>
      </c>
      <c r="I19" s="153" t="s">
        <v>247</v>
      </c>
    </row>
    <row r="20" spans="1:33" ht="29.1" customHeight="1" x14ac:dyDescent="0.25">
      <c r="F20" s="166"/>
      <c r="G20" s="153"/>
      <c r="H20" s="153">
        <f>H19/3.79</f>
        <v>2009362.9398861942</v>
      </c>
      <c r="I20" s="153" t="s">
        <v>153</v>
      </c>
    </row>
    <row r="21" spans="1:33" x14ac:dyDescent="0.25">
      <c r="F21" s="166"/>
      <c r="G21" s="153"/>
      <c r="H21" s="153"/>
    </row>
    <row r="25" spans="1:33" ht="14.45" customHeight="1" x14ac:dyDescent="0.25">
      <c r="V25" s="203"/>
      <c r="W25" s="154"/>
      <c r="X25" s="154"/>
      <c r="Y25" s="154"/>
      <c r="AC25" s="195"/>
      <c r="AD25" s="195"/>
      <c r="AE25" s="195"/>
      <c r="AF25" s="195"/>
      <c r="AG25" s="153"/>
    </row>
    <row r="26" spans="1:33" x14ac:dyDescent="0.25">
      <c r="Z26" s="153"/>
    </row>
    <row r="28" spans="1:33" ht="14.45" customHeight="1" x14ac:dyDescent="0.25">
      <c r="F28" s="204" t="s">
        <v>47</v>
      </c>
      <c r="G28" s="205"/>
      <c r="H28" s="206" t="s">
        <v>48</v>
      </c>
      <c r="I28" s="206" t="s">
        <v>1080</v>
      </c>
      <c r="J28" s="206" t="s">
        <v>49</v>
      </c>
      <c r="K28" s="206" t="s">
        <v>50</v>
      </c>
      <c r="L28" s="206" t="s">
        <v>51</v>
      </c>
      <c r="M28" s="206" t="s">
        <v>52</v>
      </c>
      <c r="N28" s="206" t="s">
        <v>1081</v>
      </c>
      <c r="O28" s="206" t="s">
        <v>1082</v>
      </c>
      <c r="P28" s="206" t="s">
        <v>1083</v>
      </c>
    </row>
    <row r="29" spans="1:33" x14ac:dyDescent="0.25">
      <c r="F29" s="158" t="s">
        <v>53</v>
      </c>
      <c r="G29" s="159"/>
      <c r="H29" s="157" t="s">
        <v>1084</v>
      </c>
      <c r="I29" s="157">
        <v>0.37584699999999999</v>
      </c>
      <c r="J29" s="157">
        <f>0.67</f>
        <v>0.67</v>
      </c>
      <c r="K29" s="157">
        <v>0.5</v>
      </c>
      <c r="L29" s="157">
        <v>2</v>
      </c>
      <c r="M29" s="157"/>
      <c r="N29" s="157">
        <f>Q3*(W3/V3)^J29</f>
        <v>96290.369884303436</v>
      </c>
      <c r="O29" s="157">
        <f>N29*10^-(6)</f>
        <v>9.6290369884303437E-2</v>
      </c>
      <c r="P29" s="157">
        <f>0.0963</f>
        <v>9.6299999999999997E-2</v>
      </c>
    </row>
    <row r="30" spans="1:33" ht="14.45" customHeight="1" x14ac:dyDescent="0.25">
      <c r="F30" s="207" t="s">
        <v>54</v>
      </c>
      <c r="G30" s="208"/>
      <c r="H30" s="157" t="str">
        <f>H29</f>
        <v xml:space="preserve">2,620 L </v>
      </c>
      <c r="I30" s="157">
        <v>3.0849999999999999E-2</v>
      </c>
      <c r="J30" s="157">
        <f t="shared" ref="J30:J40" si="3">0.67</f>
        <v>0.67</v>
      </c>
      <c r="K30" s="157">
        <v>0.4</v>
      </c>
      <c r="L30" s="157" t="s">
        <v>55</v>
      </c>
      <c r="M30" s="157"/>
      <c r="N30" s="157">
        <f>Q4*(W4/V4)^J29</f>
        <v>7903.633947837563</v>
      </c>
      <c r="O30" s="157">
        <f t="shared" ref="O30:O31" si="4">N30*10^-(6)</f>
        <v>7.9036339478375621E-3</v>
      </c>
      <c r="P30" s="157">
        <f>0.0079</f>
        <v>7.9000000000000008E-3</v>
      </c>
    </row>
    <row r="31" spans="1:33" ht="14.45" customHeight="1" x14ac:dyDescent="0.25">
      <c r="F31" s="207" t="s">
        <v>56</v>
      </c>
      <c r="G31" s="208"/>
      <c r="H31" s="157" t="s">
        <v>1085</v>
      </c>
      <c r="I31" s="157">
        <v>6.1709999999999994E-3</v>
      </c>
      <c r="J31" s="157">
        <f t="shared" si="3"/>
        <v>0.67</v>
      </c>
      <c r="K31" s="157">
        <v>0.1</v>
      </c>
      <c r="L31" s="157" t="s">
        <v>55</v>
      </c>
      <c r="M31" s="157"/>
      <c r="N31" s="157">
        <f>Q5*(W5/V5)^J29</f>
        <v>753.40742542982343</v>
      </c>
      <c r="O31" s="157">
        <f t="shared" si="4"/>
        <v>7.5340742542982341E-4</v>
      </c>
      <c r="P31" s="157">
        <f>0.0008</f>
        <v>8.0000000000000004E-4</v>
      </c>
    </row>
    <row r="32" spans="1:33" x14ac:dyDescent="0.25">
      <c r="F32" s="158" t="s">
        <v>57</v>
      </c>
      <c r="G32" s="159"/>
      <c r="H32" s="157" t="s">
        <v>58</v>
      </c>
      <c r="I32" s="157">
        <v>3.2000000000000001E-2</v>
      </c>
      <c r="J32" s="157">
        <f t="shared" si="3"/>
        <v>0.67</v>
      </c>
      <c r="K32" s="157">
        <v>1</v>
      </c>
      <c r="L32" s="157">
        <v>0.1</v>
      </c>
      <c r="M32" s="157">
        <v>400</v>
      </c>
      <c r="N32" s="157">
        <f>Q6*(W6/V6)^J29</f>
        <v>32000</v>
      </c>
      <c r="O32" s="157">
        <f>N32*10^-(6)</f>
        <v>3.2000000000000001E-2</v>
      </c>
      <c r="P32" s="157">
        <f>O32</f>
        <v>3.2000000000000001E-2</v>
      </c>
      <c r="V32" s="203"/>
      <c r="W32" s="154"/>
      <c r="X32" s="154"/>
      <c r="Y32" s="154"/>
      <c r="Z32" s="154"/>
    </row>
    <row r="33" spans="6:41" x14ac:dyDescent="0.25">
      <c r="F33" s="158" t="s">
        <v>59</v>
      </c>
      <c r="G33" s="159"/>
      <c r="H33" s="157" t="s">
        <v>1086</v>
      </c>
      <c r="I33" s="157">
        <v>3.4944999999999997E-2</v>
      </c>
      <c r="J33" s="157">
        <f t="shared" si="3"/>
        <v>0.67</v>
      </c>
      <c r="K33" s="157">
        <v>1</v>
      </c>
      <c r="L33" s="157">
        <v>0.1</v>
      </c>
      <c r="M33" s="157"/>
      <c r="N33" s="157">
        <f>4448</f>
        <v>4448</v>
      </c>
      <c r="O33" s="157">
        <f>N33*10^-(6)</f>
        <v>4.4479999999999997E-3</v>
      </c>
      <c r="P33" s="157">
        <f>0.0044</f>
        <v>4.4000000000000003E-3</v>
      </c>
    </row>
    <row r="34" spans="6:41" x14ac:dyDescent="0.25">
      <c r="F34" s="158" t="s">
        <v>60</v>
      </c>
      <c r="G34" s="159"/>
      <c r="H34" s="114" t="str">
        <f>H33</f>
        <v>210 kg/h</v>
      </c>
      <c r="I34" s="157">
        <v>1.3313E-2</v>
      </c>
      <c r="J34" s="157">
        <f t="shared" si="3"/>
        <v>0.67</v>
      </c>
      <c r="K34" s="157">
        <v>0.5</v>
      </c>
      <c r="L34" s="157">
        <v>15.5</v>
      </c>
      <c r="M34" s="157">
        <v>300</v>
      </c>
      <c r="N34" s="157">
        <f>Q8*(W8/V8)^J29</f>
        <v>13355.818978111733</v>
      </c>
      <c r="O34" s="157">
        <f>N34*10^-(6)</f>
        <v>1.3355818978111732E-2</v>
      </c>
      <c r="P34" s="157">
        <f>0.0134</f>
        <v>1.34E-2</v>
      </c>
    </row>
    <row r="35" spans="6:41" ht="14.45" customHeight="1" x14ac:dyDescent="0.25">
      <c r="F35" s="207" t="s">
        <v>61</v>
      </c>
      <c r="G35" s="208"/>
      <c r="H35" s="157"/>
      <c r="I35" s="157">
        <v>7.8E-2</v>
      </c>
      <c r="J35" s="157">
        <f t="shared" si="3"/>
        <v>0.67</v>
      </c>
      <c r="K35" s="157">
        <v>1</v>
      </c>
      <c r="L35" s="157">
        <v>1922</v>
      </c>
      <c r="M35" s="157"/>
      <c r="N35" s="157">
        <f>Q9</f>
        <v>78000</v>
      </c>
      <c r="O35" s="157">
        <f>N35*10^-(6)</f>
        <v>7.8E-2</v>
      </c>
      <c r="P35" s="157">
        <f>O35</f>
        <v>7.8E-2</v>
      </c>
      <c r="AO35" s="209"/>
    </row>
    <row r="36" spans="6:41" x14ac:dyDescent="0.25">
      <c r="F36" s="158" t="s">
        <v>62</v>
      </c>
      <c r="G36" s="159"/>
      <c r="H36" s="157" t="s">
        <v>63</v>
      </c>
      <c r="I36" s="157">
        <v>8.4999999999999989E-3</v>
      </c>
      <c r="J36" s="157">
        <f t="shared" si="3"/>
        <v>0.67</v>
      </c>
      <c r="K36" s="157">
        <v>0.1</v>
      </c>
      <c r="L36" s="157">
        <v>368</v>
      </c>
      <c r="M36" s="157"/>
      <c r="N36" s="157">
        <f>Q10</f>
        <v>8500</v>
      </c>
      <c r="O36" s="157">
        <f>N36*10^-(6)</f>
        <v>8.4999999999999989E-3</v>
      </c>
      <c r="P36" s="157">
        <f>O36</f>
        <v>8.4999999999999989E-3</v>
      </c>
    </row>
    <row r="37" spans="6:41" x14ac:dyDescent="0.25">
      <c r="F37" s="158" t="s">
        <v>64</v>
      </c>
      <c r="G37" s="159"/>
      <c r="H37" s="157"/>
      <c r="I37" s="157">
        <v>0.01</v>
      </c>
      <c r="J37" s="157">
        <f t="shared" si="3"/>
        <v>0.67</v>
      </c>
      <c r="K37" s="157">
        <v>0.05</v>
      </c>
      <c r="L37" s="157">
        <v>0.1</v>
      </c>
      <c r="M37" s="157"/>
      <c r="N37" s="157">
        <f>Q11</f>
        <v>10000</v>
      </c>
      <c r="O37" s="157">
        <f t="shared" ref="O37:O40" si="5">N37*10^-(6)</f>
        <v>0.01</v>
      </c>
      <c r="P37" s="157">
        <f>O37</f>
        <v>0.01</v>
      </c>
    </row>
    <row r="38" spans="6:41" x14ac:dyDescent="0.25">
      <c r="F38" s="158" t="s">
        <v>65</v>
      </c>
      <c r="G38" s="159"/>
      <c r="H38" s="157"/>
      <c r="I38" s="157">
        <v>0.01</v>
      </c>
      <c r="J38" s="157">
        <f t="shared" si="3"/>
        <v>0.67</v>
      </c>
      <c r="K38" s="157">
        <v>0.05</v>
      </c>
      <c r="L38" s="157">
        <v>0.1</v>
      </c>
      <c r="M38" s="157"/>
      <c r="N38" s="157">
        <f>N37</f>
        <v>10000</v>
      </c>
      <c r="O38" s="157">
        <f t="shared" si="5"/>
        <v>0.01</v>
      </c>
      <c r="P38" s="157">
        <f t="shared" ref="P38:P40" si="6">O38</f>
        <v>0.01</v>
      </c>
      <c r="V38" s="190"/>
      <c r="W38" s="190"/>
      <c r="X38" s="190"/>
      <c r="Y38" s="190"/>
      <c r="Z38" s="153"/>
    </row>
    <row r="39" spans="6:41" x14ac:dyDescent="0.25">
      <c r="F39" s="158" t="s">
        <v>66</v>
      </c>
      <c r="G39" s="159"/>
      <c r="H39" s="157"/>
      <c r="I39" s="157">
        <v>0.01</v>
      </c>
      <c r="J39" s="157">
        <f t="shared" si="3"/>
        <v>0.67</v>
      </c>
      <c r="K39" s="157">
        <v>0.05</v>
      </c>
      <c r="L39" s="157">
        <v>0.1</v>
      </c>
      <c r="M39" s="157"/>
      <c r="N39" s="157">
        <f>N37</f>
        <v>10000</v>
      </c>
      <c r="O39" s="157">
        <f t="shared" si="5"/>
        <v>0.01</v>
      </c>
      <c r="P39" s="157">
        <f t="shared" si="6"/>
        <v>0.01</v>
      </c>
    </row>
    <row r="40" spans="6:41" x14ac:dyDescent="0.25">
      <c r="F40" s="158" t="s">
        <v>67</v>
      </c>
      <c r="G40" s="159"/>
      <c r="H40" s="210"/>
      <c r="I40" s="210">
        <v>0.01</v>
      </c>
      <c r="J40" s="210">
        <f t="shared" si="3"/>
        <v>0.67</v>
      </c>
      <c r="K40" s="210">
        <v>0.05</v>
      </c>
      <c r="L40" s="210">
        <v>0.1</v>
      </c>
      <c r="M40" s="210"/>
      <c r="N40" s="210">
        <f>N37</f>
        <v>10000</v>
      </c>
      <c r="O40" s="210">
        <f t="shared" si="5"/>
        <v>0.01</v>
      </c>
      <c r="P40" s="210">
        <f t="shared" si="6"/>
        <v>0.01</v>
      </c>
    </row>
    <row r="41" spans="6:41" x14ac:dyDescent="0.25">
      <c r="F41" s="152"/>
      <c r="G41" s="152"/>
      <c r="H41" s="153"/>
      <c r="I41" s="153"/>
      <c r="J41" s="153"/>
      <c r="K41" s="153"/>
      <c r="L41" s="153"/>
      <c r="M41" s="153"/>
      <c r="N41" s="153"/>
      <c r="O41" s="153"/>
      <c r="P41" s="153"/>
    </row>
    <row r="42" spans="6:41" x14ac:dyDescent="0.25">
      <c r="L42" s="114"/>
      <c r="Z42" s="181"/>
    </row>
    <row r="45" spans="6:41" x14ac:dyDescent="0.25">
      <c r="F45" s="153" t="s">
        <v>145</v>
      </c>
      <c r="G45" s="153" t="s">
        <v>146</v>
      </c>
      <c r="H45" s="153" t="s">
        <v>147</v>
      </c>
      <c r="I45" s="153" t="s">
        <v>148</v>
      </c>
    </row>
    <row r="46" spans="6:41" x14ac:dyDescent="0.25">
      <c r="F46" s="166" t="s">
        <v>149</v>
      </c>
      <c r="G46" s="153">
        <f>95</f>
        <v>95</v>
      </c>
      <c r="H46" s="153">
        <f>H14</f>
        <v>1039.5</v>
      </c>
      <c r="I46" s="153">
        <f>G46*H46</f>
        <v>98752.5</v>
      </c>
      <c r="V46" s="203"/>
      <c r="W46" s="203"/>
      <c r="X46" s="203"/>
      <c r="Y46" s="203"/>
      <c r="Z46" s="211"/>
    </row>
    <row r="47" spans="6:41" x14ac:dyDescent="0.25">
      <c r="F47" s="166" t="s">
        <v>150</v>
      </c>
      <c r="G47" s="153">
        <f>90</f>
        <v>90</v>
      </c>
      <c r="H47" s="153">
        <f>H15</f>
        <v>1740.014457831325</v>
      </c>
      <c r="I47" s="153">
        <f>G47*H47</f>
        <v>156601.30120481926</v>
      </c>
    </row>
    <row r="48" spans="6:41" x14ac:dyDescent="0.25">
      <c r="F48" s="166" t="s">
        <v>151</v>
      </c>
      <c r="G48" s="153">
        <f>1050</f>
        <v>1050</v>
      </c>
      <c r="H48" s="153">
        <f>H16</f>
        <v>200.54111927710838</v>
      </c>
      <c r="I48" s="153">
        <f>G48*H48</f>
        <v>210568.17524096378</v>
      </c>
    </row>
    <row r="49" spans="7:27" x14ac:dyDescent="0.25">
      <c r="H49" s="153" t="s">
        <v>46</v>
      </c>
      <c r="I49" s="153">
        <f>SUM(I46:I48)</f>
        <v>465921.97644578305</v>
      </c>
      <c r="J49" s="211">
        <v>465922</v>
      </c>
    </row>
    <row r="51" spans="7:27" x14ac:dyDescent="0.25">
      <c r="G51" s="92" t="s">
        <v>1087</v>
      </c>
    </row>
    <row r="52" spans="7:27" x14ac:dyDescent="0.25">
      <c r="G52" s="92" t="s">
        <v>1088</v>
      </c>
    </row>
    <row r="53" spans="7:27" x14ac:dyDescent="0.25">
      <c r="G53" s="92" t="s">
        <v>273</v>
      </c>
    </row>
    <row r="54" spans="7:27" x14ac:dyDescent="0.25">
      <c r="V54" s="203"/>
      <c r="W54" s="203"/>
      <c r="X54" s="203"/>
      <c r="Y54" s="203"/>
    </row>
    <row r="55" spans="7:27" x14ac:dyDescent="0.25">
      <c r="G55" s="153" t="s">
        <v>131</v>
      </c>
      <c r="H55" s="153" t="s">
        <v>132</v>
      </c>
      <c r="I55" s="153" t="s">
        <v>133</v>
      </c>
    </row>
    <row r="56" spans="7:27" x14ac:dyDescent="0.25">
      <c r="G56" s="153" t="s">
        <v>134</v>
      </c>
      <c r="H56" s="153">
        <f>0.1</f>
        <v>0.1</v>
      </c>
      <c r="I56" s="153" t="s">
        <v>135</v>
      </c>
    </row>
    <row r="57" spans="7:27" x14ac:dyDescent="0.25">
      <c r="G57" s="153" t="s">
        <v>1089</v>
      </c>
      <c r="H57" s="153">
        <f>0.00005</f>
        <v>5.0000000000000002E-5</v>
      </c>
      <c r="I57" s="153" t="s">
        <v>1090</v>
      </c>
    </row>
    <row r="58" spans="7:27" x14ac:dyDescent="0.25">
      <c r="G58" s="153" t="s">
        <v>127</v>
      </c>
      <c r="H58" s="153">
        <f>30</f>
        <v>30</v>
      </c>
      <c r="I58" s="153" t="s">
        <v>1091</v>
      </c>
    </row>
    <row r="59" spans="7:27" x14ac:dyDescent="0.25">
      <c r="G59" s="153" t="s">
        <v>1092</v>
      </c>
      <c r="H59" s="153">
        <v>1.2E-2</v>
      </c>
      <c r="I59" s="153" t="s">
        <v>1090</v>
      </c>
    </row>
    <row r="60" spans="7:27" x14ac:dyDescent="0.25">
      <c r="G60" s="153" t="s">
        <v>1093</v>
      </c>
      <c r="H60" s="153">
        <f>2.5/74800</f>
        <v>3.3422459893048129E-5</v>
      </c>
      <c r="I60" s="153" t="s">
        <v>137</v>
      </c>
    </row>
    <row r="61" spans="7:27" x14ac:dyDescent="0.25">
      <c r="G61" s="153"/>
      <c r="H61" s="153">
        <f>0.142</f>
        <v>0.14199999999999999</v>
      </c>
      <c r="I61" s="153" t="s">
        <v>137</v>
      </c>
      <c r="V61" s="190"/>
      <c r="W61" s="190"/>
      <c r="X61" s="190"/>
      <c r="Y61" s="190"/>
      <c r="Z61" s="153"/>
      <c r="AA61" s="153"/>
    </row>
    <row r="62" spans="7:27" x14ac:dyDescent="0.25">
      <c r="G62" s="156" t="s">
        <v>273</v>
      </c>
    </row>
    <row r="64" spans="7:27" ht="30" x14ac:dyDescent="0.25">
      <c r="G64" s="169" t="s">
        <v>1094</v>
      </c>
    </row>
    <row r="65" spans="6:26" x14ac:dyDescent="0.25">
      <c r="G65" s="153" t="s">
        <v>1095</v>
      </c>
    </row>
    <row r="66" spans="6:26" x14ac:dyDescent="0.25">
      <c r="G66" s="153" t="s">
        <v>1096</v>
      </c>
    </row>
    <row r="67" spans="6:26" x14ac:dyDescent="0.25">
      <c r="V67" s="203"/>
      <c r="W67" s="203"/>
      <c r="X67" s="203"/>
      <c r="Y67" s="203"/>
      <c r="Z67" s="153"/>
    </row>
    <row r="71" spans="6:26" x14ac:dyDescent="0.25">
      <c r="F71" s="153" t="s">
        <v>166</v>
      </c>
      <c r="G71" s="153" t="s">
        <v>216</v>
      </c>
      <c r="H71" s="153" t="s">
        <v>154</v>
      </c>
      <c r="I71" s="153" t="s">
        <v>1097</v>
      </c>
      <c r="J71" s="152" t="s">
        <v>152</v>
      </c>
      <c r="K71" s="152"/>
    </row>
    <row r="72" spans="6:26" x14ac:dyDescent="0.25">
      <c r="F72" s="153" t="s">
        <v>1098</v>
      </c>
      <c r="G72" s="153">
        <f>'[1]Material balance'!D14*'[1]Material balance'!G14/100</f>
        <v>4.8500623320083127</v>
      </c>
      <c r="H72" s="153">
        <f>G72*330</f>
        <v>1600.5205695627433</v>
      </c>
      <c r="I72" s="153">
        <f>G72*1000</f>
        <v>4850.0623320083123</v>
      </c>
      <c r="J72" s="153">
        <f>I72*330</f>
        <v>1600520.569562743</v>
      </c>
      <c r="K72" s="153">
        <f>1600521</f>
        <v>1600521</v>
      </c>
    </row>
    <row r="73" spans="6:26" x14ac:dyDescent="0.25">
      <c r="F73" s="153" t="s">
        <v>275</v>
      </c>
      <c r="G73" s="171">
        <f>'[1]Material balance'!D14-'[1]Cost Analysis'!G72</f>
        <v>0.17590899649771075</v>
      </c>
      <c r="H73" s="153">
        <f>G73*330</f>
        <v>58.049968844244546</v>
      </c>
      <c r="I73" s="153">
        <f>G73*1000</f>
        <v>175.90899649771075</v>
      </c>
      <c r="J73" s="153">
        <f>I73*330</f>
        <v>58049.968844244548</v>
      </c>
      <c r="K73" s="153">
        <f>58050</f>
        <v>58050</v>
      </c>
      <c r="V73" s="203"/>
      <c r="W73" s="203"/>
      <c r="X73" s="203"/>
      <c r="Y73" s="203"/>
      <c r="Z73" s="211"/>
    </row>
    <row r="81" spans="22:28" x14ac:dyDescent="0.25">
      <c r="V81" s="203"/>
      <c r="W81" s="203"/>
      <c r="X81" s="203"/>
      <c r="Y81" s="203"/>
      <c r="Z81" s="153"/>
    </row>
    <row r="83" spans="22:28" x14ac:dyDescent="0.25">
      <c r="V83" s="203"/>
      <c r="W83" s="203"/>
      <c r="X83" s="203"/>
      <c r="Y83" s="203"/>
      <c r="Z83" s="153"/>
    </row>
    <row r="85" spans="22:28" x14ac:dyDescent="0.25">
      <c r="V85" s="203"/>
      <c r="W85" s="203"/>
      <c r="X85" s="203"/>
      <c r="Y85" s="203"/>
      <c r="AA85" s="212"/>
      <c r="AB85" s="92" t="s">
        <v>142</v>
      </c>
    </row>
    <row r="88" spans="22:28" x14ac:dyDescent="0.25">
      <c r="W88" s="203"/>
      <c r="X88" s="203"/>
    </row>
  </sheetData>
  <mergeCells count="94">
    <mergeCell ref="V73:Y73"/>
    <mergeCell ref="V81:Y81"/>
    <mergeCell ref="V83:Y83"/>
    <mergeCell ref="V85:Y85"/>
    <mergeCell ref="W88:X88"/>
    <mergeCell ref="F41:G41"/>
    <mergeCell ref="V46:Y46"/>
    <mergeCell ref="V54:Y54"/>
    <mergeCell ref="V61:Y61"/>
    <mergeCell ref="V67:Y67"/>
    <mergeCell ref="J71:K71"/>
    <mergeCell ref="F36:G36"/>
    <mergeCell ref="F37:G37"/>
    <mergeCell ref="F38:G38"/>
    <mergeCell ref="V38:Y38"/>
    <mergeCell ref="F39:G39"/>
    <mergeCell ref="F40:G40"/>
    <mergeCell ref="F31:G31"/>
    <mergeCell ref="F32:G32"/>
    <mergeCell ref="V32:Z32"/>
    <mergeCell ref="F33:G33"/>
    <mergeCell ref="F34:G34"/>
    <mergeCell ref="F35:G35"/>
    <mergeCell ref="V18:X18"/>
    <mergeCell ref="V25:Y25"/>
    <mergeCell ref="AC25:AF25"/>
    <mergeCell ref="F28:G28"/>
    <mergeCell ref="F29:G29"/>
    <mergeCell ref="F30:G30"/>
    <mergeCell ref="O13:P13"/>
    <mergeCell ref="Q13:R13"/>
    <mergeCell ref="W13:X13"/>
    <mergeCell ref="AB13:AC13"/>
    <mergeCell ref="O14:P14"/>
    <mergeCell ref="Q14:R14"/>
    <mergeCell ref="W14:X14"/>
    <mergeCell ref="AB14:AC14"/>
    <mergeCell ref="O11:P11"/>
    <mergeCell ref="Q11:R11"/>
    <mergeCell ref="T11:U11"/>
    <mergeCell ref="W11:X11"/>
    <mergeCell ref="Z11:AA11"/>
    <mergeCell ref="O12:P12"/>
    <mergeCell ref="Q12:R12"/>
    <mergeCell ref="T12:U12"/>
    <mergeCell ref="W12:X12"/>
    <mergeCell ref="Z12:AA12"/>
    <mergeCell ref="O9:P9"/>
    <mergeCell ref="Q9:R9"/>
    <mergeCell ref="T9:U9"/>
    <mergeCell ref="W9:X9"/>
    <mergeCell ref="Z9:AA9"/>
    <mergeCell ref="O10:P10"/>
    <mergeCell ref="Q10:R10"/>
    <mergeCell ref="T10:U10"/>
    <mergeCell ref="W10:X10"/>
    <mergeCell ref="Z10:AA10"/>
    <mergeCell ref="O7:P7"/>
    <mergeCell ref="Q7:R7"/>
    <mergeCell ref="T7:U7"/>
    <mergeCell ref="W7:X7"/>
    <mergeCell ref="Z7:AA7"/>
    <mergeCell ref="O8:P8"/>
    <mergeCell ref="Q8:R8"/>
    <mergeCell ref="T8:U8"/>
    <mergeCell ref="W8:X8"/>
    <mergeCell ref="Z8:AA8"/>
    <mergeCell ref="O5:P5"/>
    <mergeCell ref="Q5:R5"/>
    <mergeCell ref="T5:U5"/>
    <mergeCell ref="W5:X5"/>
    <mergeCell ref="Z5:AA5"/>
    <mergeCell ref="O6:P6"/>
    <mergeCell ref="Q6:R6"/>
    <mergeCell ref="T6:U6"/>
    <mergeCell ref="W6:X6"/>
    <mergeCell ref="Z6:AA6"/>
    <mergeCell ref="O3:P3"/>
    <mergeCell ref="Q3:R3"/>
    <mergeCell ref="T3:U3"/>
    <mergeCell ref="W3:X3"/>
    <mergeCell ref="Z3:AA3"/>
    <mergeCell ref="O4:P4"/>
    <mergeCell ref="Q4:R4"/>
    <mergeCell ref="T4:U4"/>
    <mergeCell ref="W4:X4"/>
    <mergeCell ref="Z4:AA4"/>
    <mergeCell ref="O1:Z1"/>
    <mergeCell ref="A2:C2"/>
    <mergeCell ref="O2:P2"/>
    <mergeCell ref="Q2:R2"/>
    <mergeCell ref="T2:U2"/>
    <mergeCell ref="W2:X2"/>
    <mergeCell ref="Z2:A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7C38-2055-4ACC-A435-EBA21A78625A}">
  <dimension ref="A1:AE103"/>
  <sheetViews>
    <sheetView topLeftCell="A13" zoomScale="93" zoomScaleNormal="85" workbookViewId="0">
      <selection activeCell="D42" sqref="D42"/>
    </sheetView>
  </sheetViews>
  <sheetFormatPr defaultRowHeight="15" x14ac:dyDescent="0.25"/>
  <cols>
    <col min="1" max="1" width="33.85546875" customWidth="1"/>
    <col min="2" max="2" width="11.85546875" customWidth="1"/>
    <col min="3" max="3" width="11.28515625" customWidth="1"/>
    <col min="4" max="4" width="13.140625" customWidth="1"/>
    <col min="5" max="5" width="17.42578125" customWidth="1"/>
    <col min="6" max="7" width="20.7109375" customWidth="1"/>
    <col min="8" max="8" width="19.28515625" customWidth="1"/>
    <col min="9" max="9" width="15.5703125" customWidth="1"/>
    <col min="10" max="10" width="18.28515625" customWidth="1"/>
    <col min="11" max="11" width="14.42578125" customWidth="1"/>
    <col min="12" max="12" width="13.42578125" customWidth="1"/>
    <col min="13" max="13" width="14.42578125" customWidth="1"/>
    <col min="14" max="14" width="13.85546875" customWidth="1"/>
    <col min="17" max="17" width="17.5703125" customWidth="1"/>
    <col min="20" max="20" width="33.28515625" customWidth="1"/>
    <col min="21" max="21" width="17.5703125" customWidth="1"/>
    <col min="22" max="22" width="18.140625" customWidth="1"/>
    <col min="23" max="23" width="17.85546875" customWidth="1"/>
    <col min="24" max="24" width="13.28515625" customWidth="1"/>
    <col min="25" max="25" width="16.140625" customWidth="1"/>
    <col min="28" max="28" width="18.42578125" customWidth="1"/>
    <col min="29" max="29" width="17.85546875" customWidth="1"/>
    <col min="30" max="30" width="14.140625" customWidth="1"/>
    <col min="31" max="31" width="12.7109375" customWidth="1"/>
  </cols>
  <sheetData>
    <row r="1" spans="1:31" ht="58.5" customHeight="1" x14ac:dyDescent="0.25">
      <c r="C1" s="82" t="s">
        <v>47</v>
      </c>
      <c r="D1" s="82"/>
      <c r="E1" s="30" t="s">
        <v>69</v>
      </c>
      <c r="F1" s="30" t="s">
        <v>48</v>
      </c>
      <c r="G1" s="30" t="s">
        <v>119</v>
      </c>
      <c r="H1" s="30" t="s">
        <v>120</v>
      </c>
      <c r="I1" s="30" t="s">
        <v>76</v>
      </c>
      <c r="J1" s="30" t="s">
        <v>49</v>
      </c>
      <c r="K1" s="30" t="s">
        <v>50</v>
      </c>
      <c r="L1" s="30" t="s">
        <v>51</v>
      </c>
      <c r="M1" s="30" t="s">
        <v>68</v>
      </c>
      <c r="N1" s="30" t="s">
        <v>52</v>
      </c>
      <c r="O1" s="31" t="s">
        <v>160</v>
      </c>
      <c r="Q1" s="80" t="s">
        <v>211</v>
      </c>
      <c r="R1" s="80"/>
      <c r="S1" s="80"/>
      <c r="U1" s="31" t="s">
        <v>127</v>
      </c>
      <c r="V1" s="31" t="s">
        <v>128</v>
      </c>
      <c r="X1" s="38" t="s">
        <v>131</v>
      </c>
      <c r="Y1" s="38" t="s">
        <v>132</v>
      </c>
      <c r="Z1" s="38" t="s">
        <v>133</v>
      </c>
    </row>
    <row r="2" spans="1:31" x14ac:dyDescent="0.25">
      <c r="C2" s="81" t="s">
        <v>53</v>
      </c>
      <c r="D2" s="81"/>
      <c r="E2" s="28">
        <f>B27</f>
        <v>36000</v>
      </c>
      <c r="F2" s="28">
        <f>40000</f>
        <v>40000</v>
      </c>
      <c r="G2" s="34">
        <f>B14</f>
        <v>598000</v>
      </c>
      <c r="H2" s="28">
        <f>((E2/F2)^$J$2)*G2</f>
        <v>557241.77292978787</v>
      </c>
      <c r="I2" s="28">
        <f t="shared" ref="I2:I10" si="0">(ROUND(H2,0))*10^-6</f>
        <v>0.55724200000000002</v>
      </c>
      <c r="J2" s="28">
        <f>0.67</f>
        <v>0.67</v>
      </c>
      <c r="K2" s="28">
        <f>0.5</f>
        <v>0.5</v>
      </c>
      <c r="L2" s="28">
        <f>M2*C26</f>
        <v>3.6</v>
      </c>
      <c r="M2" s="28">
        <f>0.1</f>
        <v>0.1</v>
      </c>
      <c r="N2" s="28"/>
      <c r="O2" s="24"/>
      <c r="Q2" s="81">
        <f>330</f>
        <v>330</v>
      </c>
      <c r="R2" s="81"/>
      <c r="U2" s="24" t="s">
        <v>129</v>
      </c>
      <c r="V2" s="24">
        <f>30</f>
        <v>30</v>
      </c>
      <c r="X2" s="24" t="s">
        <v>134</v>
      </c>
      <c r="Y2" s="24">
        <f>0.1</f>
        <v>0.1</v>
      </c>
      <c r="Z2" s="24" t="s">
        <v>135</v>
      </c>
      <c r="AB2" t="s">
        <v>203</v>
      </c>
      <c r="AC2">
        <f>3.79</f>
        <v>3.79</v>
      </c>
      <c r="AD2" t="s">
        <v>138</v>
      </c>
    </row>
    <row r="3" spans="1:31" x14ac:dyDescent="0.25">
      <c r="C3" s="83" t="s">
        <v>56</v>
      </c>
      <c r="D3" s="83"/>
      <c r="E3" s="32">
        <f>B37</f>
        <v>15000</v>
      </c>
      <c r="F3" s="28">
        <v>200000</v>
      </c>
      <c r="G3" s="34">
        <f>B15</f>
        <v>35000</v>
      </c>
      <c r="H3" s="28">
        <f>((E3/F3)^$J$2)*G3</f>
        <v>6171.0503635987998</v>
      </c>
      <c r="I3" s="28">
        <f t="shared" si="0"/>
        <v>6.1709999999999994E-3</v>
      </c>
      <c r="J3" s="28">
        <f t="shared" ref="J3:J9" si="1">0.67</f>
        <v>0.67</v>
      </c>
      <c r="K3" s="28">
        <f>0.1</f>
        <v>0.1</v>
      </c>
      <c r="L3" s="28" t="s">
        <v>55</v>
      </c>
      <c r="M3" s="28"/>
      <c r="N3" s="28"/>
      <c r="O3" s="24"/>
      <c r="Q3" s="37" t="s">
        <v>222</v>
      </c>
      <c r="R3" s="24">
        <f>Q2*Anti_solvent!D9</f>
        <v>1675.3237761686744</v>
      </c>
      <c r="U3" s="24" t="s">
        <v>130</v>
      </c>
      <c r="V3" s="24">
        <f>50</f>
        <v>50</v>
      </c>
      <c r="X3" s="24" t="s">
        <v>136</v>
      </c>
      <c r="Y3" s="24">
        <f>0.142</f>
        <v>0.14199999999999999</v>
      </c>
      <c r="Z3" s="24" t="s">
        <v>137</v>
      </c>
      <c r="AB3" s="24" t="s">
        <v>139</v>
      </c>
      <c r="AC3" s="24">
        <f>748</f>
        <v>748</v>
      </c>
      <c r="AD3" s="24" t="s">
        <v>140</v>
      </c>
    </row>
    <row r="4" spans="1:31" x14ac:dyDescent="0.25">
      <c r="C4" s="81" t="s">
        <v>57</v>
      </c>
      <c r="D4" s="81"/>
      <c r="E4" s="28">
        <f>40</f>
        <v>40</v>
      </c>
      <c r="F4" s="28">
        <v>80</v>
      </c>
      <c r="G4" s="34">
        <f>B16</f>
        <v>32000</v>
      </c>
      <c r="H4" s="28">
        <f>((E4/F4)^$J$2)*G4</f>
        <v>20112.213992349254</v>
      </c>
      <c r="I4" s="28">
        <f>(ROUND(H4,0))*10^-6</f>
        <v>2.0111999999999998E-2</v>
      </c>
      <c r="J4" s="28">
        <f t="shared" si="1"/>
        <v>0.67</v>
      </c>
      <c r="K4" s="28">
        <f>1</f>
        <v>1</v>
      </c>
      <c r="L4" s="28">
        <f>0.1</f>
        <v>0.1</v>
      </c>
      <c r="M4" s="28"/>
      <c r="N4" s="28">
        <f>400</f>
        <v>400</v>
      </c>
      <c r="O4" s="24">
        <f>1000</f>
        <v>1000</v>
      </c>
      <c r="U4" t="s">
        <v>202</v>
      </c>
      <c r="V4">
        <f>36</f>
        <v>36</v>
      </c>
      <c r="AB4" s="24" t="s">
        <v>141</v>
      </c>
      <c r="AC4" s="24">
        <f>2.5</f>
        <v>2.5</v>
      </c>
      <c r="AD4" s="24" t="s">
        <v>142</v>
      </c>
    </row>
    <row r="5" spans="1:31" x14ac:dyDescent="0.25">
      <c r="C5" s="83" t="s">
        <v>61</v>
      </c>
      <c r="D5" s="83"/>
      <c r="E5" s="32"/>
      <c r="F5" s="28"/>
      <c r="G5" s="28"/>
      <c r="H5" s="34">
        <f>B17</f>
        <v>78000</v>
      </c>
      <c r="I5" s="28">
        <f t="shared" si="0"/>
        <v>7.8E-2</v>
      </c>
      <c r="J5" s="28">
        <f t="shared" si="1"/>
        <v>0.67</v>
      </c>
      <c r="K5" s="28">
        <f>1</f>
        <v>1</v>
      </c>
      <c r="L5" s="28">
        <f>C92</f>
        <v>1922</v>
      </c>
      <c r="M5" s="28"/>
      <c r="N5" s="28"/>
      <c r="O5" s="24"/>
      <c r="U5" s="38" t="s">
        <v>145</v>
      </c>
      <c r="V5" s="38" t="s">
        <v>146</v>
      </c>
      <c r="W5" s="38" t="s">
        <v>147</v>
      </c>
      <c r="X5" s="38" t="s">
        <v>148</v>
      </c>
    </row>
    <row r="6" spans="1:31" x14ac:dyDescent="0.25">
      <c r="C6" s="81" t="s">
        <v>62</v>
      </c>
      <c r="D6" s="81"/>
      <c r="E6" s="28">
        <f>50</f>
        <v>50</v>
      </c>
      <c r="F6" s="28">
        <f>100</f>
        <v>100</v>
      </c>
      <c r="G6" s="34">
        <f>B18</f>
        <v>8500</v>
      </c>
      <c r="H6" s="34">
        <f>G6*(E6/F6)^J6</f>
        <v>5342.306841717771</v>
      </c>
      <c r="I6" s="28">
        <f t="shared" si="0"/>
        <v>5.3419999999999995E-3</v>
      </c>
      <c r="J6" s="28">
        <f t="shared" si="1"/>
        <v>0.67</v>
      </c>
      <c r="K6" s="28">
        <f>0.1</f>
        <v>0.1</v>
      </c>
      <c r="L6" s="28">
        <f>C67</f>
        <v>368</v>
      </c>
      <c r="M6" s="28"/>
      <c r="N6" s="28"/>
      <c r="O6" s="24"/>
      <c r="U6" s="39" t="s">
        <v>149</v>
      </c>
      <c r="V6" s="24">
        <f>50</f>
        <v>50</v>
      </c>
      <c r="W6" s="24">
        <f>(Anti_solvent!D4*Anti_solvent!F4/100)*330</f>
        <v>1039.5</v>
      </c>
      <c r="X6" s="24">
        <f>V6*W6</f>
        <v>51975</v>
      </c>
    </row>
    <row r="7" spans="1:31" x14ac:dyDescent="0.25">
      <c r="C7" s="81" t="s">
        <v>64</v>
      </c>
      <c r="D7" s="81"/>
      <c r="E7" s="28">
        <f>F7</f>
        <v>300</v>
      </c>
      <c r="F7" s="28">
        <f>300</f>
        <v>300</v>
      </c>
      <c r="G7" s="34">
        <f>B19</f>
        <v>10000</v>
      </c>
      <c r="H7" s="34">
        <f>G7</f>
        <v>10000</v>
      </c>
      <c r="I7" s="28">
        <f t="shared" si="0"/>
        <v>0.01</v>
      </c>
      <c r="J7" s="28">
        <f t="shared" si="1"/>
        <v>0.67</v>
      </c>
      <c r="K7" s="28">
        <f>0.05</f>
        <v>0.05</v>
      </c>
      <c r="L7" s="28">
        <f>0.1</f>
        <v>0.1</v>
      </c>
      <c r="M7" s="28"/>
      <c r="N7" s="28"/>
      <c r="O7" s="24"/>
      <c r="U7" s="39" t="s">
        <v>150</v>
      </c>
      <c r="V7" s="24">
        <f>90</f>
        <v>90</v>
      </c>
      <c r="W7" s="24">
        <f>(Anti_solvent!D4*Anti_solvent!G4/100)*330</f>
        <v>1740.014457831325</v>
      </c>
      <c r="X7" s="24">
        <f>V7*W7</f>
        <v>156601.30120481926</v>
      </c>
    </row>
    <row r="8" spans="1:31" x14ac:dyDescent="0.25">
      <c r="C8" s="81" t="s">
        <v>65</v>
      </c>
      <c r="D8" s="81"/>
      <c r="E8" s="28">
        <f>F8</f>
        <v>300</v>
      </c>
      <c r="F8" s="28">
        <f>300</f>
        <v>300</v>
      </c>
      <c r="G8" s="34">
        <f>B19</f>
        <v>10000</v>
      </c>
      <c r="H8" s="34">
        <f>G8</f>
        <v>10000</v>
      </c>
      <c r="I8" s="28">
        <f t="shared" si="0"/>
        <v>0.01</v>
      </c>
      <c r="J8" s="28">
        <f t="shared" si="1"/>
        <v>0.67</v>
      </c>
      <c r="K8" s="28">
        <f>0.05</f>
        <v>0.05</v>
      </c>
      <c r="L8" s="28">
        <f t="shared" ref="L8:L9" si="2">0.1</f>
        <v>0.1</v>
      </c>
      <c r="M8" s="28"/>
      <c r="N8" s="28"/>
      <c r="O8" s="24"/>
      <c r="U8" s="39" t="s">
        <v>151</v>
      </c>
      <c r="V8" s="24">
        <f>900</f>
        <v>900</v>
      </c>
      <c r="W8" s="24">
        <f>(Anti_solvent!I15/100*Anti_solvent!D15)*Anti_Cost_Anal!Q2</f>
        <v>200.54111927710838</v>
      </c>
      <c r="X8" s="24">
        <f>V8*W8</f>
        <v>180487.00734939755</v>
      </c>
      <c r="AB8" s="38" t="s">
        <v>8</v>
      </c>
      <c r="AC8" s="38" t="s">
        <v>216</v>
      </c>
      <c r="AD8" s="38" t="s">
        <v>217</v>
      </c>
    </row>
    <row r="9" spans="1:31" x14ac:dyDescent="0.25">
      <c r="C9" s="84" t="s">
        <v>66</v>
      </c>
      <c r="D9" s="85"/>
      <c r="E9" s="28">
        <f>F9</f>
        <v>300</v>
      </c>
      <c r="F9" s="28">
        <f>300</f>
        <v>300</v>
      </c>
      <c r="G9" s="34">
        <f>B19</f>
        <v>10000</v>
      </c>
      <c r="H9" s="34">
        <f>G9</f>
        <v>10000</v>
      </c>
      <c r="I9" s="28">
        <f t="shared" si="0"/>
        <v>0.01</v>
      </c>
      <c r="J9" s="28">
        <f t="shared" si="1"/>
        <v>0.67</v>
      </c>
      <c r="K9" s="28">
        <f>0.05</f>
        <v>0.05</v>
      </c>
      <c r="L9" s="28">
        <f t="shared" si="2"/>
        <v>0.1</v>
      </c>
      <c r="M9" s="28"/>
      <c r="N9" s="28"/>
      <c r="O9" s="24"/>
      <c r="W9" s="24" t="s">
        <v>46</v>
      </c>
      <c r="X9" s="24">
        <f>SUM(X6:X8)</f>
        <v>389063.30855421681</v>
      </c>
      <c r="Y9" s="40">
        <f>ROUND(X9,0)</f>
        <v>389063</v>
      </c>
      <c r="AB9" s="24" t="s">
        <v>45</v>
      </c>
      <c r="AC9" s="69">
        <f>Anti_solvent!D6</f>
        <v>12.154007228915667</v>
      </c>
      <c r="AD9" s="69">
        <f>Anti_solvent!D14</f>
        <v>11.546306867469884</v>
      </c>
    </row>
    <row r="10" spans="1:31" x14ac:dyDescent="0.25">
      <c r="C10" s="84" t="s">
        <v>248</v>
      </c>
      <c r="D10" s="85"/>
      <c r="E10" s="24">
        <f>21</f>
        <v>21</v>
      </c>
      <c r="F10" s="28">
        <f>50</f>
        <v>50</v>
      </c>
      <c r="G10" s="28">
        <f>105000</f>
        <v>105000</v>
      </c>
      <c r="H10" s="24">
        <f>G10*(E10/F10)^J10</f>
        <v>58717.333320473314</v>
      </c>
      <c r="I10" s="28">
        <f t="shared" si="0"/>
        <v>5.8716999999999998E-2</v>
      </c>
      <c r="J10" s="24">
        <f>J9</f>
        <v>0.67</v>
      </c>
      <c r="K10" s="28">
        <f>0.2</f>
        <v>0.2</v>
      </c>
      <c r="L10" s="24">
        <f>0.1*E10</f>
        <v>2.1</v>
      </c>
      <c r="M10" s="24"/>
      <c r="N10" s="24"/>
      <c r="O10" s="24"/>
      <c r="V10" s="24"/>
      <c r="W10" s="38" t="s">
        <v>154</v>
      </c>
      <c r="X10" s="38" t="s">
        <v>152</v>
      </c>
      <c r="Y10" s="38" t="s">
        <v>153</v>
      </c>
      <c r="AB10" s="70" t="s">
        <v>220</v>
      </c>
      <c r="AC10" s="24">
        <f>AC9*V8*Q2</f>
        <v>3609740.1469879528</v>
      </c>
      <c r="AD10" s="24">
        <f>AD9*V8*Q2</f>
        <v>3429253.1396385557</v>
      </c>
    </row>
    <row r="11" spans="1:31" x14ac:dyDescent="0.25">
      <c r="V11" s="67" t="s">
        <v>136</v>
      </c>
      <c r="W11" s="68">
        <f>(Anti_solvent!H4*Anti_solvent!D4/100)*330</f>
        <v>7615.4855421686761</v>
      </c>
      <c r="X11" s="24">
        <f>W11*1000</f>
        <v>7615485.5421686759</v>
      </c>
      <c r="Y11" s="24">
        <f>X11/3.79</f>
        <v>2009362.9398861942</v>
      </c>
      <c r="AB11" s="24" t="s">
        <v>218</v>
      </c>
      <c r="AC11" s="81">
        <f>AC10-AD10</f>
        <v>180487.00734939706</v>
      </c>
      <c r="AD11" s="81"/>
    </row>
    <row r="12" spans="1:31" x14ac:dyDescent="0.25">
      <c r="A12" s="80" t="s">
        <v>75</v>
      </c>
      <c r="B12" s="80"/>
      <c r="C12" s="80"/>
      <c r="I12" s="80" t="s">
        <v>121</v>
      </c>
      <c r="J12" s="80"/>
      <c r="K12" s="80"/>
      <c r="O12" s="80" t="s">
        <v>156</v>
      </c>
      <c r="P12" s="80"/>
      <c r="Q12" s="80"/>
      <c r="R12" s="80"/>
      <c r="S12" s="37">
        <f>SUM(I2:I10)</f>
        <v>0.75558400000000003</v>
      </c>
    </row>
    <row r="13" spans="1:31" x14ac:dyDescent="0.25">
      <c r="A13" t="s">
        <v>70</v>
      </c>
      <c r="B13" t="s">
        <v>71</v>
      </c>
      <c r="C13" t="s">
        <v>73</v>
      </c>
    </row>
    <row r="14" spans="1:31" x14ac:dyDescent="0.25">
      <c r="A14" t="s">
        <v>72</v>
      </c>
      <c r="B14" s="33">
        <v>598000</v>
      </c>
      <c r="C14" t="s">
        <v>74</v>
      </c>
      <c r="I14" s="80" t="s">
        <v>122</v>
      </c>
      <c r="J14" s="80"/>
      <c r="K14" s="80"/>
      <c r="L14" s="38">
        <f>(M17*(1+M17)^(M16)/((1+M17)^M16-1))</f>
        <v>0.11016807219002084</v>
      </c>
      <c r="M14" s="38">
        <f>ROUND(L14,2)</f>
        <v>0.11</v>
      </c>
    </row>
    <row r="15" spans="1:31" x14ac:dyDescent="0.25">
      <c r="A15" t="s">
        <v>77</v>
      </c>
      <c r="B15" s="33">
        <v>35000</v>
      </c>
      <c r="C15" t="s">
        <v>78</v>
      </c>
      <c r="AB15" s="81" t="s">
        <v>219</v>
      </c>
      <c r="AC15" s="81"/>
      <c r="AD15" s="81"/>
      <c r="AE15" s="81"/>
    </row>
    <row r="16" spans="1:31" x14ac:dyDescent="0.25">
      <c r="A16" t="s">
        <v>79</v>
      </c>
      <c r="B16" s="33">
        <v>32000</v>
      </c>
      <c r="C16" t="s">
        <v>58</v>
      </c>
      <c r="L16" t="s">
        <v>123</v>
      </c>
      <c r="M16">
        <f>25</f>
        <v>25</v>
      </c>
      <c r="T16" t="str">
        <f>I20</f>
        <v>Annualized Capital Cost (CCAC) (M$)</v>
      </c>
      <c r="U16">
        <f>L20</f>
        <v>0.74503604736000006</v>
      </c>
      <c r="W16" t="s">
        <v>196</v>
      </c>
      <c r="X16">
        <f>S12*10^6</f>
        <v>755584</v>
      </c>
      <c r="Y16">
        <v>687138.73667999997</v>
      </c>
      <c r="AB16" s="81" t="str">
        <f>I62</f>
        <v>Total Cost (CCTC) (M$)</v>
      </c>
      <c r="AC16" s="81"/>
      <c r="AD16" s="24">
        <f>AC10+N20+N30+N45+N50+N55</f>
        <v>10182838.531811792</v>
      </c>
      <c r="AE16" s="24">
        <f>ROUND(AD16,0)</f>
        <v>10182839</v>
      </c>
    </row>
    <row r="17" spans="1:31" x14ac:dyDescent="0.25">
      <c r="A17" t="s">
        <v>80</v>
      </c>
      <c r="B17" s="33">
        <v>78000</v>
      </c>
      <c r="L17" t="s">
        <v>201</v>
      </c>
      <c r="M17">
        <f>0.1</f>
        <v>0.1</v>
      </c>
      <c r="T17" t="str">
        <f>I45</f>
        <v>Other Cost (CCOC) (M$)</v>
      </c>
      <c r="U17">
        <f>L45</f>
        <v>2.6457815999999998</v>
      </c>
      <c r="W17" t="s">
        <v>189</v>
      </c>
      <c r="X17">
        <f t="shared" ref="X17:X19" si="3">U17*10^6</f>
        <v>2645781.5999999996</v>
      </c>
      <c r="Y17">
        <v>2513675.9999999995</v>
      </c>
    </row>
    <row r="18" spans="1:31" x14ac:dyDescent="0.25">
      <c r="A18" t="s">
        <v>81</v>
      </c>
      <c r="B18" s="33">
        <v>8500</v>
      </c>
      <c r="C18" t="s">
        <v>63</v>
      </c>
      <c r="T18" t="str">
        <f>I50</f>
        <v>Utility Cost (CCUC) (M$)</v>
      </c>
      <c r="U18">
        <f>L50</f>
        <v>2.1038407374638393</v>
      </c>
      <c r="W18" t="s">
        <v>197</v>
      </c>
      <c r="X18">
        <f t="shared" si="3"/>
        <v>2103840.7374638394</v>
      </c>
      <c r="Y18">
        <v>2102177.5374638392</v>
      </c>
    </row>
    <row r="19" spans="1:31" x14ac:dyDescent="0.25">
      <c r="A19" t="s">
        <v>200</v>
      </c>
      <c r="B19" s="33">
        <v>10000</v>
      </c>
      <c r="C19" t="s">
        <v>82</v>
      </c>
      <c r="N19" t="s">
        <v>142</v>
      </c>
      <c r="O19" t="s">
        <v>144</v>
      </c>
      <c r="T19" t="str">
        <f>I55</f>
        <v>Consumables Cost (CCSC) (M$)</v>
      </c>
      <c r="U19">
        <f>L55</f>
        <v>0.12672</v>
      </c>
      <c r="W19" t="s">
        <v>198</v>
      </c>
      <c r="X19">
        <f t="shared" si="3"/>
        <v>126720</v>
      </c>
      <c r="Y19">
        <v>126720</v>
      </c>
      <c r="AC19" s="37" t="s">
        <v>221</v>
      </c>
      <c r="AD19" s="37">
        <f>AE16-O62</f>
        <v>3220678</v>
      </c>
    </row>
    <row r="20" spans="1:31" x14ac:dyDescent="0.25">
      <c r="I20" s="80" t="s">
        <v>125</v>
      </c>
      <c r="J20" s="80"/>
      <c r="K20" s="80"/>
      <c r="L20" s="37">
        <f>1.66*M14*M25*(SUM(I2:I10))</f>
        <v>0.74503604736000006</v>
      </c>
      <c r="M20" s="37"/>
      <c r="N20" s="37">
        <f>L20*10^6</f>
        <v>745036.04736000008</v>
      </c>
      <c r="O20" s="37">
        <f>ROUND(N20,0)</f>
        <v>745036</v>
      </c>
      <c r="Q20">
        <f>1.66*M14*M25*(SUM(I2,I4,I5,I7:I10))</f>
        <v>0.73368376884000008</v>
      </c>
      <c r="W20" t="s">
        <v>187</v>
      </c>
      <c r="X20">
        <f>O30</f>
        <v>951720</v>
      </c>
      <c r="Y20">
        <v>904200</v>
      </c>
    </row>
    <row r="21" spans="1:31" x14ac:dyDescent="0.25">
      <c r="W21" t="s">
        <v>188</v>
      </c>
      <c r="X21">
        <f>O37</f>
        <v>389063</v>
      </c>
      <c r="Y21">
        <v>3818316</v>
      </c>
    </row>
    <row r="22" spans="1:31" x14ac:dyDescent="0.25">
      <c r="A22" s="37" t="s">
        <v>72</v>
      </c>
    </row>
    <row r="23" spans="1:31" x14ac:dyDescent="0.25">
      <c r="A23" t="s">
        <v>83</v>
      </c>
      <c r="B23" s="36">
        <f>Anti_solvent!$D$7</f>
        <v>43.654007228915667</v>
      </c>
    </row>
    <row r="24" spans="1:31" x14ac:dyDescent="0.25">
      <c r="A24" t="s">
        <v>84</v>
      </c>
      <c r="B24">
        <f>B23*1000</f>
        <v>43654.007228915667</v>
      </c>
      <c r="AB24" t="s">
        <v>896</v>
      </c>
      <c r="AC24">
        <f>O20</f>
        <v>745036</v>
      </c>
      <c r="AD24" t="s">
        <v>896</v>
      </c>
      <c r="AE24">
        <v>745036</v>
      </c>
    </row>
    <row r="25" spans="1:31" x14ac:dyDescent="0.25">
      <c r="A25" t="s">
        <v>85</v>
      </c>
      <c r="B25">
        <f>(Anti_solvent!$L$3*Anti_solvent!$F$7/100)+(Anti_solvent!$M$3*Anti_solvent!$G$7/100)+(Anti_solvent!$N$3*Anti_solvent!$H$7/100)+(Anti_solvent!$O$3*Anti_solvent!$I$7/100)</f>
        <v>1228.8773594419602</v>
      </c>
      <c r="L25" t="s">
        <v>124</v>
      </c>
      <c r="M25">
        <f>5.4</f>
        <v>5.4</v>
      </c>
      <c r="AB25" t="s">
        <v>196</v>
      </c>
      <c r="AC25">
        <v>687138.73667999997</v>
      </c>
      <c r="AD25" t="s">
        <v>189</v>
      </c>
      <c r="AE25">
        <v>2513675.9999999995</v>
      </c>
    </row>
    <row r="26" spans="1:31" x14ac:dyDescent="0.25">
      <c r="A26" t="s">
        <v>86</v>
      </c>
      <c r="B26">
        <f>B24/B25</f>
        <v>35.523485637931508</v>
      </c>
      <c r="C26">
        <f>ROUND(B26,0)</f>
        <v>36</v>
      </c>
      <c r="AB26" t="s">
        <v>189</v>
      </c>
      <c r="AC26">
        <v>2513675.9999999995</v>
      </c>
      <c r="AD26" t="s">
        <v>197</v>
      </c>
      <c r="AE26">
        <v>2102177.5374638392</v>
      </c>
    </row>
    <row r="27" spans="1:31" x14ac:dyDescent="0.25">
      <c r="A27" t="s">
        <v>87</v>
      </c>
      <c r="B27">
        <f>C26*1000</f>
        <v>36000</v>
      </c>
      <c r="AB27" t="s">
        <v>197</v>
      </c>
      <c r="AC27">
        <v>2102177.5374638392</v>
      </c>
      <c r="AD27" t="s">
        <v>198</v>
      </c>
      <c r="AE27">
        <v>126720</v>
      </c>
    </row>
    <row r="28" spans="1:31" x14ac:dyDescent="0.25">
      <c r="AB28" t="s">
        <v>198</v>
      </c>
      <c r="AC28">
        <v>126720</v>
      </c>
      <c r="AD28" t="s">
        <v>187</v>
      </c>
      <c r="AE28">
        <v>904200</v>
      </c>
    </row>
    <row r="29" spans="1:31" x14ac:dyDescent="0.25">
      <c r="N29" t="s">
        <v>142</v>
      </c>
      <c r="O29" t="s">
        <v>142</v>
      </c>
      <c r="AB29" t="s">
        <v>187</v>
      </c>
      <c r="AC29">
        <v>904200</v>
      </c>
      <c r="AD29" t="s">
        <v>188</v>
      </c>
      <c r="AE29">
        <v>3818316</v>
      </c>
    </row>
    <row r="30" spans="1:31" x14ac:dyDescent="0.25">
      <c r="I30" s="80" t="s">
        <v>143</v>
      </c>
      <c r="J30" s="80"/>
      <c r="K30" s="80"/>
      <c r="L30" s="37">
        <f>((V2*M33*SUM(K2:K10) +(V3+V4)*(M33/3))*10^-6)</f>
        <v>0.95172000000000001</v>
      </c>
      <c r="N30" s="37">
        <f>L30*10^6</f>
        <v>951720</v>
      </c>
      <c r="O30" s="37">
        <f>ROUND(N30,0)</f>
        <v>951720</v>
      </c>
      <c r="AB30" t="s">
        <v>188</v>
      </c>
      <c r="AC30">
        <f>ROUND((AC10+X6+X7),0)</f>
        <v>3818316</v>
      </c>
    </row>
    <row r="32" spans="1:31" x14ac:dyDescent="0.25">
      <c r="A32" t="s">
        <v>77</v>
      </c>
    </row>
    <row r="33" spans="1:22" x14ac:dyDescent="0.25">
      <c r="A33" t="s">
        <v>83</v>
      </c>
      <c r="B33" s="36">
        <f>Anti_solvent!$D$6</f>
        <v>12.154007228915667</v>
      </c>
      <c r="L33" t="s">
        <v>126</v>
      </c>
      <c r="M33">
        <f>7920</f>
        <v>7920</v>
      </c>
    </row>
    <row r="34" spans="1:22" x14ac:dyDescent="0.25">
      <c r="A34" t="s">
        <v>84</v>
      </c>
      <c r="B34">
        <f>B33*1000</f>
        <v>12154.007228915667</v>
      </c>
    </row>
    <row r="35" spans="1:22" x14ac:dyDescent="0.25">
      <c r="A35" t="s">
        <v>85</v>
      </c>
      <c r="B35">
        <f>Anti_solvent!O3</f>
        <v>790</v>
      </c>
    </row>
    <row r="36" spans="1:22" x14ac:dyDescent="0.25">
      <c r="A36" t="s">
        <v>88</v>
      </c>
      <c r="B36">
        <f>B34/B35</f>
        <v>15.38481927710844</v>
      </c>
      <c r="C36">
        <f>ROUND(B36,0)</f>
        <v>15</v>
      </c>
      <c r="N36" s="42" t="s">
        <v>142</v>
      </c>
      <c r="O36" t="s">
        <v>142</v>
      </c>
    </row>
    <row r="37" spans="1:22" x14ac:dyDescent="0.25">
      <c r="A37" t="s">
        <v>89</v>
      </c>
      <c r="B37">
        <f>C36*1000</f>
        <v>15000</v>
      </c>
      <c r="I37" s="80" t="s">
        <v>155</v>
      </c>
      <c r="J37" s="80"/>
      <c r="K37" s="80"/>
      <c r="L37" s="37">
        <f>Y9/10^6</f>
        <v>0.38906299999999999</v>
      </c>
      <c r="N37" s="37">
        <f>X9</f>
        <v>389063.30855421681</v>
      </c>
      <c r="O37" s="37">
        <f>ROUND(N37,0)</f>
        <v>389063</v>
      </c>
    </row>
    <row r="41" spans="1:22" x14ac:dyDescent="0.25">
      <c r="T41" t="s">
        <v>196</v>
      </c>
      <c r="U41">
        <v>755584</v>
      </c>
      <c r="V41">
        <f>ROUND(U41/$O$62*100,0)</f>
        <v>11</v>
      </c>
    </row>
    <row r="42" spans="1:22" x14ac:dyDescent="0.25">
      <c r="T42" t="s">
        <v>189</v>
      </c>
      <c r="U42">
        <v>2645781.5999999996</v>
      </c>
      <c r="V42">
        <f t="shared" ref="V42:V46" si="4">ROUND(U42/$O$62*100,0)</f>
        <v>38</v>
      </c>
    </row>
    <row r="43" spans="1:22" x14ac:dyDescent="0.25">
      <c r="T43" t="s">
        <v>197</v>
      </c>
      <c r="U43">
        <v>2103840.7374638394</v>
      </c>
      <c r="V43">
        <f t="shared" si="4"/>
        <v>30</v>
      </c>
    </row>
    <row r="44" spans="1:22" x14ac:dyDescent="0.25">
      <c r="A44" s="37">
        <f>((SUM(L2,L4:L10)*M33))</f>
        <v>18185111.999999996</v>
      </c>
      <c r="B44" s="37" t="s">
        <v>249</v>
      </c>
      <c r="N44" t="s">
        <v>142</v>
      </c>
      <c r="O44" t="s">
        <v>142</v>
      </c>
      <c r="T44" t="s">
        <v>198</v>
      </c>
      <c r="U44">
        <v>126720</v>
      </c>
      <c r="V44">
        <f t="shared" si="4"/>
        <v>2</v>
      </c>
    </row>
    <row r="45" spans="1:22" x14ac:dyDescent="0.25">
      <c r="B45" s="36"/>
      <c r="I45" s="80" t="s">
        <v>157</v>
      </c>
      <c r="J45" s="80"/>
      <c r="K45" s="80"/>
      <c r="L45" s="37">
        <f>2.78*L30</f>
        <v>2.6457815999999998</v>
      </c>
      <c r="M45" s="37"/>
      <c r="N45" s="37">
        <f>L45*10^6</f>
        <v>2645781.5999999996</v>
      </c>
      <c r="O45" s="37">
        <f>ROUND(N45,0)</f>
        <v>2645782</v>
      </c>
      <c r="T45" t="s">
        <v>187</v>
      </c>
      <c r="U45">
        <v>951720</v>
      </c>
      <c r="V45">
        <f t="shared" si="4"/>
        <v>14</v>
      </c>
    </row>
    <row r="46" spans="1:22" x14ac:dyDescent="0.25">
      <c r="T46" t="s">
        <v>188</v>
      </c>
      <c r="U46">
        <v>389063</v>
      </c>
      <c r="V46">
        <f t="shared" si="4"/>
        <v>6</v>
      </c>
    </row>
    <row r="49" spans="1:15" x14ac:dyDescent="0.25">
      <c r="N49" t="s">
        <v>142</v>
      </c>
      <c r="O49" t="s">
        <v>142</v>
      </c>
    </row>
    <row r="50" spans="1:15" x14ac:dyDescent="0.25">
      <c r="I50" s="80" t="s">
        <v>158</v>
      </c>
      <c r="J50" s="80"/>
      <c r="K50" s="80"/>
      <c r="L50" s="37">
        <f>((SUM(L2,L4:L10)*M33*Y2)+(Y11*Y3))/10^6</f>
        <v>2.1038407374638393</v>
      </c>
      <c r="M50" s="37"/>
      <c r="N50" s="37">
        <f>L50*10^6</f>
        <v>2103840.7374638394</v>
      </c>
      <c r="O50" s="37">
        <f>ROUND(N50,0)</f>
        <v>2103841</v>
      </c>
    </row>
    <row r="51" spans="1:15" x14ac:dyDescent="0.25">
      <c r="C51" s="79"/>
      <c r="D51" s="79"/>
      <c r="E51" s="79"/>
      <c r="F51" s="79"/>
    </row>
    <row r="54" spans="1:15" x14ac:dyDescent="0.25">
      <c r="N54" t="s">
        <v>142</v>
      </c>
      <c r="O54" t="s">
        <v>142</v>
      </c>
    </row>
    <row r="55" spans="1:15" x14ac:dyDescent="0.25">
      <c r="I55" s="80" t="s">
        <v>159</v>
      </c>
      <c r="J55" s="80"/>
      <c r="K55" s="80"/>
      <c r="L55" s="37">
        <f>((M33*N4*E4/O4))/10^6</f>
        <v>0.12672</v>
      </c>
      <c r="M55" s="37"/>
      <c r="N55" s="37">
        <f>L55*10^6</f>
        <v>126720</v>
      </c>
      <c r="O55" s="37">
        <f>ROUND(N55,0)</f>
        <v>126720</v>
      </c>
    </row>
    <row r="59" spans="1:15" x14ac:dyDescent="0.25">
      <c r="A59" s="37" t="s">
        <v>81</v>
      </c>
    </row>
    <row r="60" spans="1:15" x14ac:dyDescent="0.25">
      <c r="A60" t="s">
        <v>83</v>
      </c>
      <c r="B60" s="36">
        <f>Anti_solvent!$D$13</f>
        <v>11.546306867469884</v>
      </c>
    </row>
    <row r="61" spans="1:15" x14ac:dyDescent="0.25">
      <c r="A61" t="s">
        <v>84</v>
      </c>
      <c r="B61">
        <f>B60*1000</f>
        <v>11546.306867469884</v>
      </c>
      <c r="N61" t="s">
        <v>142</v>
      </c>
      <c r="O61" t="s">
        <v>142</v>
      </c>
    </row>
    <row r="62" spans="1:15" x14ac:dyDescent="0.25">
      <c r="A62" t="s">
        <v>90</v>
      </c>
      <c r="B62">
        <f>B61/24</f>
        <v>481.09611947791183</v>
      </c>
      <c r="C62">
        <f>ROUND(B62,0)</f>
        <v>481</v>
      </c>
      <c r="I62" s="80" t="s">
        <v>161</v>
      </c>
      <c r="J62" s="80"/>
      <c r="K62" s="80"/>
      <c r="L62" s="37">
        <f>SUM(L20+L30+L37+L45+L50+L55)</f>
        <v>6.9621613848238395</v>
      </c>
      <c r="M62" s="37"/>
      <c r="N62" s="37">
        <f>L62*10^6</f>
        <v>6962161.3848238392</v>
      </c>
      <c r="O62" s="37">
        <f>ROUND(N62,0)</f>
        <v>6962161</v>
      </c>
    </row>
    <row r="63" spans="1:15" x14ac:dyDescent="0.25">
      <c r="A63" t="s">
        <v>91</v>
      </c>
      <c r="B63">
        <f>77</f>
        <v>77</v>
      </c>
    </row>
    <row r="64" spans="1:15" x14ac:dyDescent="0.25">
      <c r="A64" t="s">
        <v>92</v>
      </c>
      <c r="B64">
        <f>30</f>
        <v>30</v>
      </c>
    </row>
    <row r="65" spans="1:12" x14ac:dyDescent="0.25">
      <c r="A65" t="s">
        <v>93</v>
      </c>
      <c r="B65">
        <f>2.44</f>
        <v>2.44</v>
      </c>
    </row>
    <row r="66" spans="1:12" x14ac:dyDescent="0.25">
      <c r="A66" t="s">
        <v>94</v>
      </c>
      <c r="B66">
        <f>(B61)*B65*(B63-B64)</f>
        <v>1324130.4715614463</v>
      </c>
      <c r="C66">
        <f>ROUND(B66,0)</f>
        <v>1324130</v>
      </c>
    </row>
    <row r="67" spans="1:12" x14ac:dyDescent="0.25">
      <c r="A67" t="s">
        <v>99</v>
      </c>
      <c r="B67">
        <f>(C66*10^3/(3.6*10^6))</f>
        <v>367.81388888888887</v>
      </c>
      <c r="C67">
        <f>ROUND(B67,0)</f>
        <v>368</v>
      </c>
    </row>
    <row r="68" spans="1:12" x14ac:dyDescent="0.25">
      <c r="A68" t="s">
        <v>95</v>
      </c>
      <c r="B68">
        <f>28</f>
        <v>28</v>
      </c>
    </row>
    <row r="69" spans="1:12" x14ac:dyDescent="0.25">
      <c r="A69" t="s">
        <v>96</v>
      </c>
      <c r="B69">
        <f>B68+C66/(B71*B70)</f>
        <v>52.269017746325858</v>
      </c>
      <c r="C69">
        <f>ROUND(B69,1)</f>
        <v>52.3</v>
      </c>
    </row>
    <row r="70" spans="1:12" x14ac:dyDescent="0.25">
      <c r="A70" t="s">
        <v>97</v>
      </c>
      <c r="B70">
        <f>13040.275</f>
        <v>13040.275</v>
      </c>
    </row>
    <row r="71" spans="1:12" x14ac:dyDescent="0.25">
      <c r="A71" t="s">
        <v>98</v>
      </c>
      <c r="B71">
        <f>4.184</f>
        <v>4.1840000000000002</v>
      </c>
    </row>
    <row r="73" spans="1:12" x14ac:dyDescent="0.25">
      <c r="A73" s="37" t="s">
        <v>80</v>
      </c>
    </row>
    <row r="74" spans="1:12" x14ac:dyDescent="0.25">
      <c r="A74" t="s">
        <v>102</v>
      </c>
      <c r="B74" s="36">
        <f>Anti_solvent!$D$11</f>
        <v>38.577268513253017</v>
      </c>
    </row>
    <row r="75" spans="1:12" x14ac:dyDescent="0.25">
      <c r="A75" t="s">
        <v>103</v>
      </c>
      <c r="B75">
        <f>B74*1000</f>
        <v>38577.268513253017</v>
      </c>
      <c r="C75">
        <f>ROUND(B75,0)</f>
        <v>38577</v>
      </c>
    </row>
    <row r="76" spans="1:12" x14ac:dyDescent="0.25">
      <c r="A76" t="s">
        <v>106</v>
      </c>
      <c r="B76">
        <f>Anti_solvent!I11/100</f>
        <v>0.31374019748445997</v>
      </c>
    </row>
    <row r="77" spans="1:12" x14ac:dyDescent="0.25">
      <c r="A77" t="s">
        <v>107</v>
      </c>
      <c r="B77">
        <f>1-B76</f>
        <v>0.68625980251553997</v>
      </c>
    </row>
    <row r="78" spans="1:12" x14ac:dyDescent="0.25">
      <c r="A78" t="s">
        <v>104</v>
      </c>
      <c r="B78" s="36">
        <f>Anti_solvent!D13</f>
        <v>11.546306867469884</v>
      </c>
      <c r="G78" s="38"/>
      <c r="H78" s="38"/>
      <c r="I78" s="38"/>
      <c r="J78" s="38"/>
      <c r="K78" s="38"/>
      <c r="L78" s="38"/>
    </row>
    <row r="79" spans="1:12" x14ac:dyDescent="0.25">
      <c r="A79" t="s">
        <v>105</v>
      </c>
      <c r="B79" s="36">
        <f>B78*1000</f>
        <v>11546.306867469884</v>
      </c>
      <c r="C79" s="36">
        <f>ROUND(B79,0)</f>
        <v>11546</v>
      </c>
      <c r="G79" s="24"/>
      <c r="H79" s="24"/>
      <c r="I79" s="24"/>
      <c r="J79" s="24"/>
      <c r="K79" s="24"/>
      <c r="L79" s="24"/>
    </row>
    <row r="80" spans="1:12" x14ac:dyDescent="0.25">
      <c r="A80" t="s">
        <v>108</v>
      </c>
      <c r="B80" s="36">
        <f>0.95</f>
        <v>0.95</v>
      </c>
      <c r="C80" s="36"/>
      <c r="G80" s="24"/>
      <c r="H80" s="24"/>
      <c r="I80" s="24"/>
      <c r="J80" s="24"/>
      <c r="K80" s="24"/>
      <c r="L80" s="24"/>
    </row>
    <row r="81" spans="1:13" x14ac:dyDescent="0.25">
      <c r="A81" t="s">
        <v>109</v>
      </c>
      <c r="B81" s="36">
        <f>1-B80</f>
        <v>5.0000000000000044E-2</v>
      </c>
      <c r="C81" s="36"/>
      <c r="G81" s="86"/>
      <c r="H81" s="87"/>
      <c r="J81" s="24"/>
      <c r="L81" s="24"/>
    </row>
    <row r="82" spans="1:13" x14ac:dyDescent="0.25">
      <c r="A82" t="s">
        <v>110</v>
      </c>
      <c r="B82" s="36">
        <f>38.56</f>
        <v>38.56</v>
      </c>
      <c r="C82" s="36"/>
      <c r="G82" s="86"/>
      <c r="H82" s="87"/>
      <c r="J82" s="24"/>
      <c r="L82" s="24"/>
    </row>
    <row r="83" spans="1:13" x14ac:dyDescent="0.25">
      <c r="A83" t="s">
        <v>111</v>
      </c>
      <c r="B83" s="36">
        <f>40.67</f>
        <v>40.67</v>
      </c>
      <c r="C83" s="36"/>
    </row>
    <row r="84" spans="1:13" x14ac:dyDescent="0.25">
      <c r="A84" t="s">
        <v>113</v>
      </c>
      <c r="B84" s="36">
        <f>28</f>
        <v>28</v>
      </c>
      <c r="C84" s="36"/>
    </row>
    <row r="85" spans="1:13" x14ac:dyDescent="0.25">
      <c r="A85" t="s">
        <v>100</v>
      </c>
      <c r="B85">
        <f>77</f>
        <v>77</v>
      </c>
    </row>
    <row r="86" spans="1:13" x14ac:dyDescent="0.25">
      <c r="A86" t="s">
        <v>101</v>
      </c>
      <c r="B86">
        <f>70</f>
        <v>70</v>
      </c>
      <c r="E86" s="79"/>
      <c r="F86" s="79"/>
      <c r="J86" s="37"/>
      <c r="L86" s="37"/>
    </row>
    <row r="87" spans="1:13" x14ac:dyDescent="0.25">
      <c r="A87" t="s">
        <v>112</v>
      </c>
      <c r="B87">
        <f>B80*2.44+B81*4.184</f>
        <v>2.5272000000000001</v>
      </c>
      <c r="E87" s="79"/>
      <c r="F87" s="79"/>
    </row>
    <row r="88" spans="1:13" x14ac:dyDescent="0.25">
      <c r="A88" t="s">
        <v>114</v>
      </c>
      <c r="B88">
        <f>C75*B87*(B86-B84)</f>
        <v>4094655.3648000001</v>
      </c>
      <c r="E88" s="79"/>
      <c r="F88" s="79"/>
    </row>
    <row r="89" spans="1:13" x14ac:dyDescent="0.25">
      <c r="A89" t="s">
        <v>115</v>
      </c>
      <c r="B89">
        <f>C79*(B80*B82)+((1-B81)*(C79*B83))</f>
        <v>869050.10100000002</v>
      </c>
    </row>
    <row r="90" spans="1:13" x14ac:dyDescent="0.25">
      <c r="A90" t="s">
        <v>116</v>
      </c>
      <c r="B90">
        <f>C79*(B82+B83)+(C75-C79)*B82</f>
        <v>1957104.9400000002</v>
      </c>
    </row>
    <row r="91" spans="1:13" x14ac:dyDescent="0.25">
      <c r="A91" t="s">
        <v>117</v>
      </c>
      <c r="B91">
        <f>SUM(B88:B90)</f>
        <v>6920810.4058000008</v>
      </c>
    </row>
    <row r="92" spans="1:13" x14ac:dyDescent="0.25">
      <c r="A92" t="s">
        <v>118</v>
      </c>
      <c r="B92">
        <f>(B91*10^3)/(3.6*10^6)</f>
        <v>1922.4473349444447</v>
      </c>
      <c r="C92">
        <f>ROUND(B92,0)</f>
        <v>1922</v>
      </c>
      <c r="E92" s="37"/>
    </row>
    <row r="94" spans="1:13" x14ac:dyDescent="0.25">
      <c r="E94" s="37"/>
      <c r="G94" s="37"/>
    </row>
    <row r="96" spans="1:13" x14ac:dyDescent="0.25">
      <c r="E96" s="37"/>
      <c r="I96" s="79"/>
      <c r="J96" s="79"/>
      <c r="K96" s="79"/>
      <c r="L96" s="79"/>
      <c r="M96" s="79"/>
    </row>
    <row r="97" spans="1:8" x14ac:dyDescent="0.25">
      <c r="E97" s="26"/>
      <c r="F97" s="26"/>
    </row>
    <row r="98" spans="1:8" x14ac:dyDescent="0.25">
      <c r="E98" s="25"/>
      <c r="F98" s="25"/>
    </row>
    <row r="100" spans="1:8" x14ac:dyDescent="0.25">
      <c r="H100" s="35"/>
    </row>
    <row r="102" spans="1:8" x14ac:dyDescent="0.25">
      <c r="E102" s="35"/>
      <c r="F102" s="35"/>
    </row>
    <row r="103" spans="1:8" x14ac:dyDescent="0.25">
      <c r="A103" s="81"/>
      <c r="B103" s="81"/>
      <c r="C103" s="81"/>
      <c r="D103" s="24"/>
    </row>
  </sheetData>
  <mergeCells count="34">
    <mergeCell ref="A103:C103"/>
    <mergeCell ref="I96:M96"/>
    <mergeCell ref="G81:H81"/>
    <mergeCell ref="G82:H82"/>
    <mergeCell ref="E86:F86"/>
    <mergeCell ref="E87:F87"/>
    <mergeCell ref="E88:F88"/>
    <mergeCell ref="I55:K55"/>
    <mergeCell ref="I62:K62"/>
    <mergeCell ref="Q2:R2"/>
    <mergeCell ref="O12:R12"/>
    <mergeCell ref="I37:K37"/>
    <mergeCell ref="I45:K45"/>
    <mergeCell ref="AC11:AD11"/>
    <mergeCell ref="AB15:AE15"/>
    <mergeCell ref="AB16:AC16"/>
    <mergeCell ref="C1:D1"/>
    <mergeCell ref="C2:D2"/>
    <mergeCell ref="C3:D3"/>
    <mergeCell ref="C4:D4"/>
    <mergeCell ref="C10:D10"/>
    <mergeCell ref="A12:C12"/>
    <mergeCell ref="C5:D5"/>
    <mergeCell ref="C6:D6"/>
    <mergeCell ref="C7:D7"/>
    <mergeCell ref="C8:D8"/>
    <mergeCell ref="C9:D9"/>
    <mergeCell ref="C51:F51"/>
    <mergeCell ref="Q1:S1"/>
    <mergeCell ref="I12:K12"/>
    <mergeCell ref="I14:K14"/>
    <mergeCell ref="I20:K20"/>
    <mergeCell ref="I30:K30"/>
    <mergeCell ref="I50:K5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4CFF-2438-4FEE-A23B-144BD362A04F}">
  <dimension ref="A1:Z35"/>
  <sheetViews>
    <sheetView zoomScale="68" workbookViewId="0">
      <selection activeCell="F52" sqref="F52"/>
    </sheetView>
  </sheetViews>
  <sheetFormatPr defaultRowHeight="15" x14ac:dyDescent="0.25"/>
  <cols>
    <col min="1" max="1" width="12.28515625" customWidth="1"/>
    <col min="2" max="2" width="37.7109375" customWidth="1"/>
    <col min="3" max="3" width="17.42578125" customWidth="1"/>
    <col min="4" max="5" width="14" customWidth="1"/>
    <col min="6" max="6" width="29.85546875" customWidth="1"/>
    <col min="7" max="7" width="15" customWidth="1"/>
    <col min="8" max="8" width="18.140625" customWidth="1"/>
    <col min="9" max="9" width="9.85546875" customWidth="1"/>
    <col min="10" max="10" width="17.7109375" customWidth="1"/>
    <col min="11" max="11" width="13.85546875" customWidth="1"/>
    <col min="14" max="14" width="16.7109375" customWidth="1"/>
    <col min="15" max="15" width="28.28515625" customWidth="1"/>
    <col min="16" max="16" width="15.140625" customWidth="1"/>
    <col min="17" max="17" width="19.28515625" customWidth="1"/>
    <col min="18" max="18" width="13.42578125" customWidth="1"/>
    <col min="20" max="20" width="31" customWidth="1"/>
  </cols>
  <sheetData>
    <row r="1" spans="1:26" x14ac:dyDescent="0.25">
      <c r="A1" s="24" t="s">
        <v>151</v>
      </c>
      <c r="B1" s="24" t="s">
        <v>213</v>
      </c>
      <c r="C1" s="24" t="s">
        <v>214</v>
      </c>
      <c r="D1" s="29" t="s">
        <v>215</v>
      </c>
      <c r="E1" s="27" t="s">
        <v>223</v>
      </c>
      <c r="F1" s="29" t="s">
        <v>224</v>
      </c>
      <c r="H1" s="88" t="s">
        <v>236</v>
      </c>
      <c r="I1" s="88"/>
      <c r="J1" s="88"/>
      <c r="K1" s="88"/>
    </row>
    <row r="2" spans="1:26" x14ac:dyDescent="0.25">
      <c r="A2" s="24">
        <f>Anti_Cost_Anal!V8</f>
        <v>900</v>
      </c>
      <c r="B2" s="69">
        <f>Anti_solvent!D14</f>
        <v>11.546306867469884</v>
      </c>
      <c r="C2" s="24">
        <f>B2*Anti_Cost_Anal!Q2</f>
        <v>3810.2812662650617</v>
      </c>
      <c r="D2" s="24">
        <f>C2*A2</f>
        <v>3429253.1396385557</v>
      </c>
      <c r="E2" s="69">
        <f>Anti_solvent!D6</f>
        <v>12.154007228915667</v>
      </c>
      <c r="F2" s="24">
        <f>E2*330*A2</f>
        <v>3609740.1469879532</v>
      </c>
      <c r="H2" s="24" t="s">
        <v>145</v>
      </c>
      <c r="I2" s="24" t="s">
        <v>227</v>
      </c>
      <c r="J2" s="24" t="s">
        <v>147</v>
      </c>
      <c r="K2" s="24" t="s">
        <v>148</v>
      </c>
      <c r="N2" s="24" t="s">
        <v>166</v>
      </c>
      <c r="O2" s="24" t="s">
        <v>167</v>
      </c>
      <c r="P2" s="24" t="s">
        <v>174</v>
      </c>
      <c r="Q2" s="24" t="s">
        <v>173</v>
      </c>
      <c r="R2" s="24" t="s">
        <v>175</v>
      </c>
      <c r="T2" s="37" t="s">
        <v>232</v>
      </c>
      <c r="U2">
        <f>1.2*(Anti_Cost_Anal!S12)</f>
        <v>0.90670079999999997</v>
      </c>
      <c r="V2" s="79" t="s">
        <v>233</v>
      </c>
      <c r="W2" s="79"/>
      <c r="X2" s="79"/>
      <c r="Y2" s="79"/>
      <c r="Z2" s="79"/>
    </row>
    <row r="3" spans="1:26" x14ac:dyDescent="0.25">
      <c r="H3" s="24" t="s">
        <v>149</v>
      </c>
      <c r="I3" s="24">
        <v>50</v>
      </c>
      <c r="J3" s="24">
        <v>1039.5</v>
      </c>
      <c r="K3" s="24">
        <v>51975</v>
      </c>
      <c r="N3" s="24" t="s">
        <v>168</v>
      </c>
      <c r="O3" s="24">
        <f>125</f>
        <v>125</v>
      </c>
      <c r="P3" s="24">
        <f>O3/1000</f>
        <v>0.125</v>
      </c>
      <c r="Q3" s="24">
        <f>(Anti_solvent!G9*Anti_solvent!D9/100)*1000*330</f>
        <v>1600520.5695627427</v>
      </c>
      <c r="R3" s="24">
        <f>Q3*P3</f>
        <v>200065.07119534284</v>
      </c>
      <c r="T3" s="37" t="s">
        <v>231</v>
      </c>
      <c r="U3">
        <f>1.8*U2</f>
        <v>1.63206144</v>
      </c>
      <c r="V3" s="79"/>
      <c r="W3" s="79"/>
      <c r="X3" s="79"/>
      <c r="Y3" s="79"/>
      <c r="Z3" s="79"/>
    </row>
    <row r="4" spans="1:26" x14ac:dyDescent="0.25">
      <c r="A4" s="89" t="s">
        <v>225</v>
      </c>
      <c r="B4" s="89"/>
      <c r="C4" s="24">
        <f>ROUND(F2-D2,0)</f>
        <v>180487</v>
      </c>
      <c r="H4" s="24" t="s">
        <v>150</v>
      </c>
      <c r="I4" s="24">
        <v>90</v>
      </c>
      <c r="J4" s="24">
        <v>1740.014457831325</v>
      </c>
      <c r="K4" s="24">
        <v>156601.30120481926</v>
      </c>
      <c r="N4" s="24" t="s">
        <v>169</v>
      </c>
      <c r="O4" s="24">
        <f>90</f>
        <v>90</v>
      </c>
      <c r="P4" s="24">
        <f>O4/1000</f>
        <v>0.09</v>
      </c>
      <c r="Q4" s="24">
        <f>(Anti_solvent!F9*Anti_solvent!D9/100)*1000*330</f>
        <v>58049.968844244628</v>
      </c>
      <c r="R4" s="24">
        <f>Q4*P4</f>
        <v>5224.4971959820159</v>
      </c>
    </row>
    <row r="5" spans="1:26" x14ac:dyDescent="0.25">
      <c r="H5" s="24" t="s">
        <v>151</v>
      </c>
      <c r="I5" s="24">
        <v>900</v>
      </c>
      <c r="J5" s="68">
        <f>E2*330</f>
        <v>4010.8223855421702</v>
      </c>
      <c r="K5" s="68">
        <f>J5*I5</f>
        <v>3609740.1469879532</v>
      </c>
      <c r="N5" s="24" t="s">
        <v>170</v>
      </c>
      <c r="O5" s="84"/>
      <c r="P5" s="85"/>
      <c r="Q5" s="24">
        <f>SUM(Q3:Q4)</f>
        <v>1658570.5384069874</v>
      </c>
      <c r="R5" s="24">
        <f>SUM(R3:R4)</f>
        <v>205289.56839132486</v>
      </c>
    </row>
    <row r="6" spans="1:26" x14ac:dyDescent="0.25">
      <c r="J6" s="24" t="s">
        <v>46</v>
      </c>
      <c r="K6" s="24">
        <f>SUM(K3:K5)</f>
        <v>3818316.4481927725</v>
      </c>
      <c r="L6" s="24">
        <f>ROUND(K6,0)</f>
        <v>3818316</v>
      </c>
      <c r="N6" s="38" t="s">
        <v>170</v>
      </c>
      <c r="O6" s="84"/>
      <c r="P6" s="85"/>
      <c r="Q6" s="24">
        <f>ROUND(Q5,0)</f>
        <v>1658571</v>
      </c>
      <c r="R6" s="24">
        <f>ROUND(R5,0)</f>
        <v>205290</v>
      </c>
    </row>
    <row r="7" spans="1:26" x14ac:dyDescent="0.25">
      <c r="B7" s="80" t="s">
        <v>246</v>
      </c>
      <c r="C7" s="80"/>
      <c r="D7" s="80"/>
    </row>
    <row r="8" spans="1:26" x14ac:dyDescent="0.25">
      <c r="B8" t="str">
        <f>Anti_Cost_Anal!I20</f>
        <v>Annualized Capital Cost (CCAC) (M$)</v>
      </c>
      <c r="C8">
        <f>D8/(1000000)</f>
        <v>0.74503600000000003</v>
      </c>
      <c r="D8">
        <f>Anti_Cost_Anal!O20</f>
        <v>745036</v>
      </c>
      <c r="F8" s="80" t="s">
        <v>238</v>
      </c>
      <c r="G8" s="80"/>
      <c r="H8" s="80"/>
      <c r="U8" s="24" t="s">
        <v>216</v>
      </c>
      <c r="V8" s="24" t="s">
        <v>247</v>
      </c>
    </row>
    <row r="9" spans="1:26" x14ac:dyDescent="0.25">
      <c r="B9" t="str">
        <f>Anti_Cost_Anal!I30</f>
        <v>Labor Cost (CCLB) (M$)</v>
      </c>
      <c r="C9">
        <f t="shared" ref="C9:C13" si="0">D9/(1000000)</f>
        <v>0.95172000000000001</v>
      </c>
      <c r="D9">
        <f>Anti_Cost_Anal!O30</f>
        <v>951720</v>
      </c>
      <c r="U9" s="24">
        <f>5</f>
        <v>5</v>
      </c>
      <c r="V9" s="24">
        <f>Q6</f>
        <v>1658571</v>
      </c>
    </row>
    <row r="10" spans="1:26" x14ac:dyDescent="0.25">
      <c r="B10" t="str">
        <f>Anti_Cost_Anal!I37</f>
        <v>Raw Material Cost (CCRM) (M$)</v>
      </c>
      <c r="C10">
        <f t="shared" si="0"/>
        <v>3.8183159999999998</v>
      </c>
      <c r="D10">
        <f>L6</f>
        <v>3818316</v>
      </c>
      <c r="F10" s="37" t="s">
        <v>234</v>
      </c>
      <c r="G10">
        <f>R6/Q6</f>
        <v>0.12377522578171209</v>
      </c>
      <c r="J10" s="35" t="s">
        <v>209</v>
      </c>
      <c r="N10" t="s">
        <v>166</v>
      </c>
      <c r="O10" t="s">
        <v>167</v>
      </c>
      <c r="P10" t="s">
        <v>174</v>
      </c>
      <c r="Q10" t="s">
        <v>173</v>
      </c>
      <c r="R10" t="s">
        <v>175</v>
      </c>
      <c r="U10" s="24">
        <f>(U9*V10)/V9</f>
        <v>8.3792433365831194</v>
      </c>
      <c r="V10" s="24">
        <f>Q14</f>
        <v>2779514</v>
      </c>
    </row>
    <row r="11" spans="1:26" x14ac:dyDescent="0.25">
      <c r="B11" t="str">
        <f>Anti_Cost_Anal!I45</f>
        <v>Other Cost (CCOC) (M$)</v>
      </c>
      <c r="C11">
        <f t="shared" si="0"/>
        <v>2.6457820000000001</v>
      </c>
      <c r="D11">
        <f>Anti_Cost_Anal!O45</f>
        <v>2645782</v>
      </c>
      <c r="F11" s="37" t="s">
        <v>230</v>
      </c>
      <c r="G11">
        <f>SUM(C20:C23)</f>
        <v>6090406</v>
      </c>
      <c r="N11" t="s">
        <v>168</v>
      </c>
      <c r="O11">
        <f>125</f>
        <v>125</v>
      </c>
      <c r="P11">
        <f>O11/1000</f>
        <v>0.125</v>
      </c>
      <c r="Q11">
        <f>(Anti_solvent!G9*Anti_solvent!D9/100+Anti_solvent!G12*Anti_solvent!D12/100)*330*1000</f>
        <v>1740014.457831325</v>
      </c>
      <c r="R11">
        <f>Q11*P11</f>
        <v>217501.80722891563</v>
      </c>
    </row>
    <row r="12" spans="1:26" x14ac:dyDescent="0.25">
      <c r="B12" t="str">
        <f>Anti_Cost_Anal!I50</f>
        <v>Utility Cost (CCUC) (M$)</v>
      </c>
      <c r="C12">
        <f t="shared" si="0"/>
        <v>2.1038410000000001</v>
      </c>
      <c r="D12">
        <f>Anti_Cost_Anal!O50</f>
        <v>2103841</v>
      </c>
      <c r="F12" s="37" t="s">
        <v>229</v>
      </c>
      <c r="G12">
        <f>G11/Q6</f>
        <v>3.672080363155994</v>
      </c>
      <c r="N12" t="s">
        <v>169</v>
      </c>
      <c r="O12">
        <f>90</f>
        <v>90</v>
      </c>
      <c r="P12">
        <f>O12/1000</f>
        <v>0.09</v>
      </c>
      <c r="Q12">
        <f>(Anti_solvent!D12*Anti_solvent!F12/100+Anti_solvent!F9*Anti_solvent!D9/100)*330*1000</f>
        <v>1039500.0000000002</v>
      </c>
      <c r="R12">
        <f t="shared" ref="R12" si="1">Q12*P12</f>
        <v>93555.000000000015</v>
      </c>
    </row>
    <row r="13" spans="1:26" x14ac:dyDescent="0.25">
      <c r="B13" t="str">
        <f>Anti_Cost_Anal!I55</f>
        <v>Consumables Cost (CCSC) (M$)</v>
      </c>
      <c r="C13">
        <f t="shared" si="0"/>
        <v>0.12672</v>
      </c>
      <c r="D13">
        <f>Anti_Cost_Anal!O55</f>
        <v>126720</v>
      </c>
      <c r="N13" t="s">
        <v>170</v>
      </c>
      <c r="Q13">
        <f>SUM(Q11:Q12)</f>
        <v>2779514.457831325</v>
      </c>
      <c r="R13">
        <f>SUM(R11:R12)</f>
        <v>311056.80722891563</v>
      </c>
    </row>
    <row r="14" spans="1:26" x14ac:dyDescent="0.25">
      <c r="B14" s="37" t="str">
        <f>B7</f>
        <v>Total product cost _No Recovery                                                               ($/yr)</v>
      </c>
      <c r="D14" s="37">
        <f>SUM(D8:D13)</f>
        <v>10391415</v>
      </c>
      <c r="F14" s="37" t="s">
        <v>235</v>
      </c>
      <c r="G14">
        <f>Anti_Cost_Anal!O45</f>
        <v>2645782</v>
      </c>
      <c r="N14" t="s">
        <v>170</v>
      </c>
      <c r="Q14">
        <f>ROUND(Q13,0)</f>
        <v>2779514</v>
      </c>
      <c r="R14">
        <f>ROUND(R13,0)</f>
        <v>311057</v>
      </c>
    </row>
    <row r="16" spans="1:26" ht="30" x14ac:dyDescent="0.25">
      <c r="F16" s="71" t="s">
        <v>237</v>
      </c>
      <c r="G16" s="37">
        <v>5.2672981741511204</v>
      </c>
      <c r="H16">
        <f>Q6*G16-(I16)</f>
        <v>0</v>
      </c>
      <c r="I16">
        <f>G14+G12*Q6</f>
        <v>8736188</v>
      </c>
    </row>
    <row r="17" spans="2:18" x14ac:dyDescent="0.25">
      <c r="O17" s="79" t="str">
        <f>F8</f>
        <v>With Solvent recovery</v>
      </c>
      <c r="P17" s="79"/>
      <c r="Q17" s="79"/>
    </row>
    <row r="18" spans="2:18" x14ac:dyDescent="0.25">
      <c r="B18" s="80" t="s">
        <v>228</v>
      </c>
      <c r="C18" s="80"/>
      <c r="D18" s="80"/>
      <c r="O18" t="str">
        <f>F10</f>
        <v>Weighted selling px, $/kg</v>
      </c>
      <c r="P18">
        <f>R14/Q14</f>
        <v>0.11191057141644187</v>
      </c>
    </row>
    <row r="19" spans="2:18" x14ac:dyDescent="0.25">
      <c r="B19" t="s">
        <v>240</v>
      </c>
      <c r="C19">
        <f>Anti_Cost_Anal!O20</f>
        <v>745036</v>
      </c>
      <c r="O19" t="str">
        <f>F11</f>
        <v>Direct Production cost,$/y</v>
      </c>
      <c r="P19">
        <f>G11</f>
        <v>6090406</v>
      </c>
    </row>
    <row r="20" spans="2:18" x14ac:dyDescent="0.25">
      <c r="B20" t="s">
        <v>242</v>
      </c>
      <c r="C20">
        <f>Anti_Cost_Anal!O30</f>
        <v>951720</v>
      </c>
      <c r="F20" s="80" t="s">
        <v>239</v>
      </c>
      <c r="G20" s="80"/>
      <c r="H20" s="80"/>
      <c r="O20" t="str">
        <f>F12</f>
        <v>Unit production cost, $/kg</v>
      </c>
      <c r="P20">
        <f>P19/Q14</f>
        <v>2.1911765869860704</v>
      </c>
    </row>
    <row r="21" spans="2:18" x14ac:dyDescent="0.25">
      <c r="B21" t="s">
        <v>241</v>
      </c>
      <c r="C21">
        <f>Anti_Cost_Anal!O37</f>
        <v>389063</v>
      </c>
      <c r="F21" t="str">
        <f>F10</f>
        <v>Weighted selling px, $/kg</v>
      </c>
      <c r="G21">
        <f>G10</f>
        <v>0.12377522578171209</v>
      </c>
    </row>
    <row r="22" spans="2:18" x14ac:dyDescent="0.25">
      <c r="B22" t="s">
        <v>243</v>
      </c>
      <c r="C22">
        <f>Anti_Cost_Anal!O45</f>
        <v>2645782</v>
      </c>
      <c r="F22" t="str">
        <f>F11</f>
        <v>Direct Production cost,$/y</v>
      </c>
      <c r="G22">
        <f>SUM(D9:D12)</f>
        <v>9519659</v>
      </c>
      <c r="O22" t="str">
        <f>F14</f>
        <v>Fixed cost,$</v>
      </c>
      <c r="P22">
        <f>G14</f>
        <v>2645782</v>
      </c>
    </row>
    <row r="23" spans="2:18" x14ac:dyDescent="0.25">
      <c r="B23" t="s">
        <v>244</v>
      </c>
      <c r="C23">
        <f>Anti_Cost_Anal!O50</f>
        <v>2103841</v>
      </c>
      <c r="F23" t="str">
        <f>F12</f>
        <v>Unit production cost, $/kg</v>
      </c>
      <c r="G23">
        <f>D14/Q6</f>
        <v>6.2652819806930182</v>
      </c>
    </row>
    <row r="24" spans="2:18" ht="30" x14ac:dyDescent="0.25">
      <c r="B24" t="s">
        <v>245</v>
      </c>
      <c r="C24">
        <f>Anti_Cost_Anal!O55</f>
        <v>126720</v>
      </c>
      <c r="O24" s="71" t="str">
        <f>F16</f>
        <v>Weighted selling price to break-even, $/kg</v>
      </c>
      <c r="P24" s="37">
        <v>3.1430631398150908</v>
      </c>
      <c r="Q24">
        <f>P24*Q14-(R24)</f>
        <v>0</v>
      </c>
      <c r="R24">
        <f>P22+P20*Q14</f>
        <v>8736188</v>
      </c>
    </row>
    <row r="25" spans="2:18" x14ac:dyDescent="0.25">
      <c r="B25" s="37" t="s">
        <v>226</v>
      </c>
      <c r="C25" s="37">
        <f>SUM(C19:C24)</f>
        <v>6962162</v>
      </c>
      <c r="F25" t="str">
        <f>F14</f>
        <v>Fixed cost,$</v>
      </c>
      <c r="G25">
        <f>Anti_Cost_Anal!O45</f>
        <v>2645782</v>
      </c>
    </row>
    <row r="27" spans="2:18" ht="30" x14ac:dyDescent="0.25">
      <c r="F27" s="71" t="str">
        <f>F16</f>
        <v>Weighted selling price to break-even, $/kg</v>
      </c>
      <c r="G27" s="37">
        <v>7.8604997916881461</v>
      </c>
      <c r="H27">
        <f>G27*Q6-(I27)</f>
        <v>0</v>
      </c>
      <c r="I27">
        <f>G25+G23*Q6</f>
        <v>13037197</v>
      </c>
    </row>
    <row r="28" spans="2:18" x14ac:dyDescent="0.25">
      <c r="O28" s="79" t="str">
        <f>F20</f>
        <v>Without solvent recovery</v>
      </c>
      <c r="P28" s="79"/>
      <c r="Q28" s="79"/>
    </row>
    <row r="29" spans="2:18" x14ac:dyDescent="0.25">
      <c r="O29" t="str">
        <f>F21</f>
        <v>Weighted selling px, $/kg</v>
      </c>
      <c r="P29">
        <f>P18</f>
        <v>0.11191057141644187</v>
      </c>
    </row>
    <row r="30" spans="2:18" x14ac:dyDescent="0.25">
      <c r="O30" t="str">
        <f>F22</f>
        <v>Direct Production cost,$/y</v>
      </c>
      <c r="P30">
        <f>G22</f>
        <v>9519659</v>
      </c>
    </row>
    <row r="31" spans="2:18" x14ac:dyDescent="0.25">
      <c r="O31" t="str">
        <f>F23</f>
        <v>Unit production cost, $/kg</v>
      </c>
      <c r="P31">
        <f>P30/Q14</f>
        <v>3.4249365176789901</v>
      </c>
    </row>
    <row r="33" spans="15:18" x14ac:dyDescent="0.25">
      <c r="O33" t="str">
        <f>F25</f>
        <v>Fixed cost,$</v>
      </c>
      <c r="P33">
        <f>G25</f>
        <v>2645782</v>
      </c>
    </row>
    <row r="35" spans="15:18" ht="30" x14ac:dyDescent="0.25">
      <c r="O35" s="71" t="str">
        <f>F27</f>
        <v>Weighted selling price to break-even, $/kg</v>
      </c>
      <c r="P35" s="37">
        <v>4.37682307050801</v>
      </c>
      <c r="Q35">
        <f>P35*Q14-(R35)</f>
        <v>0</v>
      </c>
      <c r="R35">
        <f>P33+P31*Q14</f>
        <v>12165441</v>
      </c>
    </row>
  </sheetData>
  <mergeCells count="11">
    <mergeCell ref="V2:Z3"/>
    <mergeCell ref="B7:D7"/>
    <mergeCell ref="A4:B4"/>
    <mergeCell ref="B18:D18"/>
    <mergeCell ref="O6:P6"/>
    <mergeCell ref="O5:P5"/>
    <mergeCell ref="H1:K1"/>
    <mergeCell ref="F8:H8"/>
    <mergeCell ref="F20:H20"/>
    <mergeCell ref="O17:Q17"/>
    <mergeCell ref="O28:Q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73D-D264-4D71-A309-7EE711FDD8F3}">
  <dimension ref="C1:AI67"/>
  <sheetViews>
    <sheetView topLeftCell="A37" zoomScale="62" zoomScaleNormal="80" workbookViewId="0">
      <selection activeCell="I107" sqref="I107"/>
    </sheetView>
  </sheetViews>
  <sheetFormatPr defaultRowHeight="15" x14ac:dyDescent="0.25"/>
  <cols>
    <col min="4" max="4" width="37.5703125" customWidth="1"/>
    <col min="5" max="5" width="18.42578125" customWidth="1"/>
    <col min="6" max="6" width="13" customWidth="1"/>
    <col min="7" max="7" width="15.42578125" customWidth="1"/>
    <col min="8" max="8" width="17.5703125" customWidth="1"/>
    <col min="9" max="9" width="18" customWidth="1"/>
    <col min="10" max="10" width="15.5703125" customWidth="1"/>
    <col min="11" max="11" width="17.140625" customWidth="1"/>
    <col min="12" max="12" width="26.42578125" customWidth="1"/>
    <col min="13" max="13" width="27.5703125" customWidth="1"/>
    <col min="14" max="14" width="17.42578125" customWidth="1"/>
    <col min="15" max="15" width="11.28515625" bestFit="1" customWidth="1"/>
    <col min="16" max="17" width="17" customWidth="1"/>
    <col min="18" max="18" width="13.85546875" customWidth="1"/>
    <col min="22" max="22" width="8.5703125" customWidth="1"/>
    <col min="23" max="23" width="17.140625" customWidth="1"/>
    <col min="24" max="24" width="11.28515625" bestFit="1" customWidth="1"/>
  </cols>
  <sheetData>
    <row r="1" spans="4:35" ht="62.1" customHeight="1" x14ac:dyDescent="0.25">
      <c r="D1" t="s">
        <v>651</v>
      </c>
      <c r="E1" t="s">
        <v>870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11</v>
      </c>
      <c r="L1" s="75" t="s">
        <v>660</v>
      </c>
      <c r="AA1" t="s">
        <v>651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11</v>
      </c>
      <c r="AI1" s="75" t="s">
        <v>660</v>
      </c>
    </row>
    <row r="2" spans="4:35" x14ac:dyDescent="0.25">
      <c r="D2" t="s">
        <v>652</v>
      </c>
      <c r="E2" t="s">
        <v>653</v>
      </c>
      <c r="F2" s="74">
        <v>3.6159737000000001E-6</v>
      </c>
      <c r="G2">
        <v>0</v>
      </c>
      <c r="H2" s="74">
        <v>1.4121971E-7</v>
      </c>
      <c r="I2" s="74">
        <v>6.1410603000000004E-7</v>
      </c>
      <c r="J2" s="74">
        <v>2.2196244E-9</v>
      </c>
      <c r="K2" s="74">
        <v>1.275755E-6</v>
      </c>
      <c r="L2" s="74">
        <v>1.5826733E-6</v>
      </c>
      <c r="AE2" s="74">
        <v>1.9911978000000002E-5</v>
      </c>
      <c r="AF2" s="74">
        <v>8.6588950000000004E-5</v>
      </c>
      <c r="AG2" s="74">
        <v>3.1296705000000002E-7</v>
      </c>
      <c r="AH2">
        <v>1.7988146000000001E-4</v>
      </c>
      <c r="AI2">
        <v>2.2315693000000001E-4</v>
      </c>
    </row>
    <row r="3" spans="4:35" x14ac:dyDescent="0.25">
      <c r="D3" t="s">
        <v>654</v>
      </c>
      <c r="E3" t="s">
        <v>655</v>
      </c>
      <c r="F3">
        <v>0.96073288999999995</v>
      </c>
      <c r="G3">
        <v>0</v>
      </c>
      <c r="H3">
        <v>6.1457007000000001E-2</v>
      </c>
      <c r="I3">
        <v>0.26834555999999998</v>
      </c>
      <c r="J3">
        <v>4.8980086999999997E-4</v>
      </c>
      <c r="K3">
        <v>0.30247230000000003</v>
      </c>
      <c r="L3">
        <v>0.32796821999999998</v>
      </c>
      <c r="P3" t="s">
        <v>857</v>
      </c>
      <c r="Q3" t="s">
        <v>854</v>
      </c>
      <c r="R3" t="s">
        <v>855</v>
      </c>
      <c r="V3" t="s">
        <v>250</v>
      </c>
      <c r="W3" t="s">
        <v>251</v>
      </c>
      <c r="AC3" s="74"/>
      <c r="AE3" s="74">
        <v>4.4863614999999996E-6</v>
      </c>
      <c r="AF3" s="74">
        <v>1.9589226E-5</v>
      </c>
      <c r="AG3" s="74">
        <v>3.5755462999999997E-8</v>
      </c>
      <c r="AH3" s="74">
        <v>2.2080478E-5</v>
      </c>
      <c r="AI3" s="74">
        <v>2.394168E-5</v>
      </c>
    </row>
    <row r="4" spans="4:35" x14ac:dyDescent="0.25">
      <c r="D4" t="s">
        <v>656</v>
      </c>
      <c r="E4" t="s">
        <v>657</v>
      </c>
      <c r="F4">
        <v>3.9702025999999999</v>
      </c>
      <c r="G4">
        <v>0</v>
      </c>
      <c r="H4">
        <v>9.9304656000000005E-2</v>
      </c>
      <c r="I4">
        <v>0.38892611999999999</v>
      </c>
      <c r="J4">
        <v>1.4371620000000001E-3</v>
      </c>
      <c r="K4">
        <v>1.6372819000000001</v>
      </c>
      <c r="L4">
        <v>1.8432527000000001</v>
      </c>
      <c r="P4" t="str">
        <f>H1</f>
        <v>Sodium chloride</v>
      </c>
      <c r="Q4">
        <f>1039500</f>
        <v>1039500</v>
      </c>
      <c r="S4" s="73"/>
      <c r="T4" s="73"/>
      <c r="U4" s="73"/>
      <c r="V4" s="78" t="s">
        <v>252</v>
      </c>
      <c r="W4" t="s">
        <v>646</v>
      </c>
      <c r="AE4" s="74">
        <v>1.002977E-5</v>
      </c>
      <c r="AF4" s="74">
        <v>3.9281537999999997E-5</v>
      </c>
      <c r="AG4" s="74">
        <v>1.4515337E-7</v>
      </c>
      <c r="AH4">
        <v>1.6536546999999999E-4</v>
      </c>
      <c r="AI4">
        <v>1.8616851999999999E-4</v>
      </c>
    </row>
    <row r="5" spans="4:35" x14ac:dyDescent="0.25">
      <c r="D5" t="s">
        <v>658</v>
      </c>
      <c r="E5" t="s">
        <v>659</v>
      </c>
      <c r="F5">
        <v>138.67779999999999</v>
      </c>
      <c r="G5">
        <v>0</v>
      </c>
      <c r="H5">
        <v>1.3875335</v>
      </c>
      <c r="I5">
        <v>6.5884451999999998</v>
      </c>
      <c r="J5">
        <v>2.2099895000000001E-2</v>
      </c>
      <c r="K5">
        <v>66.258431000000002</v>
      </c>
      <c r="L5">
        <v>64.421289000000002</v>
      </c>
      <c r="P5" t="str">
        <f>I1</f>
        <v>Sodium Sulfate</v>
      </c>
      <c r="Q5">
        <f>1740014.45</f>
        <v>1740014.45</v>
      </c>
      <c r="V5" t="s">
        <v>254</v>
      </c>
      <c r="W5" t="s">
        <v>255</v>
      </c>
      <c r="AE5" s="74">
        <v>9.1299701000000002E-6</v>
      </c>
      <c r="AF5" s="74">
        <v>4.3351969999999999E-5</v>
      </c>
      <c r="AG5" s="74">
        <v>1.4541731E-7</v>
      </c>
      <c r="AH5">
        <v>4.3598048000000002E-4</v>
      </c>
      <c r="AI5">
        <v>4.2389207999999999E-4</v>
      </c>
    </row>
    <row r="6" spans="4:35" x14ac:dyDescent="0.25">
      <c r="P6" t="str">
        <f>J1</f>
        <v>water</v>
      </c>
      <c r="Q6">
        <f>7615377</f>
        <v>7615377</v>
      </c>
      <c r="V6" t="s">
        <v>256</v>
      </c>
      <c r="W6" t="s">
        <v>257</v>
      </c>
    </row>
    <row r="7" spans="4:35" x14ac:dyDescent="0.25">
      <c r="P7" t="str">
        <f>K1</f>
        <v>Ethanol</v>
      </c>
      <c r="Q7">
        <f>4009500</f>
        <v>4009500</v>
      </c>
      <c r="R7">
        <f>200541</f>
        <v>200541</v>
      </c>
      <c r="V7" t="s">
        <v>258</v>
      </c>
      <c r="W7" t="s">
        <v>647</v>
      </c>
    </row>
    <row r="8" spans="4:35" x14ac:dyDescent="0.25">
      <c r="D8" s="79"/>
      <c r="E8" s="79"/>
      <c r="F8" s="79"/>
      <c r="G8" s="79"/>
      <c r="H8" s="79"/>
      <c r="P8" t="s">
        <v>856</v>
      </c>
      <c r="R8">
        <f>18185112</f>
        <v>18185112</v>
      </c>
      <c r="S8">
        <v>15270552</v>
      </c>
      <c r="V8" t="s">
        <v>648</v>
      </c>
      <c r="W8" t="s">
        <v>906</v>
      </c>
    </row>
    <row r="9" spans="4:35" x14ac:dyDescent="0.25">
      <c r="D9" s="79"/>
      <c r="E9" s="79"/>
      <c r="F9" s="79"/>
      <c r="G9" s="79"/>
      <c r="H9" s="79"/>
      <c r="V9" t="s">
        <v>265</v>
      </c>
      <c r="W9" t="s">
        <v>262</v>
      </c>
    </row>
    <row r="10" spans="4:35" x14ac:dyDescent="0.25">
      <c r="D10" s="37" t="s">
        <v>884</v>
      </c>
      <c r="K10" s="80" t="s">
        <v>885</v>
      </c>
      <c r="L10" s="80"/>
      <c r="V10" t="s">
        <v>266</v>
      </c>
      <c r="W10" t="s">
        <v>262</v>
      </c>
    </row>
    <row r="11" spans="4:35" x14ac:dyDescent="0.25">
      <c r="V11" t="s">
        <v>650</v>
      </c>
      <c r="W11" t="s">
        <v>262</v>
      </c>
    </row>
    <row r="12" spans="4:35" x14ac:dyDescent="0.25">
      <c r="D12" s="37" t="s">
        <v>867</v>
      </c>
      <c r="L12" s="74">
        <f>(Q4*H2)+(Q5*I2)+(R8*L2)+(Q7*(1)*K2)+(Q6*J2)</f>
        <v>35.12848542359113</v>
      </c>
      <c r="M12" s="74">
        <v>34.5</v>
      </c>
      <c r="V12" t="s">
        <v>267</v>
      </c>
      <c r="W12" t="s">
        <v>651</v>
      </c>
    </row>
    <row r="13" spans="4:35" x14ac:dyDescent="0.25">
      <c r="D13" t="s">
        <v>868</v>
      </c>
      <c r="E13" s="74">
        <f>(Q4*H2)+(Q5*I2)+(R8*L2)+(Q7*(1-0.95)*K2)+(Q6*J2)</f>
        <v>30.269102734716135</v>
      </c>
      <c r="I13" s="74"/>
      <c r="R13" t="s">
        <v>904</v>
      </c>
      <c r="V13" t="s">
        <v>269</v>
      </c>
      <c r="W13" t="s">
        <v>270</v>
      </c>
    </row>
    <row r="15" spans="4:35" x14ac:dyDescent="0.25">
      <c r="D15" s="37" t="s">
        <v>869</v>
      </c>
      <c r="R15">
        <v>1.6400000000000001E-2</v>
      </c>
      <c r="S15">
        <v>0.71799999999999997</v>
      </c>
      <c r="T15">
        <v>7.8200000000000003E-4</v>
      </c>
      <c r="V15" t="s">
        <v>651</v>
      </c>
      <c r="W15" t="s">
        <v>272</v>
      </c>
      <c r="X15" t="s">
        <v>273</v>
      </c>
      <c r="Y15" s="74" t="s">
        <v>274</v>
      </c>
      <c r="Z15" t="s">
        <v>275</v>
      </c>
      <c r="AA15" t="s">
        <v>276</v>
      </c>
      <c r="AB15" t="s">
        <v>277</v>
      </c>
      <c r="AC15" t="s">
        <v>898</v>
      </c>
      <c r="AD15" t="s">
        <v>660</v>
      </c>
    </row>
    <row r="16" spans="4:35" x14ac:dyDescent="0.25">
      <c r="D16" t="s">
        <v>871</v>
      </c>
      <c r="E16">
        <f>(Q4*H3)+(Q5*I3)+(R8*L3)+(Q7*(1-0.95)*K3)+(Q6*J3)</f>
        <v>6559316.6765329605</v>
      </c>
      <c r="I16" s="74"/>
      <c r="L16">
        <f>(Q4*H3)+(Q5*I3)+(R8*L3)+(Q7*(1)*K3)+(Q6*J3)</f>
        <v>7711441.2290404607</v>
      </c>
      <c r="M16">
        <v>7611340.5499999998</v>
      </c>
      <c r="V16" t="s">
        <v>652</v>
      </c>
      <c r="W16" t="s">
        <v>653</v>
      </c>
      <c r="X16" s="74">
        <v>4.4047615000000003E-6</v>
      </c>
      <c r="Y16">
        <v>0</v>
      </c>
      <c r="Z16" s="74">
        <v>1.4121971E-7</v>
      </c>
      <c r="AA16" s="74">
        <v>6.1410603000000004E-7</v>
      </c>
      <c r="AB16" s="74">
        <v>2.2196245E-9</v>
      </c>
      <c r="AC16" s="74">
        <v>2.3191494999999999E-6</v>
      </c>
      <c r="AD16" s="74">
        <v>1.3280666999999999E-6</v>
      </c>
    </row>
    <row r="17" spans="3:30" x14ac:dyDescent="0.25">
      <c r="V17" t="s">
        <v>654</v>
      </c>
      <c r="W17" t="s">
        <v>655</v>
      </c>
      <c r="X17">
        <v>1.0843117</v>
      </c>
      <c r="Y17">
        <v>0</v>
      </c>
      <c r="Z17">
        <v>6.1457007000000001E-2</v>
      </c>
      <c r="AA17">
        <v>0.26834555999999998</v>
      </c>
      <c r="AB17">
        <v>4.8980086999999997E-4</v>
      </c>
      <c r="AC17">
        <v>0.47881172999999999</v>
      </c>
      <c r="AD17">
        <v>0.27520757000000001</v>
      </c>
    </row>
    <row r="18" spans="3:30" x14ac:dyDescent="0.25">
      <c r="D18" s="37" t="s">
        <v>872</v>
      </c>
      <c r="R18">
        <f>(Q4*R15)+(Q5*S15)+(7615485.542*T15)+(L3*R8)</f>
        <v>7236472.2979344837</v>
      </c>
      <c r="V18" t="s">
        <v>656</v>
      </c>
      <c r="W18" s="74" t="s">
        <v>657</v>
      </c>
      <c r="X18">
        <v>5.2172421</v>
      </c>
      <c r="Y18">
        <v>0</v>
      </c>
      <c r="Z18">
        <v>9.9304656000000005E-2</v>
      </c>
      <c r="AA18">
        <v>0.38892611999999999</v>
      </c>
      <c r="AB18">
        <v>1.4371620000000001E-3</v>
      </c>
      <c r="AC18">
        <v>3.1808478</v>
      </c>
      <c r="AD18">
        <v>1.5467264000000001</v>
      </c>
    </row>
    <row r="19" spans="3:30" x14ac:dyDescent="0.25">
      <c r="D19" t="s">
        <v>873</v>
      </c>
      <c r="E19">
        <f>(Q4*H4)+(Q5*I4)+(R8*L4)+(Q7*(1-0.95)*K4)+(Q6*J4)</f>
        <v>34638899.671839416</v>
      </c>
      <c r="F19">
        <f>E19/1000</f>
        <v>34638.899671839419</v>
      </c>
      <c r="G19" t="s">
        <v>883</v>
      </c>
      <c r="L19">
        <f>(Q4*H4)+(Q5*I4)+(R8*L4)+(Q7*(1)*K4)+(Q6*J4)</f>
        <v>40875347.360986911</v>
      </c>
      <c r="M19">
        <f>L19/1000</f>
        <v>40875.347360986911</v>
      </c>
      <c r="N19" t="str">
        <f>G19</f>
        <v>LCI (MT CO2-eq)</v>
      </c>
      <c r="O19">
        <v>390556.45</v>
      </c>
      <c r="V19" t="s">
        <v>658</v>
      </c>
      <c r="W19" t="s">
        <v>659</v>
      </c>
      <c r="X19">
        <v>194.27331000000001</v>
      </c>
      <c r="Y19">
        <v>0</v>
      </c>
      <c r="Z19">
        <v>1.3875335</v>
      </c>
      <c r="AA19">
        <v>6.5884451999999998</v>
      </c>
      <c r="AB19">
        <v>2.2099895000000001E-2</v>
      </c>
      <c r="AC19">
        <v>132.21746999999999</v>
      </c>
      <c r="AD19">
        <v>54.057757000000002</v>
      </c>
    </row>
    <row r="20" spans="3:30" x14ac:dyDescent="0.25">
      <c r="R20">
        <f>0.735</f>
        <v>0.73499999999999999</v>
      </c>
    </row>
    <row r="21" spans="3:30" x14ac:dyDescent="0.25">
      <c r="D21" s="37" t="s">
        <v>874</v>
      </c>
      <c r="R21">
        <f>R20*31500</f>
        <v>23152.5</v>
      </c>
    </row>
    <row r="22" spans="3:30" x14ac:dyDescent="0.25">
      <c r="D22" t="s">
        <v>875</v>
      </c>
      <c r="E22">
        <f>(Q4*H5)+(Q5*I5)+(R8*L5)+(Q7*(1-0.95)*K5)+(Q6*J5)</f>
        <v>1197866144.5604615</v>
      </c>
      <c r="L22">
        <f>(Q4*H5)+(Q5*I5)+(R8*L5)+(Q7*(1)*K5)+(Q6*J5)</f>
        <v>1450246164.7002366</v>
      </c>
      <c r="O22">
        <v>1350355276</v>
      </c>
      <c r="Q22" t="s">
        <v>905</v>
      </c>
      <c r="R22">
        <f>R21*330</f>
        <v>7640325</v>
      </c>
      <c r="W22" t="s">
        <v>907</v>
      </c>
      <c r="X22">
        <f>(Q4*H5)+(Q5*I5)+(15270552*L5)+(Q7*(1)*AC19)+(Q6*J5)</f>
        <v>1526949219.5028965</v>
      </c>
    </row>
    <row r="23" spans="3:30" x14ac:dyDescent="0.25">
      <c r="W23" t="s">
        <v>908</v>
      </c>
      <c r="X23">
        <f>(Q4*Z18)+(Q5*I4)+(S8*AD18)+(Q7*(1)*AC18)+(Q6*J4)</f>
        <v>37163883.964207314</v>
      </c>
    </row>
    <row r="24" spans="3:30" x14ac:dyDescent="0.25">
      <c r="W24" t="s">
        <v>909</v>
      </c>
      <c r="X24">
        <f>(Q4*H3)+(Q5*I3)+(S8*AD17)+(Q7*(1)*AC17)+(Q6*J3)</f>
        <v>6656906.8689634604</v>
      </c>
    </row>
    <row r="26" spans="3:30" x14ac:dyDescent="0.25">
      <c r="D26" s="37" t="s">
        <v>877</v>
      </c>
      <c r="I26" t="s">
        <v>862</v>
      </c>
      <c r="J26" t="s">
        <v>863</v>
      </c>
      <c r="K26" t="s">
        <v>866</v>
      </c>
      <c r="L26" t="s">
        <v>865</v>
      </c>
      <c r="M26" t="s">
        <v>864</v>
      </c>
    </row>
    <row r="27" spans="3:30" ht="51.6" customHeight="1" x14ac:dyDescent="0.25">
      <c r="C27" t="s">
        <v>262</v>
      </c>
      <c r="D27" t="s">
        <v>268</v>
      </c>
      <c r="E27" t="s">
        <v>271</v>
      </c>
      <c r="F27" t="s">
        <v>272</v>
      </c>
      <c r="G27" t="s">
        <v>273</v>
      </c>
      <c r="H27" t="s">
        <v>274</v>
      </c>
      <c r="I27" t="s">
        <v>275</v>
      </c>
      <c r="J27" t="s">
        <v>276</v>
      </c>
      <c r="K27" t="s">
        <v>277</v>
      </c>
      <c r="L27" t="s">
        <v>11</v>
      </c>
      <c r="M27" s="75" t="s">
        <v>660</v>
      </c>
    </row>
    <row r="28" spans="3:30" x14ac:dyDescent="0.25">
      <c r="D28" t="s">
        <v>355</v>
      </c>
      <c r="E28" t="s">
        <v>260</v>
      </c>
      <c r="F28" t="s">
        <v>192</v>
      </c>
      <c r="G28">
        <v>0.31717079999999997</v>
      </c>
      <c r="H28">
        <v>0</v>
      </c>
      <c r="I28">
        <v>3.5236897999999998E-3</v>
      </c>
      <c r="J28">
        <v>5.9920187999999999E-2</v>
      </c>
      <c r="K28" s="74">
        <v>3.4500259E-5</v>
      </c>
      <c r="L28">
        <v>2.9030941000000001E-2</v>
      </c>
      <c r="M28">
        <v>0.22466148</v>
      </c>
    </row>
    <row r="29" spans="3:30" x14ac:dyDescent="0.25">
      <c r="D29" t="s">
        <v>356</v>
      </c>
      <c r="E29" t="s">
        <v>260</v>
      </c>
      <c r="F29" t="s">
        <v>192</v>
      </c>
      <c r="G29">
        <v>3.7096954000000002</v>
      </c>
      <c r="H29">
        <v>0</v>
      </c>
      <c r="I29">
        <v>9.5448872000000004E-2</v>
      </c>
      <c r="J29">
        <v>0.37293755000000001</v>
      </c>
      <c r="K29">
        <v>1.36994E-3</v>
      </c>
      <c r="L29">
        <v>1.5167307999999999</v>
      </c>
      <c r="M29">
        <v>1.7232083</v>
      </c>
    </row>
    <row r="30" spans="3:30" x14ac:dyDescent="0.25">
      <c r="D30" t="s">
        <v>357</v>
      </c>
      <c r="E30" t="s">
        <v>260</v>
      </c>
      <c r="F30" t="s">
        <v>192</v>
      </c>
      <c r="G30">
        <v>8.2147469000000001E-3</v>
      </c>
      <c r="H30">
        <v>0</v>
      </c>
      <c r="I30">
        <v>1.2829859E-4</v>
      </c>
      <c r="J30">
        <v>3.6820867E-4</v>
      </c>
      <c r="K30" s="74">
        <v>2.0859025E-6</v>
      </c>
      <c r="L30">
        <v>2.9675509999999998E-4</v>
      </c>
      <c r="M30">
        <v>7.4193986999999996E-3</v>
      </c>
    </row>
    <row r="32" spans="3:30" x14ac:dyDescent="0.25">
      <c r="D32" t="s">
        <v>887</v>
      </c>
      <c r="I32" s="79" t="s">
        <v>888</v>
      </c>
      <c r="J32" s="79"/>
    </row>
    <row r="34" spans="4:13" x14ac:dyDescent="0.25">
      <c r="D34" s="37" t="s">
        <v>876</v>
      </c>
      <c r="E34" s="74">
        <f>(Q4*SUM(I28:I30))+(Q5*SUM(J28:J30))+(R8*SUM(M28:M30))+(Q7*(1-0.95)*SUM(L28:L30))+(Q6*SUM(K28:K30))</f>
        <v>36734644.762729481</v>
      </c>
      <c r="F34" s="74">
        <f>E34/1000</f>
        <v>36734.644762729484</v>
      </c>
      <c r="G34" t="s">
        <v>886</v>
      </c>
      <c r="I34" s="74">
        <f>(Q4*SUM(I28:I30))+(Q5*SUM(J28:J30))+(R8*SUM(M28:M30))+(Q7*(1)*SUM(L28:L30))+(Q6*SUM(K28:K30))</f>
        <v>42623620.225836784</v>
      </c>
    </row>
    <row r="35" spans="4:13" x14ac:dyDescent="0.25">
      <c r="E35" s="74"/>
    </row>
    <row r="37" spans="4:13" x14ac:dyDescent="0.25">
      <c r="D37" t="s">
        <v>359</v>
      </c>
      <c r="E37" t="s">
        <v>260</v>
      </c>
      <c r="F37" t="s">
        <v>192</v>
      </c>
      <c r="G37">
        <v>3.8973479999999998E-4</v>
      </c>
      <c r="H37">
        <v>0</v>
      </c>
      <c r="I37" s="74">
        <v>8.6297111999999997E-6</v>
      </c>
      <c r="J37" s="74">
        <v>8.5153206000000006E-5</v>
      </c>
      <c r="K37" s="74">
        <v>2.1639336000000001E-7</v>
      </c>
      <c r="L37" s="74">
        <v>8.6202312999999995E-5</v>
      </c>
      <c r="M37">
        <v>2.0953317E-4</v>
      </c>
    </row>
    <row r="38" spans="4:13" x14ac:dyDescent="0.25">
      <c r="D38" t="s">
        <v>360</v>
      </c>
      <c r="E38" t="s">
        <v>260</v>
      </c>
      <c r="F38" t="s">
        <v>192</v>
      </c>
      <c r="G38">
        <v>4.8257164E-3</v>
      </c>
      <c r="H38">
        <v>0</v>
      </c>
      <c r="I38">
        <v>2.0416132000000001E-4</v>
      </c>
      <c r="J38">
        <v>6.6511049E-4</v>
      </c>
      <c r="K38" s="74">
        <v>4.8899351000000002E-6</v>
      </c>
      <c r="L38">
        <v>2.6942160000000001E-3</v>
      </c>
      <c r="M38">
        <v>1.2573387E-3</v>
      </c>
    </row>
    <row r="39" spans="4:13" x14ac:dyDescent="0.25">
      <c r="D39" t="s">
        <v>361</v>
      </c>
      <c r="E39" t="s">
        <v>260</v>
      </c>
      <c r="F39" t="s">
        <v>192</v>
      </c>
      <c r="G39" s="74">
        <v>1.2541758000000001E-6</v>
      </c>
      <c r="H39">
        <v>0</v>
      </c>
      <c r="I39" s="74">
        <v>6.3395148E-8</v>
      </c>
      <c r="J39" s="74">
        <v>3.9480134000000001E-7</v>
      </c>
      <c r="K39" s="74">
        <v>4.7047127E-10</v>
      </c>
      <c r="L39" s="74">
        <v>3.1523718E-7</v>
      </c>
      <c r="M39" s="74">
        <v>4.8027167000000002E-7</v>
      </c>
    </row>
    <row r="42" spans="4:13" x14ac:dyDescent="0.25">
      <c r="D42" s="37" t="s">
        <v>878</v>
      </c>
      <c r="E42" s="74">
        <f>(Q4*SUM(I37:I39))+(Q5*SUM(J37:J39))+(R8*SUM(M37:M39))+(Q7*(1-0.95)*SUM(L37:L39))+(Q6*SUM(K37:K39))</f>
        <v>28807.739605881605</v>
      </c>
      <c r="I42" s="74">
        <f>(Q4*SUM(I37:I39))+(Q5*SUM(J37:J39))+(R8*SUM(M37:M39))+(Q7*(1)*SUM(L37:L39))+(Q6*SUM(K37:K39))</f>
        <v>39399.62321685598</v>
      </c>
    </row>
    <row r="45" spans="4:13" ht="30" x14ac:dyDescent="0.25">
      <c r="D45" s="76" t="s">
        <v>530</v>
      </c>
      <c r="E45" t="s">
        <v>260</v>
      </c>
      <c r="F45" t="s">
        <v>192</v>
      </c>
      <c r="G45">
        <v>2.7721145000000002E-3</v>
      </c>
      <c r="H45">
        <v>0</v>
      </c>
      <c r="I45" s="74">
        <v>3.7459809999999997E-5</v>
      </c>
      <c r="J45">
        <v>1.7318663000000001E-4</v>
      </c>
      <c r="K45" s="74">
        <v>6.3492212000000004E-7</v>
      </c>
      <c r="L45">
        <v>2.1119007000000001E-3</v>
      </c>
      <c r="M45">
        <v>4.4893241999999998E-4</v>
      </c>
    </row>
    <row r="48" spans="4:13" x14ac:dyDescent="0.25">
      <c r="D48" s="37" t="s">
        <v>879</v>
      </c>
      <c r="E48" s="74">
        <f>(Q4*SUM(I45))+(Q5*SUM(J45))+(R8*SUM(M45))+(Q7*(1-0.95)*SUM(L45))+(Q6*SUM(K45))</f>
        <v>8932.3915135147836</v>
      </c>
      <c r="I48" s="74">
        <f>(Q4*SUM(I45))+(Q5*SUM(J45))+(R8*SUM(M45))+(Q7*(1)*SUM(L45))+(Q6*SUM(K45))</f>
        <v>16976.674077332282</v>
      </c>
    </row>
    <row r="51" spans="4:13" ht="30" x14ac:dyDescent="0.25">
      <c r="D51" s="76" t="s">
        <v>630</v>
      </c>
      <c r="E51" t="s">
        <v>260</v>
      </c>
      <c r="F51" t="s">
        <v>192</v>
      </c>
      <c r="G51" s="74">
        <v>1.6050678E-14</v>
      </c>
      <c r="H51">
        <v>0</v>
      </c>
      <c r="I51" s="74">
        <v>2.0251424E-15</v>
      </c>
      <c r="J51" s="74">
        <v>5.9012792999999997E-15</v>
      </c>
      <c r="K51" s="74">
        <v>3.9479771999999998E-18</v>
      </c>
      <c r="L51" s="74">
        <v>7.3775422999999999E-15</v>
      </c>
      <c r="M51" s="74">
        <v>7.4276617000000004E-16</v>
      </c>
    </row>
    <row r="54" spans="4:13" x14ac:dyDescent="0.25">
      <c r="D54" s="37" t="s">
        <v>880</v>
      </c>
      <c r="E54" s="74">
        <f>(Q4*SUM(I51))+(Q5*SUM(J51))+(R8*SUM(M51))+(Q7*(1-0.95)*SUM(L51))+(Q6*SUM(K51))</f>
        <v>2.7389810898904833E-8</v>
      </c>
      <c r="I54" s="74">
        <f>(Q4*SUM(I51))+(Q5*SUM(J51))+(R8*SUM(M51))+(Q7*(1)*SUM(L51))+(Q6*SUM(K51))</f>
        <v>5.5491053958162331E-8</v>
      </c>
    </row>
    <row r="57" spans="4:13" x14ac:dyDescent="0.25">
      <c r="D57" t="s">
        <v>528</v>
      </c>
      <c r="E57" t="s">
        <v>260</v>
      </c>
      <c r="F57" t="s">
        <v>192</v>
      </c>
      <c r="G57">
        <v>7.1917060999999996E-3</v>
      </c>
      <c r="H57">
        <v>0</v>
      </c>
      <c r="I57">
        <v>3.1941787E-4</v>
      </c>
      <c r="J57">
        <v>1.3877128E-3</v>
      </c>
      <c r="K57" s="74">
        <v>3.6588910000000002E-6</v>
      </c>
      <c r="L57">
        <v>3.5407669000000002E-3</v>
      </c>
      <c r="M57">
        <v>1.9401495999999999E-3</v>
      </c>
    </row>
    <row r="60" spans="4:13" x14ac:dyDescent="0.25">
      <c r="D60" s="37" t="s">
        <v>881</v>
      </c>
      <c r="E60" s="74">
        <f>(Q4*SUM(I57))+(Q5*SUM(J57))+(R8*SUM(M57))+(Q7*(1-0.95)*SUM(L57))+(Q6*SUM(K57))</f>
        <v>38766.212051714567</v>
      </c>
      <c r="I60" s="74">
        <f>(Q4*SUM(I57))+(Q5*SUM(J57))+(R8*SUM(M57))+(Q7*(1)*SUM(L57))+(Q6*SUM(K57))</f>
        <v>52253.081692987071</v>
      </c>
    </row>
    <row r="63" spans="4:13" x14ac:dyDescent="0.25">
      <c r="D63" t="s">
        <v>597</v>
      </c>
      <c r="E63" t="s">
        <v>260</v>
      </c>
      <c r="F63" t="s">
        <v>192</v>
      </c>
      <c r="G63">
        <v>1.0448870000000001E-2</v>
      </c>
      <c r="H63">
        <v>0</v>
      </c>
      <c r="I63">
        <v>3.6825922E-4</v>
      </c>
      <c r="J63">
        <v>3.0332279999999998E-3</v>
      </c>
      <c r="K63" s="74">
        <v>4.2868536999999997E-6</v>
      </c>
      <c r="L63">
        <v>4.0297086000000001E-3</v>
      </c>
      <c r="M63">
        <v>3.0133876E-3</v>
      </c>
    </row>
    <row r="64" spans="4:13" x14ac:dyDescent="0.25">
      <c r="D64" t="s">
        <v>599</v>
      </c>
      <c r="E64" t="s">
        <v>260</v>
      </c>
      <c r="F64" t="s">
        <v>192</v>
      </c>
      <c r="G64" s="74">
        <v>7.8384066999999994E-9</v>
      </c>
      <c r="H64">
        <v>0</v>
      </c>
      <c r="I64" s="74">
        <v>6.8953828000000005E-11</v>
      </c>
      <c r="J64" s="74">
        <v>7.3597262999999998E-9</v>
      </c>
      <c r="K64" s="74">
        <v>2.3847062000000001E-13</v>
      </c>
      <c r="L64" s="74">
        <v>2.7355839E-10</v>
      </c>
      <c r="M64" s="74">
        <v>1.3592966999999999E-10</v>
      </c>
    </row>
    <row r="67" spans="4:9" x14ac:dyDescent="0.25">
      <c r="D67" s="37" t="s">
        <v>882</v>
      </c>
      <c r="E67" s="74">
        <f>(Q4*SUM(I63:I64))+(Q5*SUM(J63:J64))+(R8*SUM(M63:M64))+(Q7*(1-0.95)*SUM(L63:L64))+(Q6*SUM(K63:K64))</f>
        <v>61299.974259661685</v>
      </c>
      <c r="I67" s="74">
        <f>(Q4*SUM(I63:I64))+(Q5*SUM(J63:J64))+(R8*SUM(M63:M64))+(Q7*(1)*SUM(L63:L64))+(Q6*SUM(K63:K64))</f>
        <v>76649.236101767441</v>
      </c>
    </row>
  </sheetData>
  <mergeCells count="3">
    <mergeCell ref="D8:H9"/>
    <mergeCell ref="K10:L10"/>
    <mergeCell ref="I32:J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912E-49E6-4BED-BA5F-F07EC8EDD241}">
  <dimension ref="A2:V80"/>
  <sheetViews>
    <sheetView zoomScale="89" zoomScaleNormal="100" workbookViewId="0">
      <selection activeCell="A47" sqref="A47:B47"/>
    </sheetView>
  </sheetViews>
  <sheetFormatPr defaultRowHeight="15" x14ac:dyDescent="0.25"/>
  <cols>
    <col min="1" max="1" width="29" customWidth="1"/>
    <col min="2" max="2" width="20.140625" customWidth="1"/>
    <col min="3" max="3" width="17.140625" customWidth="1"/>
    <col min="4" max="4" width="13.85546875" customWidth="1"/>
    <col min="5" max="5" width="15.42578125" customWidth="1"/>
    <col min="6" max="6" width="14.5703125" customWidth="1"/>
    <col min="7" max="7" width="15.28515625" customWidth="1"/>
    <col min="8" max="8" width="12.85546875" customWidth="1"/>
    <col min="9" max="9" width="37.140625" customWidth="1"/>
    <col min="10" max="10" width="17.42578125" customWidth="1"/>
    <col min="11" max="11" width="10.42578125" customWidth="1"/>
    <col min="18" max="18" width="30.42578125" customWidth="1"/>
    <col min="19" max="19" width="33.42578125" customWidth="1"/>
    <col min="20" max="20" width="17.42578125" customWidth="1"/>
  </cols>
  <sheetData>
    <row r="2" spans="1:9" x14ac:dyDescent="0.25">
      <c r="A2" t="s">
        <v>250</v>
      </c>
      <c r="B2" t="s">
        <v>251</v>
      </c>
    </row>
    <row r="3" spans="1:9" x14ac:dyDescent="0.25">
      <c r="A3" t="s">
        <v>252</v>
      </c>
      <c r="B3" t="s">
        <v>646</v>
      </c>
    </row>
    <row r="4" spans="1:9" x14ac:dyDescent="0.25">
      <c r="A4" t="s">
        <v>254</v>
      </c>
      <c r="B4" t="s">
        <v>255</v>
      </c>
    </row>
    <row r="5" spans="1:9" x14ac:dyDescent="0.25">
      <c r="A5" t="s">
        <v>256</v>
      </c>
      <c r="B5" t="s">
        <v>257</v>
      </c>
    </row>
    <row r="6" spans="1:9" x14ac:dyDescent="0.25">
      <c r="A6" t="s">
        <v>258</v>
      </c>
      <c r="B6" s="72" t="s">
        <v>647</v>
      </c>
      <c r="C6" s="72"/>
      <c r="D6" s="72"/>
      <c r="E6" s="72"/>
      <c r="F6" s="72"/>
      <c r="G6" s="72"/>
    </row>
    <row r="7" spans="1:9" x14ac:dyDescent="0.25">
      <c r="A7" t="s">
        <v>648</v>
      </c>
      <c r="B7" s="72" t="s">
        <v>649</v>
      </c>
      <c r="C7" s="72"/>
      <c r="D7" s="72"/>
      <c r="E7" s="72"/>
    </row>
    <row r="8" spans="1:9" x14ac:dyDescent="0.25">
      <c r="A8" t="s">
        <v>265</v>
      </c>
      <c r="B8" t="s">
        <v>262</v>
      </c>
    </row>
    <row r="9" spans="1:9" x14ac:dyDescent="0.25">
      <c r="A9" t="s">
        <v>266</v>
      </c>
      <c r="B9" t="s">
        <v>262</v>
      </c>
    </row>
    <row r="10" spans="1:9" x14ac:dyDescent="0.25">
      <c r="A10" t="s">
        <v>650</v>
      </c>
      <c r="B10" t="s">
        <v>262</v>
      </c>
    </row>
    <row r="11" spans="1:9" x14ac:dyDescent="0.25">
      <c r="A11" t="s">
        <v>267</v>
      </c>
      <c r="B11" t="s">
        <v>651</v>
      </c>
    </row>
    <row r="12" spans="1:9" x14ac:dyDescent="0.25">
      <c r="A12" t="s">
        <v>269</v>
      </c>
      <c r="B12" t="s">
        <v>270</v>
      </c>
    </row>
    <row r="14" spans="1:9" ht="30" x14ac:dyDescent="0.25">
      <c r="A14" t="s">
        <v>651</v>
      </c>
      <c r="B14" t="s">
        <v>870</v>
      </c>
      <c r="C14" t="s">
        <v>273</v>
      </c>
      <c r="D14" t="s">
        <v>274</v>
      </c>
      <c r="E14" t="s">
        <v>275</v>
      </c>
      <c r="F14" t="s">
        <v>276</v>
      </c>
      <c r="G14" t="s">
        <v>277</v>
      </c>
      <c r="H14" t="s">
        <v>11</v>
      </c>
      <c r="I14" s="75" t="s">
        <v>660</v>
      </c>
    </row>
    <row r="15" spans="1:9" x14ac:dyDescent="0.25">
      <c r="A15" t="s">
        <v>652</v>
      </c>
      <c r="B15" t="s">
        <v>653</v>
      </c>
      <c r="C15" s="74">
        <v>3.6159737000000001E-6</v>
      </c>
      <c r="D15">
        <v>0</v>
      </c>
      <c r="E15" s="74">
        <v>1.4121971E-7</v>
      </c>
      <c r="F15" s="74">
        <v>6.1410603000000004E-7</v>
      </c>
      <c r="G15" s="74">
        <v>2.2196244E-9</v>
      </c>
      <c r="H15" s="74">
        <v>1.275755E-6</v>
      </c>
      <c r="I15" s="74">
        <v>1.5826733E-6</v>
      </c>
    </row>
    <row r="16" spans="1:9" x14ac:dyDescent="0.25">
      <c r="A16" t="s">
        <v>654</v>
      </c>
      <c r="B16" t="s">
        <v>655</v>
      </c>
      <c r="C16">
        <v>0.96073288999999995</v>
      </c>
      <c r="D16">
        <v>0</v>
      </c>
      <c r="E16">
        <v>6.1457007000000001E-2</v>
      </c>
      <c r="F16">
        <v>0.26834555999999998</v>
      </c>
      <c r="G16">
        <v>4.8980086999999997E-4</v>
      </c>
      <c r="H16">
        <v>0.30247230000000003</v>
      </c>
      <c r="I16">
        <v>0.32796821999999998</v>
      </c>
    </row>
    <row r="17" spans="1:9" x14ac:dyDescent="0.25">
      <c r="A17" t="s">
        <v>656</v>
      </c>
      <c r="B17" t="s">
        <v>657</v>
      </c>
      <c r="C17">
        <v>3.9702025999999999</v>
      </c>
      <c r="D17">
        <v>0</v>
      </c>
      <c r="E17">
        <v>9.9304656000000005E-2</v>
      </c>
      <c r="F17">
        <v>0.38892611999999999</v>
      </c>
      <c r="G17">
        <v>1.4371620000000001E-3</v>
      </c>
      <c r="H17">
        <v>1.6372819000000001</v>
      </c>
      <c r="I17">
        <v>1.8432527000000001</v>
      </c>
    </row>
    <row r="18" spans="1:9" x14ac:dyDescent="0.25">
      <c r="A18" t="s">
        <v>658</v>
      </c>
      <c r="B18" t="s">
        <v>659</v>
      </c>
      <c r="C18">
        <v>138.67779999999999</v>
      </c>
      <c r="D18">
        <v>0</v>
      </c>
      <c r="E18">
        <v>1.3875335</v>
      </c>
      <c r="F18">
        <v>6.5884451999999998</v>
      </c>
      <c r="G18">
        <v>2.2099895000000001E-2</v>
      </c>
      <c r="H18">
        <v>66.258431000000002</v>
      </c>
      <c r="I18">
        <v>64.421289000000002</v>
      </c>
    </row>
    <row r="25" spans="1:9" x14ac:dyDescent="0.25">
      <c r="A25" t="s">
        <v>250</v>
      </c>
      <c r="B25" t="s">
        <v>251</v>
      </c>
    </row>
    <row r="26" spans="1:9" x14ac:dyDescent="0.25">
      <c r="A26" t="s">
        <v>252</v>
      </c>
      <c r="B26" t="s">
        <v>646</v>
      </c>
    </row>
    <row r="27" spans="1:9" x14ac:dyDescent="0.25">
      <c r="A27" t="s">
        <v>254</v>
      </c>
      <c r="B27" t="s">
        <v>255</v>
      </c>
    </row>
    <row r="28" spans="1:9" x14ac:dyDescent="0.25">
      <c r="A28" t="s">
        <v>256</v>
      </c>
      <c r="B28" t="s">
        <v>257</v>
      </c>
    </row>
    <row r="29" spans="1:9" x14ac:dyDescent="0.25">
      <c r="A29" t="s">
        <v>258</v>
      </c>
      <c r="B29" t="s">
        <v>859</v>
      </c>
    </row>
    <row r="30" spans="1:9" x14ac:dyDescent="0.25">
      <c r="A30" t="s">
        <v>648</v>
      </c>
      <c r="B30" t="s">
        <v>649</v>
      </c>
    </row>
    <row r="31" spans="1:9" x14ac:dyDescent="0.25">
      <c r="A31" t="s">
        <v>265</v>
      </c>
      <c r="B31" t="s">
        <v>262</v>
      </c>
    </row>
    <row r="32" spans="1:9" x14ac:dyDescent="0.25">
      <c r="A32" t="s">
        <v>266</v>
      </c>
      <c r="B32" t="s">
        <v>262</v>
      </c>
    </row>
    <row r="33" spans="1:22" x14ac:dyDescent="0.25">
      <c r="A33" t="s">
        <v>650</v>
      </c>
      <c r="B33" t="s">
        <v>262</v>
      </c>
      <c r="R33" t="s">
        <v>889</v>
      </c>
      <c r="S33" t="s">
        <v>890</v>
      </c>
      <c r="T33" t="s">
        <v>891</v>
      </c>
    </row>
    <row r="34" spans="1:22" x14ac:dyDescent="0.25">
      <c r="A34" t="s">
        <v>267</v>
      </c>
      <c r="B34" t="s">
        <v>651</v>
      </c>
      <c r="R34" t="s">
        <v>892</v>
      </c>
      <c r="S34" s="74">
        <f>30.3</f>
        <v>30.3</v>
      </c>
      <c r="T34" s="74">
        <f>' LCA_Calc'!L12</f>
        <v>35.12848542359113</v>
      </c>
    </row>
    <row r="35" spans="1:22" x14ac:dyDescent="0.25">
      <c r="A35" t="s">
        <v>269</v>
      </c>
      <c r="B35" t="s">
        <v>270</v>
      </c>
      <c r="R35" t="s">
        <v>893</v>
      </c>
      <c r="S35">
        <f>ROUND(' LCA_Calc'!E16,0)</f>
        <v>6559317</v>
      </c>
      <c r="T35">
        <f>ROUND(' LCA_Calc'!L16,0)</f>
        <v>7711441</v>
      </c>
    </row>
    <row r="36" spans="1:22" x14ac:dyDescent="0.25">
      <c r="R36" t="s">
        <v>894</v>
      </c>
      <c r="S36">
        <f>ROUND(' LCA_Calc'!F19,0)</f>
        <v>34639</v>
      </c>
      <c r="T36">
        <f>ROUND(' LCA_Calc'!M19,0)</f>
        <v>40875</v>
      </c>
    </row>
    <row r="37" spans="1:22" x14ac:dyDescent="0.25">
      <c r="A37" t="s">
        <v>651</v>
      </c>
      <c r="B37" t="s">
        <v>272</v>
      </c>
      <c r="C37" t="s">
        <v>273</v>
      </c>
      <c r="D37" t="s">
        <v>274</v>
      </c>
      <c r="E37" t="s">
        <v>275</v>
      </c>
      <c r="F37" t="s">
        <v>276</v>
      </c>
      <c r="G37" t="s">
        <v>277</v>
      </c>
      <c r="H37" t="s">
        <v>11</v>
      </c>
      <c r="I37" t="s">
        <v>660</v>
      </c>
      <c r="R37" t="s">
        <v>895</v>
      </c>
      <c r="S37">
        <f>' LCA_Calc'!E22</f>
        <v>1197866144.5604615</v>
      </c>
      <c r="T37">
        <f>' LCA_Calc'!L22</f>
        <v>1450246164.7002366</v>
      </c>
    </row>
    <row r="38" spans="1:22" x14ac:dyDescent="0.25">
      <c r="A38" t="s">
        <v>652</v>
      </c>
      <c r="B38" t="s">
        <v>653</v>
      </c>
      <c r="C38">
        <v>5.0985229000000002E-4</v>
      </c>
      <c r="D38">
        <v>0</v>
      </c>
      <c r="E38" s="74">
        <v>1.9911978000000002E-5</v>
      </c>
      <c r="F38" s="74">
        <v>8.6588950000000004E-5</v>
      </c>
      <c r="G38" s="74">
        <v>3.1296705000000002E-7</v>
      </c>
      <c r="H38">
        <v>1.7988146000000001E-4</v>
      </c>
      <c r="I38">
        <v>2.2315693000000001E-4</v>
      </c>
    </row>
    <row r="39" spans="1:22" x14ac:dyDescent="0.25">
      <c r="A39" t="s">
        <v>654</v>
      </c>
      <c r="B39" t="s">
        <v>655</v>
      </c>
      <c r="C39" s="74">
        <v>7.0133501000000005E-5</v>
      </c>
      <c r="D39">
        <v>0</v>
      </c>
      <c r="E39" s="74">
        <v>4.4863614999999996E-6</v>
      </c>
      <c r="F39" s="74">
        <v>1.9589226E-5</v>
      </c>
      <c r="G39" s="74">
        <v>3.5755462999999997E-8</v>
      </c>
      <c r="H39" s="74">
        <v>2.2080478E-5</v>
      </c>
      <c r="I39" s="74">
        <v>2.394168E-5</v>
      </c>
      <c r="S39" s="74">
        <f>T37/2779514</f>
        <v>521.76249686104711</v>
      </c>
      <c r="V39" t="s">
        <v>889</v>
      </c>
    </row>
    <row r="40" spans="1:22" x14ac:dyDescent="0.25">
      <c r="A40" t="s">
        <v>656</v>
      </c>
      <c r="B40" t="s">
        <v>657</v>
      </c>
      <c r="C40">
        <v>4.0099046E-4</v>
      </c>
      <c r="D40">
        <v>0</v>
      </c>
      <c r="E40" s="74">
        <v>1.002977E-5</v>
      </c>
      <c r="F40" s="74">
        <v>3.9281537999999997E-5</v>
      </c>
      <c r="G40" s="74">
        <v>1.4515337E-7</v>
      </c>
      <c r="H40">
        <v>1.6536546999999999E-4</v>
      </c>
      <c r="I40">
        <v>1.8616851999999999E-4</v>
      </c>
    </row>
    <row r="41" spans="1:22" x14ac:dyDescent="0.25">
      <c r="A41" t="s">
        <v>658</v>
      </c>
      <c r="B41" t="s">
        <v>659</v>
      </c>
      <c r="C41">
        <v>9.1249991000000004E-4</v>
      </c>
      <c r="D41">
        <v>0</v>
      </c>
      <c r="E41" s="74">
        <v>9.1299701000000002E-6</v>
      </c>
      <c r="F41" s="74">
        <v>4.3351969999999999E-5</v>
      </c>
      <c r="G41" s="74">
        <v>1.4541731E-7</v>
      </c>
      <c r="H41">
        <v>4.3598048000000002E-4</v>
      </c>
      <c r="I41">
        <v>4.2389207999999999E-4</v>
      </c>
    </row>
    <row r="47" spans="1:22" ht="18.75" x14ac:dyDescent="0.3">
      <c r="A47" s="213" t="s">
        <v>897</v>
      </c>
      <c r="B47" s="213"/>
    </row>
    <row r="50" spans="1:9" x14ac:dyDescent="0.25">
      <c r="A50" t="s">
        <v>250</v>
      </c>
      <c r="B50" t="s">
        <v>251</v>
      </c>
    </row>
    <row r="51" spans="1:9" x14ac:dyDescent="0.25">
      <c r="A51" t="s">
        <v>252</v>
      </c>
      <c r="B51" t="s">
        <v>646</v>
      </c>
    </row>
    <row r="52" spans="1:9" x14ac:dyDescent="0.25">
      <c r="A52" t="s">
        <v>254</v>
      </c>
      <c r="B52" t="s">
        <v>255</v>
      </c>
    </row>
    <row r="53" spans="1:9" x14ac:dyDescent="0.25">
      <c r="A53" t="s">
        <v>256</v>
      </c>
      <c r="B53" t="s">
        <v>257</v>
      </c>
    </row>
    <row r="54" spans="1:9" x14ac:dyDescent="0.25">
      <c r="A54" t="s">
        <v>258</v>
      </c>
      <c r="B54" t="s">
        <v>647</v>
      </c>
    </row>
    <row r="55" spans="1:9" x14ac:dyDescent="0.25">
      <c r="A55" t="s">
        <v>648</v>
      </c>
      <c r="B55" t="s">
        <v>649</v>
      </c>
    </row>
    <row r="56" spans="1:9" x14ac:dyDescent="0.25">
      <c r="A56" t="s">
        <v>265</v>
      </c>
      <c r="B56" t="s">
        <v>262</v>
      </c>
    </row>
    <row r="57" spans="1:9" x14ac:dyDescent="0.25">
      <c r="A57" t="s">
        <v>266</v>
      </c>
      <c r="B57" t="s">
        <v>262</v>
      </c>
    </row>
    <row r="58" spans="1:9" x14ac:dyDescent="0.25">
      <c r="A58" t="s">
        <v>650</v>
      </c>
      <c r="B58" t="s">
        <v>262</v>
      </c>
    </row>
    <row r="59" spans="1:9" x14ac:dyDescent="0.25">
      <c r="A59" t="s">
        <v>267</v>
      </c>
      <c r="B59" t="s">
        <v>651</v>
      </c>
    </row>
    <row r="60" spans="1:9" x14ac:dyDescent="0.25">
      <c r="A60" t="s">
        <v>269</v>
      </c>
      <c r="B60" t="s">
        <v>270</v>
      </c>
    </row>
    <row r="62" spans="1:9" x14ac:dyDescent="0.25">
      <c r="A62" t="s">
        <v>651</v>
      </c>
      <c r="B62" t="s">
        <v>272</v>
      </c>
      <c r="C62" t="s">
        <v>273</v>
      </c>
      <c r="D62" t="s">
        <v>274</v>
      </c>
      <c r="E62" t="s">
        <v>275</v>
      </c>
      <c r="F62" t="s">
        <v>276</v>
      </c>
      <c r="G62" t="s">
        <v>277</v>
      </c>
      <c r="H62" t="s">
        <v>898</v>
      </c>
      <c r="I62" t="s">
        <v>660</v>
      </c>
    </row>
    <row r="63" spans="1:9" x14ac:dyDescent="0.25">
      <c r="A63" t="s">
        <v>652</v>
      </c>
      <c r="B63" t="s">
        <v>653</v>
      </c>
      <c r="C63" s="74">
        <v>4.6633944000000001E-6</v>
      </c>
      <c r="D63">
        <v>0</v>
      </c>
      <c r="E63" s="74">
        <v>1.4121971E-7</v>
      </c>
      <c r="F63" s="74">
        <v>6.1410603000000004E-7</v>
      </c>
      <c r="G63" s="74">
        <v>2.2196245E-9</v>
      </c>
      <c r="H63" s="74">
        <v>2.3231757999999999E-6</v>
      </c>
      <c r="I63" s="74">
        <v>1.5826733E-6</v>
      </c>
    </row>
    <row r="64" spans="1:9" x14ac:dyDescent="0.25">
      <c r="A64" t="s">
        <v>654</v>
      </c>
      <c r="B64" t="s">
        <v>655</v>
      </c>
      <c r="C64">
        <v>1.1379036</v>
      </c>
      <c r="D64">
        <v>0</v>
      </c>
      <c r="E64">
        <v>6.1457007000000001E-2</v>
      </c>
      <c r="F64">
        <v>0.26834555999999998</v>
      </c>
      <c r="G64">
        <v>4.8980086999999997E-4</v>
      </c>
      <c r="H64">
        <v>0.47964299999999999</v>
      </c>
      <c r="I64">
        <v>0.32796821999999998</v>
      </c>
    </row>
    <row r="65" spans="1:11" x14ac:dyDescent="0.25">
      <c r="A65" t="s">
        <v>656</v>
      </c>
      <c r="B65" t="s">
        <v>657</v>
      </c>
      <c r="C65">
        <v>5.5192907</v>
      </c>
      <c r="D65">
        <v>0</v>
      </c>
      <c r="E65">
        <v>9.9304656000000005E-2</v>
      </c>
      <c r="F65">
        <v>0.38892611999999999</v>
      </c>
      <c r="G65">
        <v>1.4371620000000001E-3</v>
      </c>
      <c r="H65">
        <v>3.1863701</v>
      </c>
      <c r="I65">
        <v>1.8432527000000001</v>
      </c>
    </row>
    <row r="66" spans="1:11" x14ac:dyDescent="0.25">
      <c r="A66" t="s">
        <v>658</v>
      </c>
      <c r="B66" t="s">
        <v>659</v>
      </c>
      <c r="C66">
        <v>204.86637999999999</v>
      </c>
      <c r="D66">
        <v>0</v>
      </c>
      <c r="E66">
        <v>1.3875335</v>
      </c>
      <c r="F66">
        <v>6.5884451999999998</v>
      </c>
      <c r="G66">
        <v>2.2099895000000001E-2</v>
      </c>
      <c r="H66">
        <v>132.44701000000001</v>
      </c>
      <c r="I66">
        <v>64.421289000000002</v>
      </c>
    </row>
    <row r="68" spans="1:11" x14ac:dyDescent="0.25">
      <c r="I68" t="s">
        <v>857</v>
      </c>
      <c r="J68" t="s">
        <v>854</v>
      </c>
      <c r="K68" t="s">
        <v>855</v>
      </c>
    </row>
    <row r="69" spans="1:11" x14ac:dyDescent="0.25">
      <c r="I69" t="s">
        <v>275</v>
      </c>
      <c r="J69">
        <v>1039500</v>
      </c>
    </row>
    <row r="70" spans="1:11" x14ac:dyDescent="0.25">
      <c r="A70" t="s">
        <v>867</v>
      </c>
      <c r="I70" t="s">
        <v>276</v>
      </c>
      <c r="J70">
        <v>1740014.45</v>
      </c>
    </row>
    <row r="71" spans="1:11" x14ac:dyDescent="0.25">
      <c r="A71" t="s">
        <v>868</v>
      </c>
      <c r="B71" s="74">
        <f>J69*E63+(J70*F63)+(K73*I63)+(J72*H63)+J71*G63</f>
        <v>39.328119121952668</v>
      </c>
      <c r="I71" t="s">
        <v>277</v>
      </c>
      <c r="J71">
        <v>7615377</v>
      </c>
    </row>
    <row r="72" spans="1:11" x14ac:dyDescent="0.25">
      <c r="I72" t="s">
        <v>11</v>
      </c>
      <c r="J72">
        <v>4009500</v>
      </c>
    </row>
    <row r="73" spans="1:11" x14ac:dyDescent="0.25">
      <c r="A73" t="s">
        <v>869</v>
      </c>
      <c r="I73" t="s">
        <v>856</v>
      </c>
      <c r="K73">
        <v>18185112</v>
      </c>
    </row>
    <row r="74" spans="1:11" x14ac:dyDescent="0.25">
      <c r="A74" t="s">
        <v>871</v>
      </c>
      <c r="B74">
        <f>J69*E64+(J70*F64)+(K73*I64)+(J72*H64)+J71*G64</f>
        <v>8421807.1506904587</v>
      </c>
    </row>
    <row r="76" spans="1:11" x14ac:dyDescent="0.25">
      <c r="A76" t="s">
        <v>872</v>
      </c>
    </row>
    <row r="77" spans="1:11" x14ac:dyDescent="0.25">
      <c r="A77" t="s">
        <v>873</v>
      </c>
      <c r="B77">
        <f>J69*E65+(J70*F65)+(K73*I65)+(J72*H65)+J71*G65</f>
        <v>47086416.498886913</v>
      </c>
      <c r="C77">
        <f>B77/1000</f>
        <v>47086.416498886916</v>
      </c>
      <c r="D77" t="s">
        <v>883</v>
      </c>
    </row>
    <row r="79" spans="1:11" x14ac:dyDescent="0.25">
      <c r="A79" t="s">
        <v>874</v>
      </c>
    </row>
    <row r="80" spans="1:11" x14ac:dyDescent="0.25">
      <c r="A80" t="s">
        <v>875</v>
      </c>
      <c r="B80">
        <f>J69*E66+(J70*F66)+(K73*I66)+(J72*H66)+J71*G66</f>
        <v>1715629272.2007365</v>
      </c>
    </row>
  </sheetData>
  <mergeCells count="1">
    <mergeCell ref="A47:B4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9B96-55A4-4498-A2E9-89E6366008BA}">
  <dimension ref="A2:AB382"/>
  <sheetViews>
    <sheetView topLeftCell="A363" zoomScale="61" workbookViewId="0">
      <selection activeCell="F389" sqref="F389"/>
    </sheetView>
  </sheetViews>
  <sheetFormatPr defaultRowHeight="15" x14ac:dyDescent="0.25"/>
  <cols>
    <col min="1" max="1" width="28.7109375" customWidth="1"/>
    <col min="2" max="2" width="32.42578125" customWidth="1"/>
    <col min="3" max="3" width="17.42578125" customWidth="1"/>
    <col min="4" max="4" width="8.42578125" customWidth="1"/>
    <col min="5" max="5" width="19" customWidth="1"/>
    <col min="6" max="6" width="13.5703125" customWidth="1"/>
    <col min="7" max="7" width="16.28515625" customWidth="1"/>
    <col min="8" max="8" width="14.5703125" customWidth="1"/>
    <col min="9" max="9" width="18.5703125" customWidth="1"/>
    <col min="10" max="10" width="18.140625" customWidth="1"/>
    <col min="11" max="11" width="25.42578125" customWidth="1"/>
  </cols>
  <sheetData>
    <row r="2" spans="1:28" x14ac:dyDescent="0.25">
      <c r="A2" t="s">
        <v>250</v>
      </c>
      <c r="B2" t="s">
        <v>251</v>
      </c>
    </row>
    <row r="3" spans="1:28" x14ac:dyDescent="0.25">
      <c r="A3" t="s">
        <v>252</v>
      </c>
      <c r="B3" t="s">
        <v>253</v>
      </c>
      <c r="Q3" t="s">
        <v>858</v>
      </c>
    </row>
    <row r="4" spans="1:28" x14ac:dyDescent="0.25">
      <c r="A4" t="s">
        <v>254</v>
      </c>
      <c r="B4" t="s">
        <v>255</v>
      </c>
      <c r="Q4" t="s">
        <v>661</v>
      </c>
    </row>
    <row r="5" spans="1:28" x14ac:dyDescent="0.25">
      <c r="A5" t="s">
        <v>256</v>
      </c>
      <c r="B5" t="s">
        <v>257</v>
      </c>
      <c r="Q5" t="s">
        <v>662</v>
      </c>
    </row>
    <row r="6" spans="1:28" x14ac:dyDescent="0.25">
      <c r="A6" t="s">
        <v>258</v>
      </c>
      <c r="B6" t="s">
        <v>253</v>
      </c>
      <c r="Q6" t="s">
        <v>663</v>
      </c>
    </row>
    <row r="7" spans="1:28" x14ac:dyDescent="0.25">
      <c r="A7" t="s">
        <v>259</v>
      </c>
      <c r="B7" t="s">
        <v>260</v>
      </c>
      <c r="Q7" t="s">
        <v>664</v>
      </c>
    </row>
    <row r="8" spans="1:28" x14ac:dyDescent="0.25">
      <c r="A8" t="s">
        <v>261</v>
      </c>
      <c r="B8" t="s">
        <v>262</v>
      </c>
      <c r="Q8" t="s">
        <v>665</v>
      </c>
    </row>
    <row r="9" spans="1:28" x14ac:dyDescent="0.25">
      <c r="A9" t="s">
        <v>263</v>
      </c>
      <c r="B9" t="s">
        <v>264</v>
      </c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r="10" spans="1:28" x14ac:dyDescent="0.25">
      <c r="A10" t="s">
        <v>265</v>
      </c>
      <c r="B10" t="s">
        <v>262</v>
      </c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 spans="1:28" x14ac:dyDescent="0.25">
      <c r="A11" t="s">
        <v>266</v>
      </c>
      <c r="B11" t="s">
        <v>262</v>
      </c>
    </row>
    <row r="12" spans="1:28" x14ac:dyDescent="0.25">
      <c r="A12" t="s">
        <v>267</v>
      </c>
      <c r="B12" t="s">
        <v>268</v>
      </c>
      <c r="Q12" s="80" t="s">
        <v>661</v>
      </c>
      <c r="R12" s="80"/>
    </row>
    <row r="13" spans="1:28" x14ac:dyDescent="0.25">
      <c r="A13" t="s">
        <v>269</v>
      </c>
      <c r="B13" t="s">
        <v>270</v>
      </c>
      <c r="Q13" s="79" t="s">
        <v>861</v>
      </c>
      <c r="R13" s="79"/>
      <c r="U13" s="73"/>
      <c r="V13" s="73"/>
      <c r="W13" s="73"/>
      <c r="X13" s="73"/>
      <c r="Y13" s="73"/>
      <c r="Z13" s="73"/>
    </row>
    <row r="14" spans="1:28" x14ac:dyDescent="0.25">
      <c r="G14" t="s">
        <v>862</v>
      </c>
      <c r="H14" t="s">
        <v>863</v>
      </c>
      <c r="I14" t="s">
        <v>866</v>
      </c>
      <c r="J14" t="s">
        <v>865</v>
      </c>
      <c r="K14" t="s">
        <v>864</v>
      </c>
      <c r="U14" s="73"/>
      <c r="V14" s="73"/>
      <c r="W14" s="73"/>
      <c r="X14" s="73"/>
      <c r="Y14" s="73"/>
      <c r="Z14" s="73"/>
    </row>
    <row r="15" spans="1:28" ht="45" x14ac:dyDescent="0.25">
      <c r="A15" t="s">
        <v>262</v>
      </c>
      <c r="B15" t="s">
        <v>268</v>
      </c>
      <c r="C15" t="s">
        <v>271</v>
      </c>
      <c r="D15" t="s">
        <v>272</v>
      </c>
      <c r="E15" t="s">
        <v>273</v>
      </c>
      <c r="F15" t="s">
        <v>274</v>
      </c>
      <c r="G15" t="s">
        <v>275</v>
      </c>
      <c r="H15" t="s">
        <v>276</v>
      </c>
      <c r="I15" t="s">
        <v>277</v>
      </c>
      <c r="J15" t="s">
        <v>11</v>
      </c>
      <c r="K15" s="75" t="s">
        <v>660</v>
      </c>
    </row>
    <row r="16" spans="1:28" x14ac:dyDescent="0.25">
      <c r="A16">
        <v>1</v>
      </c>
      <c r="B16" t="s">
        <v>278</v>
      </c>
      <c r="C16" t="s">
        <v>260</v>
      </c>
      <c r="D16" t="s">
        <v>192</v>
      </c>
      <c r="E16" s="74">
        <v>1.4084542E-11</v>
      </c>
      <c r="F16">
        <v>0</v>
      </c>
      <c r="G16" s="74">
        <v>2.3184051E-12</v>
      </c>
      <c r="H16" s="74">
        <v>5.3825389999999996E-12</v>
      </c>
      <c r="I16" s="74">
        <v>5.9247108999999997E-14</v>
      </c>
      <c r="J16" s="74">
        <v>4.2075475000000004E-12</v>
      </c>
      <c r="K16" s="74">
        <v>2.1168036000000001E-12</v>
      </c>
    </row>
    <row r="17" spans="1:11" x14ac:dyDescent="0.25">
      <c r="A17">
        <v>2</v>
      </c>
      <c r="B17" t="s">
        <v>279</v>
      </c>
      <c r="C17" t="s">
        <v>260</v>
      </c>
      <c r="D17" t="s">
        <v>192</v>
      </c>
      <c r="E17" s="74">
        <v>2.6633065000000001E-13</v>
      </c>
      <c r="F17">
        <v>0</v>
      </c>
      <c r="G17" s="74">
        <v>1.6266450000000001E-14</v>
      </c>
      <c r="H17" s="74">
        <v>9.2642955000000001E-14</v>
      </c>
      <c r="I17" s="74">
        <v>1.2740437000000001E-16</v>
      </c>
      <c r="J17" s="74">
        <v>6.8166340999999997E-14</v>
      </c>
      <c r="K17" s="74">
        <v>8.9127502000000003E-14</v>
      </c>
    </row>
    <row r="18" spans="1:11" x14ac:dyDescent="0.25">
      <c r="A18">
        <v>3</v>
      </c>
      <c r="B18" t="s">
        <v>280</v>
      </c>
      <c r="C18" t="s">
        <v>260</v>
      </c>
      <c r="D18" t="s">
        <v>192</v>
      </c>
      <c r="E18" s="74">
        <v>3.4307008000000001E-11</v>
      </c>
      <c r="F18">
        <v>0</v>
      </c>
      <c r="G18" s="74">
        <v>3.5237665E-12</v>
      </c>
      <c r="H18" s="74">
        <v>1.0010631999999999E-11</v>
      </c>
      <c r="I18" s="74">
        <v>5.6162528E-15</v>
      </c>
      <c r="J18" s="74">
        <v>1.5012961999999999E-11</v>
      </c>
      <c r="K18" s="74">
        <v>5.7540304999999998E-12</v>
      </c>
    </row>
    <row r="19" spans="1:11" x14ac:dyDescent="0.25">
      <c r="A19">
        <v>4</v>
      </c>
      <c r="B19" t="s">
        <v>281</v>
      </c>
      <c r="C19" t="s">
        <v>260</v>
      </c>
      <c r="D19" t="s">
        <v>192</v>
      </c>
      <c r="E19" s="74">
        <v>1.7735970999999999E-11</v>
      </c>
      <c r="F19">
        <v>0</v>
      </c>
      <c r="G19" s="74">
        <v>8.9227623E-13</v>
      </c>
      <c r="H19" s="74">
        <v>1.1273556E-11</v>
      </c>
      <c r="I19" s="74">
        <v>1.9516853E-14</v>
      </c>
      <c r="J19" s="74">
        <v>2.5186757999999999E-12</v>
      </c>
      <c r="K19" s="74">
        <v>3.0319468E-12</v>
      </c>
    </row>
    <row r="20" spans="1:11" x14ac:dyDescent="0.25">
      <c r="A20">
        <v>5</v>
      </c>
      <c r="B20" t="s">
        <v>282</v>
      </c>
      <c r="C20" t="s">
        <v>260</v>
      </c>
      <c r="D20" t="s">
        <v>192</v>
      </c>
      <c r="E20" s="74">
        <v>1.646867E-11</v>
      </c>
      <c r="F20">
        <v>0</v>
      </c>
      <c r="G20" s="74">
        <v>1.7966125E-12</v>
      </c>
      <c r="H20" s="74">
        <v>5.3720153000000001E-12</v>
      </c>
      <c r="I20" s="74">
        <v>2.8409285000000001E-15</v>
      </c>
      <c r="J20" s="74">
        <v>7.6433234999999998E-12</v>
      </c>
      <c r="K20" s="74">
        <v>1.6538773999999999E-12</v>
      </c>
    </row>
    <row r="21" spans="1:11" x14ac:dyDescent="0.25">
      <c r="A21">
        <v>6</v>
      </c>
      <c r="B21" t="s">
        <v>283</v>
      </c>
      <c r="C21" t="s">
        <v>260</v>
      </c>
      <c r="D21" t="s">
        <v>192</v>
      </c>
      <c r="E21" s="74">
        <v>1.5807336999999999E-13</v>
      </c>
      <c r="F21">
        <v>0</v>
      </c>
      <c r="G21" s="74">
        <v>7.2441954999999997E-15</v>
      </c>
      <c r="H21" s="74">
        <v>5.7690191000000002E-14</v>
      </c>
      <c r="I21" s="74">
        <v>5.4574463E-17</v>
      </c>
      <c r="J21" s="74">
        <v>3.9168502999999997E-14</v>
      </c>
      <c r="K21" s="74">
        <v>5.3915908999999997E-14</v>
      </c>
    </row>
    <row r="22" spans="1:11" x14ac:dyDescent="0.25">
      <c r="A22">
        <v>7</v>
      </c>
      <c r="B22" t="s">
        <v>284</v>
      </c>
      <c r="C22" t="s">
        <v>260</v>
      </c>
      <c r="D22" t="s">
        <v>192</v>
      </c>
      <c r="E22" s="74">
        <v>5.9132671999999997E-15</v>
      </c>
      <c r="F22">
        <v>0</v>
      </c>
      <c r="G22" s="74">
        <v>5.2795996999999998E-17</v>
      </c>
      <c r="H22" s="74">
        <v>3.8062418999999998E-15</v>
      </c>
      <c r="I22" s="74">
        <v>7.8580469999999995E-18</v>
      </c>
      <c r="J22" s="74">
        <v>1.8220008999999999E-15</v>
      </c>
      <c r="K22" s="74">
        <v>2.2437028999999998E-16</v>
      </c>
    </row>
    <row r="23" spans="1:11" x14ac:dyDescent="0.25">
      <c r="A23">
        <v>8</v>
      </c>
      <c r="B23" t="s">
        <v>285</v>
      </c>
      <c r="C23" t="s">
        <v>260</v>
      </c>
      <c r="D23" t="s">
        <v>192</v>
      </c>
      <c r="E23" s="74">
        <v>6.9747641999999999E-13</v>
      </c>
      <c r="F23">
        <v>0</v>
      </c>
      <c r="G23" s="74">
        <v>4.012899E-14</v>
      </c>
      <c r="H23" s="74">
        <v>2.26573E-13</v>
      </c>
      <c r="I23" s="74">
        <v>3.1447985000000001E-16</v>
      </c>
      <c r="J23" s="74">
        <v>1.8217E-13</v>
      </c>
      <c r="K23" s="74">
        <v>2.4828995000000002E-13</v>
      </c>
    </row>
    <row r="24" spans="1:11" x14ac:dyDescent="0.25">
      <c r="A24">
        <v>9</v>
      </c>
      <c r="B24" t="s">
        <v>286</v>
      </c>
      <c r="C24" t="s">
        <v>260</v>
      </c>
      <c r="D24" t="s">
        <v>192</v>
      </c>
      <c r="E24" s="74">
        <v>6.7220479E-19</v>
      </c>
      <c r="F24">
        <v>0</v>
      </c>
      <c r="G24" s="74">
        <v>3.1258764999999997E-20</v>
      </c>
      <c r="H24" s="74">
        <v>2.3100030999999998E-19</v>
      </c>
      <c r="I24" s="74">
        <v>4.2518293999999999E-22</v>
      </c>
      <c r="J24" s="74">
        <v>4.0026529999999998E-19</v>
      </c>
      <c r="K24" s="74">
        <v>9.2552300999999996E-21</v>
      </c>
    </row>
    <row r="25" spans="1:11" x14ac:dyDescent="0.25">
      <c r="A25">
        <v>10</v>
      </c>
      <c r="B25" t="s">
        <v>287</v>
      </c>
      <c r="C25" t="s">
        <v>260</v>
      </c>
      <c r="D25" t="s">
        <v>192</v>
      </c>
      <c r="E25" s="74">
        <v>2.7461382000000002E-13</v>
      </c>
      <c r="F25">
        <v>0</v>
      </c>
      <c r="G25" s="74">
        <v>1.5090092000000001E-14</v>
      </c>
      <c r="H25" s="74">
        <v>9.2941712000000001E-14</v>
      </c>
      <c r="I25" s="74">
        <v>1.0922153E-16</v>
      </c>
      <c r="J25" s="74">
        <v>7.1063656E-14</v>
      </c>
      <c r="K25" s="74">
        <v>9.5409137000000005E-14</v>
      </c>
    </row>
    <row r="26" spans="1:11" x14ac:dyDescent="0.25">
      <c r="A26">
        <v>11</v>
      </c>
      <c r="B26" t="s">
        <v>288</v>
      </c>
      <c r="C26" t="s">
        <v>260</v>
      </c>
      <c r="D26" t="s">
        <v>192</v>
      </c>
      <c r="E26" s="74">
        <v>9.9912492000000008E-7</v>
      </c>
      <c r="F26">
        <v>0</v>
      </c>
      <c r="G26" s="74">
        <v>1.0356223999999999E-7</v>
      </c>
      <c r="H26" s="74">
        <v>4.1064548999999999E-7</v>
      </c>
      <c r="I26" s="74">
        <v>7.0924246999999996E-10</v>
      </c>
      <c r="J26" s="74">
        <v>3.9218134E-7</v>
      </c>
      <c r="K26" s="74">
        <v>9.2026601000000003E-8</v>
      </c>
    </row>
    <row r="27" spans="1:11" x14ac:dyDescent="0.25">
      <c r="A27">
        <v>12</v>
      </c>
      <c r="B27" t="s">
        <v>289</v>
      </c>
      <c r="C27" t="s">
        <v>260</v>
      </c>
      <c r="D27" t="s">
        <v>192</v>
      </c>
      <c r="E27" s="74">
        <v>7.8754352000000004E-11</v>
      </c>
      <c r="F27">
        <v>0</v>
      </c>
      <c r="G27" s="74">
        <v>4.4365193000000002E-12</v>
      </c>
      <c r="H27" s="74">
        <v>2.6410674E-11</v>
      </c>
      <c r="I27" s="74">
        <v>2.8014388000000001E-14</v>
      </c>
      <c r="J27" s="74">
        <v>1.8441452999999998E-11</v>
      </c>
      <c r="K27" s="74">
        <v>2.9437690000000002E-11</v>
      </c>
    </row>
    <row r="28" spans="1:11" x14ac:dyDescent="0.25">
      <c r="A28">
        <v>13</v>
      </c>
      <c r="B28" t="s">
        <v>290</v>
      </c>
      <c r="C28" t="s">
        <v>260</v>
      </c>
      <c r="D28" t="s">
        <v>192</v>
      </c>
      <c r="E28" s="74">
        <v>7.9697820999999997E-19</v>
      </c>
      <c r="F28">
        <v>0</v>
      </c>
      <c r="G28" s="74">
        <v>8.8632975999999996E-20</v>
      </c>
      <c r="H28" s="74">
        <v>2.7210071000000002E-19</v>
      </c>
      <c r="I28" s="74">
        <v>2.4012030000000001E-21</v>
      </c>
      <c r="J28" s="74">
        <v>4.2802603000000002E-19</v>
      </c>
      <c r="K28" s="74">
        <v>5.8172953999999996E-21</v>
      </c>
    </row>
    <row r="29" spans="1:11" x14ac:dyDescent="0.25">
      <c r="A29">
        <v>14</v>
      </c>
      <c r="B29" t="s">
        <v>291</v>
      </c>
      <c r="C29" t="s">
        <v>260</v>
      </c>
      <c r="D29" t="s">
        <v>192</v>
      </c>
      <c r="E29" s="74">
        <v>2.5177518E-19</v>
      </c>
      <c r="F29">
        <v>0</v>
      </c>
      <c r="G29" s="74">
        <v>1.3110354999999999E-20</v>
      </c>
      <c r="H29" s="74">
        <v>8.6473136000000005E-20</v>
      </c>
      <c r="I29" s="74">
        <v>2.1083861999999999E-22</v>
      </c>
      <c r="J29" s="74">
        <v>1.4865449000000001E-19</v>
      </c>
      <c r="K29" s="74">
        <v>3.3263603E-21</v>
      </c>
    </row>
    <row r="30" spans="1:11" x14ac:dyDescent="0.25">
      <c r="A30">
        <v>15</v>
      </c>
      <c r="B30" t="s">
        <v>292</v>
      </c>
      <c r="C30" t="s">
        <v>260</v>
      </c>
      <c r="D30" t="s">
        <v>192</v>
      </c>
      <c r="E30" s="74">
        <v>6.5555167999999994E-11</v>
      </c>
      <c r="F30">
        <v>0</v>
      </c>
      <c r="G30" s="74">
        <v>8.8462991000000004E-15</v>
      </c>
      <c r="H30" s="74">
        <v>6.5388470999999996E-11</v>
      </c>
      <c r="I30" s="74">
        <v>1.5598390000000001E-16</v>
      </c>
      <c r="J30" s="74">
        <v>1.1881507999999999E-13</v>
      </c>
      <c r="K30" s="74">
        <v>3.8879717000000001E-14</v>
      </c>
    </row>
    <row r="31" spans="1:11" x14ac:dyDescent="0.25">
      <c r="A31">
        <v>16</v>
      </c>
      <c r="B31" t="s">
        <v>293</v>
      </c>
      <c r="C31" t="s">
        <v>260</v>
      </c>
      <c r="D31" t="s">
        <v>192</v>
      </c>
      <c r="E31" s="74">
        <v>6.2699830000000006E-11</v>
      </c>
      <c r="F31">
        <v>0</v>
      </c>
      <c r="G31" s="74">
        <v>2.2732409999999999E-12</v>
      </c>
      <c r="H31" s="74">
        <v>8.5135245000000004E-12</v>
      </c>
      <c r="I31" s="74">
        <v>3.2966768999999998E-14</v>
      </c>
      <c r="J31" s="74">
        <v>7.4984021E-12</v>
      </c>
      <c r="K31" s="74">
        <v>4.4381696000000003E-11</v>
      </c>
    </row>
    <row r="32" spans="1:11" x14ac:dyDescent="0.25">
      <c r="A32">
        <v>17</v>
      </c>
      <c r="B32" t="s">
        <v>294</v>
      </c>
      <c r="C32" t="s">
        <v>260</v>
      </c>
      <c r="D32" t="s">
        <v>192</v>
      </c>
      <c r="E32" s="74">
        <v>3.7124851000000001E-12</v>
      </c>
      <c r="F32">
        <v>0</v>
      </c>
      <c r="G32" s="74">
        <v>2.4793377E-13</v>
      </c>
      <c r="H32" s="74">
        <v>8.1256412000000004E-13</v>
      </c>
      <c r="I32" s="74">
        <v>3.4173053999999999E-15</v>
      </c>
      <c r="J32" s="74">
        <v>1.7309469E-12</v>
      </c>
      <c r="K32" s="74">
        <v>9.17623E-13</v>
      </c>
    </row>
    <row r="33" spans="1:11" x14ac:dyDescent="0.25">
      <c r="A33">
        <v>18</v>
      </c>
      <c r="B33" t="s">
        <v>295</v>
      </c>
      <c r="C33" t="s">
        <v>260</v>
      </c>
      <c r="D33" t="s">
        <v>192</v>
      </c>
      <c r="E33" s="74">
        <v>8.3711032999999996E-12</v>
      </c>
      <c r="F33">
        <v>0</v>
      </c>
      <c r="G33" s="74">
        <v>4.7157472000000004E-13</v>
      </c>
      <c r="H33" s="74">
        <v>2.8072921999999999E-12</v>
      </c>
      <c r="I33" s="74">
        <v>2.9777571999999998E-15</v>
      </c>
      <c r="J33" s="74">
        <v>1.9602131E-12</v>
      </c>
      <c r="K33" s="74">
        <v>3.1290455000000001E-12</v>
      </c>
    </row>
    <row r="34" spans="1:11" x14ac:dyDescent="0.25">
      <c r="A34">
        <v>19</v>
      </c>
      <c r="B34" t="s">
        <v>296</v>
      </c>
      <c r="C34" t="s">
        <v>260</v>
      </c>
      <c r="D34" t="s">
        <v>192</v>
      </c>
      <c r="E34" s="74">
        <v>2.2079508000000001E-6</v>
      </c>
      <c r="F34">
        <v>0</v>
      </c>
      <c r="G34" s="74">
        <v>2.8892862E-7</v>
      </c>
      <c r="H34" s="74">
        <v>6.6496271000000003E-7</v>
      </c>
      <c r="I34" s="74">
        <v>1.1304814E-9</v>
      </c>
      <c r="J34" s="74">
        <v>6.8760445000000004E-7</v>
      </c>
      <c r="K34" s="74">
        <v>5.6532452000000002E-7</v>
      </c>
    </row>
    <row r="35" spans="1:11" x14ac:dyDescent="0.25">
      <c r="A35">
        <v>20</v>
      </c>
      <c r="B35" t="s">
        <v>297</v>
      </c>
      <c r="C35" t="s">
        <v>260</v>
      </c>
      <c r="D35" t="s">
        <v>192</v>
      </c>
      <c r="E35" s="74">
        <v>2.0606793000000001E-12</v>
      </c>
      <c r="F35">
        <v>0</v>
      </c>
      <c r="G35" s="74">
        <v>1.1608556999999999E-13</v>
      </c>
      <c r="H35" s="74">
        <v>6.9105931999999996E-13</v>
      </c>
      <c r="I35" s="74">
        <v>7.3302196999999997E-16</v>
      </c>
      <c r="J35" s="74">
        <v>4.8253740999999998E-13</v>
      </c>
      <c r="K35" s="74">
        <v>7.7026396000000004E-13</v>
      </c>
    </row>
    <row r="36" spans="1:11" x14ac:dyDescent="0.25">
      <c r="A36">
        <v>21</v>
      </c>
      <c r="B36" t="s">
        <v>298</v>
      </c>
      <c r="C36" t="s">
        <v>260</v>
      </c>
      <c r="D36" t="s">
        <v>192</v>
      </c>
      <c r="E36" s="74">
        <v>5.3176439000000001E-6</v>
      </c>
      <c r="F36">
        <v>0</v>
      </c>
      <c r="G36" s="74">
        <v>9.7727747999999999E-8</v>
      </c>
      <c r="H36" s="74">
        <v>4.7386752999999998E-7</v>
      </c>
      <c r="I36" s="74">
        <v>1.3643476E-9</v>
      </c>
      <c r="J36" s="74">
        <v>5.0023471000000001E-7</v>
      </c>
      <c r="K36" s="74">
        <v>4.2444495999999999E-6</v>
      </c>
    </row>
    <row r="37" spans="1:11" x14ac:dyDescent="0.25">
      <c r="A37">
        <v>22</v>
      </c>
      <c r="B37" t="s">
        <v>299</v>
      </c>
      <c r="C37" t="s">
        <v>260</v>
      </c>
      <c r="D37" t="s">
        <v>192</v>
      </c>
      <c r="E37" s="74">
        <v>1.7014532999999999E-6</v>
      </c>
      <c r="F37">
        <v>0</v>
      </c>
      <c r="G37" s="74">
        <v>1.4536827999999999E-7</v>
      </c>
      <c r="H37" s="74">
        <v>4.0945724999999999E-7</v>
      </c>
      <c r="I37" s="74">
        <v>1.8059199999999999E-9</v>
      </c>
      <c r="J37" s="74">
        <v>6.9561401999999999E-7</v>
      </c>
      <c r="K37" s="74">
        <v>4.4920785000000002E-7</v>
      </c>
    </row>
    <row r="38" spans="1:11" x14ac:dyDescent="0.25">
      <c r="A38">
        <v>23</v>
      </c>
      <c r="B38" t="s">
        <v>300</v>
      </c>
      <c r="C38" t="s">
        <v>260</v>
      </c>
      <c r="D38" t="s">
        <v>192</v>
      </c>
      <c r="E38" s="74">
        <v>2.1706889000000001E-9</v>
      </c>
      <c r="F38">
        <v>0</v>
      </c>
      <c r="G38" s="74">
        <v>1.0972237E-10</v>
      </c>
      <c r="H38" s="74">
        <v>6.8331001000000004E-10</v>
      </c>
      <c r="I38" s="74">
        <v>8.1427718999999995E-13</v>
      </c>
      <c r="J38" s="74">
        <v>5.4560280999999996E-10</v>
      </c>
      <c r="K38" s="74">
        <v>8.3123942999999996E-10</v>
      </c>
    </row>
    <row r="39" spans="1:11" x14ac:dyDescent="0.25">
      <c r="A39">
        <v>24</v>
      </c>
      <c r="B39" t="s">
        <v>301</v>
      </c>
      <c r="C39" t="s">
        <v>260</v>
      </c>
      <c r="D39" t="s">
        <v>192</v>
      </c>
      <c r="E39" s="74">
        <v>1.1491375000000001E-12</v>
      </c>
      <c r="F39">
        <v>0</v>
      </c>
      <c r="G39" s="74">
        <v>6.4735097999999996E-14</v>
      </c>
      <c r="H39" s="74">
        <v>3.8536912000000001E-13</v>
      </c>
      <c r="I39" s="74">
        <v>4.0876958000000001E-16</v>
      </c>
      <c r="J39" s="74">
        <v>2.6908690999999998E-13</v>
      </c>
      <c r="K39" s="74">
        <v>4.2953756999999998E-13</v>
      </c>
    </row>
    <row r="40" spans="1:11" x14ac:dyDescent="0.25">
      <c r="A40">
        <v>25</v>
      </c>
      <c r="B40" t="s">
        <v>302</v>
      </c>
      <c r="C40" t="s">
        <v>260</v>
      </c>
      <c r="D40" t="s">
        <v>192</v>
      </c>
      <c r="E40" s="74">
        <v>2.2599468999999999E-7</v>
      </c>
      <c r="F40">
        <v>0</v>
      </c>
      <c r="G40" s="74">
        <v>2.0818106999999999E-8</v>
      </c>
      <c r="H40" s="74">
        <v>8.2273882999999999E-8</v>
      </c>
      <c r="I40" s="74">
        <v>6.5765422999999997E-11</v>
      </c>
      <c r="J40" s="74">
        <v>9.4607854999999999E-8</v>
      </c>
      <c r="K40" s="74">
        <v>2.8229074000000001E-8</v>
      </c>
    </row>
    <row r="41" spans="1:11" x14ac:dyDescent="0.25">
      <c r="A41">
        <v>26</v>
      </c>
      <c r="B41" t="s">
        <v>303</v>
      </c>
      <c r="C41" t="s">
        <v>260</v>
      </c>
      <c r="D41" t="s">
        <v>192</v>
      </c>
      <c r="E41" s="74">
        <v>5.3302707999999999E-9</v>
      </c>
      <c r="F41">
        <v>0</v>
      </c>
      <c r="G41" s="74">
        <v>7.3595724999999996E-10</v>
      </c>
      <c r="H41" s="74">
        <v>1.8267555E-9</v>
      </c>
      <c r="I41" s="74">
        <v>3.1799166000000002E-13</v>
      </c>
      <c r="J41" s="74">
        <v>2.7482911000000002E-9</v>
      </c>
      <c r="K41" s="74">
        <v>1.8948978000000001E-11</v>
      </c>
    </row>
    <row r="42" spans="1:11" x14ac:dyDescent="0.25">
      <c r="A42">
        <v>27</v>
      </c>
      <c r="B42" t="s">
        <v>304</v>
      </c>
      <c r="C42" t="s">
        <v>260</v>
      </c>
      <c r="D42" t="s">
        <v>305</v>
      </c>
      <c r="E42">
        <v>9.8061048999999997E-2</v>
      </c>
      <c r="F42">
        <v>0</v>
      </c>
      <c r="G42">
        <v>6.2577262999999996E-3</v>
      </c>
      <c r="H42">
        <v>1.6899773E-2</v>
      </c>
      <c r="I42">
        <v>1.0824171E-4</v>
      </c>
      <c r="J42">
        <v>1.2969596999999999E-2</v>
      </c>
      <c r="K42">
        <v>6.1825709999999999E-2</v>
      </c>
    </row>
    <row r="43" spans="1:11" x14ac:dyDescent="0.25">
      <c r="A43">
        <v>28</v>
      </c>
      <c r="B43" t="s">
        <v>306</v>
      </c>
      <c r="C43" t="s">
        <v>260</v>
      </c>
      <c r="D43" t="s">
        <v>305</v>
      </c>
      <c r="E43">
        <v>1.0522642000000001E-3</v>
      </c>
      <c r="F43">
        <v>0</v>
      </c>
      <c r="G43" s="74">
        <v>4.1257777E-5</v>
      </c>
      <c r="H43" s="74">
        <v>8.9936420999999999E-5</v>
      </c>
      <c r="I43" s="74">
        <v>1.1311045000000001E-6</v>
      </c>
      <c r="J43" s="74">
        <v>7.1185712000000005E-5</v>
      </c>
      <c r="K43">
        <v>8.4875314999999999E-4</v>
      </c>
    </row>
    <row r="44" spans="1:11" x14ac:dyDescent="0.25">
      <c r="A44">
        <v>29</v>
      </c>
      <c r="B44" t="s">
        <v>307</v>
      </c>
      <c r="C44" t="s">
        <v>260</v>
      </c>
      <c r="D44" t="s">
        <v>192</v>
      </c>
      <c r="E44" s="74">
        <v>8.1322074999999999E-12</v>
      </c>
      <c r="F44">
        <v>0</v>
      </c>
      <c r="G44" s="74">
        <v>4.5811685999999996E-13</v>
      </c>
      <c r="H44" s="74">
        <v>2.7271773000000002E-12</v>
      </c>
      <c r="I44" s="74">
        <v>2.8927775000000001E-15</v>
      </c>
      <c r="J44" s="74">
        <v>1.9042722E-12</v>
      </c>
      <c r="K44" s="74">
        <v>3.0397483000000001E-12</v>
      </c>
    </row>
    <row r="45" spans="1:11" x14ac:dyDescent="0.25">
      <c r="A45">
        <v>30</v>
      </c>
      <c r="B45" t="s">
        <v>308</v>
      </c>
      <c r="C45" t="s">
        <v>260</v>
      </c>
      <c r="D45" t="s">
        <v>192</v>
      </c>
      <c r="E45" s="74">
        <v>1.6903530999999999E-7</v>
      </c>
      <c r="F45">
        <v>0</v>
      </c>
      <c r="G45" s="74">
        <v>3.7285271999999997E-9</v>
      </c>
      <c r="H45" s="74">
        <v>1.0933091E-8</v>
      </c>
      <c r="I45" s="74">
        <v>6.3564514000000006E-11</v>
      </c>
      <c r="J45" s="74">
        <v>9.6113071999999995E-9</v>
      </c>
      <c r="K45" s="74">
        <v>1.4469882E-7</v>
      </c>
    </row>
    <row r="46" spans="1:11" x14ac:dyDescent="0.25">
      <c r="A46">
        <v>31</v>
      </c>
      <c r="B46" t="s">
        <v>309</v>
      </c>
      <c r="C46" t="s">
        <v>260</v>
      </c>
      <c r="D46" t="s">
        <v>192</v>
      </c>
      <c r="E46">
        <v>1.6770606E-4</v>
      </c>
      <c r="F46">
        <v>0</v>
      </c>
      <c r="G46" s="74">
        <v>9.5080135999999996E-6</v>
      </c>
      <c r="H46" s="74">
        <v>4.5722685000000001E-5</v>
      </c>
      <c r="I46" s="74">
        <v>8.0592964000000001E-8</v>
      </c>
      <c r="J46" s="74">
        <v>5.3676079000000002E-5</v>
      </c>
      <c r="K46" s="74">
        <v>5.8718694000000001E-5</v>
      </c>
    </row>
    <row r="47" spans="1:11" x14ac:dyDescent="0.25">
      <c r="A47">
        <v>32</v>
      </c>
      <c r="B47" t="s">
        <v>310</v>
      </c>
      <c r="C47" t="s">
        <v>260</v>
      </c>
      <c r="D47" t="s">
        <v>192</v>
      </c>
      <c r="E47">
        <v>1.7128381E-3</v>
      </c>
      <c r="F47">
        <v>0</v>
      </c>
      <c r="G47" s="74">
        <v>1.7092447000000001E-5</v>
      </c>
      <c r="H47" s="74">
        <v>4.2930709999999999E-5</v>
      </c>
      <c r="I47" s="74">
        <v>2.3268241E-7</v>
      </c>
      <c r="J47" s="74">
        <v>3.4637997000000001E-5</v>
      </c>
      <c r="K47">
        <v>1.6179443E-3</v>
      </c>
    </row>
    <row r="48" spans="1:11" x14ac:dyDescent="0.25">
      <c r="A48">
        <v>33</v>
      </c>
      <c r="B48" t="s">
        <v>311</v>
      </c>
      <c r="C48" t="s">
        <v>260</v>
      </c>
      <c r="D48" t="s">
        <v>192</v>
      </c>
      <c r="E48" s="74">
        <v>9.793016200000001E-10</v>
      </c>
      <c r="F48">
        <v>0</v>
      </c>
      <c r="G48" s="74">
        <v>2.0780857999999999E-11</v>
      </c>
      <c r="H48" s="74">
        <v>1.5781462999999999E-10</v>
      </c>
      <c r="I48" s="74">
        <v>2.6191913E-13</v>
      </c>
      <c r="J48" s="74">
        <v>6.3135902999999995E-11</v>
      </c>
      <c r="K48" s="74">
        <v>7.3730831000000003E-10</v>
      </c>
    </row>
    <row r="49" spans="1:11" x14ac:dyDescent="0.25">
      <c r="A49">
        <v>34</v>
      </c>
      <c r="B49" t="s">
        <v>312</v>
      </c>
      <c r="C49" t="s">
        <v>260</v>
      </c>
      <c r="D49" t="s">
        <v>192</v>
      </c>
      <c r="E49" s="74">
        <v>3.3167962E-12</v>
      </c>
      <c r="F49">
        <v>0</v>
      </c>
      <c r="G49" s="74">
        <v>1.1460445000000001E-13</v>
      </c>
      <c r="H49" s="74">
        <v>1.1360043999999999E-12</v>
      </c>
      <c r="I49" s="74">
        <v>1.1424172E-15</v>
      </c>
      <c r="J49" s="74">
        <v>7.4141016000000004E-13</v>
      </c>
      <c r="K49" s="74">
        <v>1.3236348E-12</v>
      </c>
    </row>
    <row r="50" spans="1:11" x14ac:dyDescent="0.25">
      <c r="A50">
        <v>35</v>
      </c>
      <c r="B50" t="s">
        <v>313</v>
      </c>
      <c r="C50" t="s">
        <v>260</v>
      </c>
      <c r="D50" t="s">
        <v>192</v>
      </c>
      <c r="E50" s="74">
        <v>1.0313875000000001E-18</v>
      </c>
      <c r="F50">
        <v>0</v>
      </c>
      <c r="G50" s="74">
        <v>2.4096719000000001E-20</v>
      </c>
      <c r="H50" s="74">
        <v>3.1024736999999999E-19</v>
      </c>
      <c r="I50" s="74">
        <v>1.9563858000000001E-22</v>
      </c>
      <c r="J50" s="74">
        <v>1.3815441999999999E-19</v>
      </c>
      <c r="K50" s="74">
        <v>5.5869335000000001E-19</v>
      </c>
    </row>
    <row r="51" spans="1:11" x14ac:dyDescent="0.25">
      <c r="A51">
        <v>36</v>
      </c>
      <c r="B51" t="s">
        <v>314</v>
      </c>
      <c r="C51" t="s">
        <v>260</v>
      </c>
      <c r="D51" t="s">
        <v>192</v>
      </c>
      <c r="E51" s="74">
        <v>2.1369001999999999E-13</v>
      </c>
      <c r="F51">
        <v>0</v>
      </c>
      <c r="G51" s="74">
        <v>1.1745100000000001E-14</v>
      </c>
      <c r="H51" s="74">
        <v>7.2332542000000003E-14</v>
      </c>
      <c r="I51" s="74">
        <v>8.4885650999999999E-17</v>
      </c>
      <c r="J51" s="74">
        <v>5.5277889E-14</v>
      </c>
      <c r="K51" s="74">
        <v>7.4249601999999995E-14</v>
      </c>
    </row>
    <row r="52" spans="1:11" x14ac:dyDescent="0.25">
      <c r="A52">
        <v>37</v>
      </c>
      <c r="B52" t="s">
        <v>315</v>
      </c>
      <c r="C52" t="s">
        <v>260</v>
      </c>
      <c r="D52" t="s">
        <v>192</v>
      </c>
      <c r="E52" s="74">
        <v>2.1801349000000001E-6</v>
      </c>
      <c r="F52">
        <v>0</v>
      </c>
      <c r="G52" s="74">
        <v>2.1986129999999999E-7</v>
      </c>
      <c r="H52" s="74">
        <v>8.5384179999999999E-7</v>
      </c>
      <c r="I52" s="74">
        <v>6.4804213000000005E-10</v>
      </c>
      <c r="J52" s="74">
        <v>1.0078422000000001E-6</v>
      </c>
      <c r="K52" s="74">
        <v>9.7941555999999995E-8</v>
      </c>
    </row>
    <row r="53" spans="1:11" x14ac:dyDescent="0.25">
      <c r="A53">
        <v>38</v>
      </c>
      <c r="B53" t="s">
        <v>316</v>
      </c>
      <c r="C53" t="s">
        <v>260</v>
      </c>
      <c r="D53" t="s">
        <v>305</v>
      </c>
      <c r="E53" s="74">
        <v>2.3154235E-6</v>
      </c>
      <c r="F53">
        <v>0</v>
      </c>
      <c r="G53" s="74">
        <v>8.3629777999999997E-9</v>
      </c>
      <c r="H53" s="74">
        <v>2.0690816000000001E-8</v>
      </c>
      <c r="I53" s="74">
        <v>1.7502196999999999E-10</v>
      </c>
      <c r="J53" s="74">
        <v>1.5787261000000001E-8</v>
      </c>
      <c r="K53" s="74">
        <v>2.2704075E-6</v>
      </c>
    </row>
    <row r="54" spans="1:11" x14ac:dyDescent="0.25">
      <c r="A54">
        <v>39</v>
      </c>
      <c r="B54" t="s">
        <v>317</v>
      </c>
      <c r="C54" t="s">
        <v>260</v>
      </c>
      <c r="D54" t="s">
        <v>305</v>
      </c>
      <c r="E54" s="74">
        <v>4.3834761000000003E-5</v>
      </c>
      <c r="F54">
        <v>0</v>
      </c>
      <c r="G54" s="74">
        <v>1.5244528E-7</v>
      </c>
      <c r="H54" s="74">
        <v>3.7849495000000001E-7</v>
      </c>
      <c r="I54" s="74">
        <v>3.1961641999999999E-9</v>
      </c>
      <c r="J54" s="74">
        <v>2.8720437E-7</v>
      </c>
      <c r="K54" s="74">
        <v>4.3013419999999999E-5</v>
      </c>
    </row>
    <row r="55" spans="1:11" x14ac:dyDescent="0.25">
      <c r="A55">
        <v>40</v>
      </c>
      <c r="B55" t="s">
        <v>318</v>
      </c>
      <c r="C55" t="s">
        <v>260</v>
      </c>
      <c r="D55" t="s">
        <v>192</v>
      </c>
      <c r="E55" s="74">
        <v>1.7437509000000002E-5</v>
      </c>
      <c r="F55">
        <v>0</v>
      </c>
      <c r="G55" s="74">
        <v>1.7131212E-6</v>
      </c>
      <c r="H55" s="74">
        <v>4.7626046999999996E-6</v>
      </c>
      <c r="I55" s="74">
        <v>5.6736092000000004E-9</v>
      </c>
      <c r="J55" s="74">
        <v>6.9250168999999997E-6</v>
      </c>
      <c r="K55" s="74">
        <v>4.0310922999999998E-6</v>
      </c>
    </row>
    <row r="56" spans="1:11" x14ac:dyDescent="0.25">
      <c r="A56">
        <v>41</v>
      </c>
      <c r="B56" t="s">
        <v>319</v>
      </c>
      <c r="C56" t="s">
        <v>260</v>
      </c>
      <c r="D56" t="s">
        <v>305</v>
      </c>
      <c r="E56">
        <v>0.80923036000000004</v>
      </c>
      <c r="F56">
        <v>0</v>
      </c>
      <c r="G56">
        <v>2.1940582E-2</v>
      </c>
      <c r="H56">
        <v>4.8179995000000003E-2</v>
      </c>
      <c r="I56">
        <v>5.9327442000000003E-4</v>
      </c>
      <c r="J56">
        <v>3.7944928000000003E-2</v>
      </c>
      <c r="K56">
        <v>0.70057157999999997</v>
      </c>
    </row>
    <row r="57" spans="1:11" x14ac:dyDescent="0.25">
      <c r="A57">
        <v>42</v>
      </c>
      <c r="B57" t="s">
        <v>320</v>
      </c>
      <c r="C57" t="s">
        <v>260</v>
      </c>
      <c r="D57" t="s">
        <v>192</v>
      </c>
      <c r="E57" s="74">
        <v>1.2184345000000001E-6</v>
      </c>
      <c r="F57">
        <v>0</v>
      </c>
      <c r="G57" s="74">
        <v>1.1150137000000001E-7</v>
      </c>
      <c r="H57" s="74">
        <v>3.1381526999999998E-7</v>
      </c>
      <c r="I57" s="74">
        <v>2.9299931999999999E-10</v>
      </c>
      <c r="J57" s="74">
        <v>4.4548841999999999E-7</v>
      </c>
      <c r="K57" s="74">
        <v>3.4733646000000001E-7</v>
      </c>
    </row>
    <row r="58" spans="1:11" x14ac:dyDescent="0.25">
      <c r="A58">
        <v>43</v>
      </c>
      <c r="B58" t="s">
        <v>321</v>
      </c>
      <c r="C58" t="s">
        <v>260</v>
      </c>
      <c r="D58" t="s">
        <v>192</v>
      </c>
      <c r="E58" s="74">
        <v>6.2136286000000001E-14</v>
      </c>
      <c r="F58">
        <v>0</v>
      </c>
      <c r="G58" s="74">
        <v>8.5792358000000001E-15</v>
      </c>
      <c r="H58" s="74">
        <v>2.1294941E-14</v>
      </c>
      <c r="I58" s="74">
        <v>3.7069075000000001E-18</v>
      </c>
      <c r="J58" s="74">
        <v>3.2037510000000002E-14</v>
      </c>
      <c r="K58" s="74">
        <v>2.2089298000000001E-16</v>
      </c>
    </row>
    <row r="59" spans="1:11" x14ac:dyDescent="0.25">
      <c r="A59">
        <v>44</v>
      </c>
      <c r="B59" t="s">
        <v>322</v>
      </c>
      <c r="C59" t="s">
        <v>260</v>
      </c>
      <c r="D59" t="s">
        <v>192</v>
      </c>
      <c r="E59" s="74">
        <v>6.4327309000000003E-12</v>
      </c>
      <c r="F59">
        <v>0</v>
      </c>
      <c r="G59" s="74">
        <v>3.6241295E-13</v>
      </c>
      <c r="H59" s="74">
        <v>2.1572508E-12</v>
      </c>
      <c r="I59" s="74">
        <v>2.2905984000000001E-15</v>
      </c>
      <c r="J59" s="74">
        <v>1.5064331E-12</v>
      </c>
      <c r="K59" s="74">
        <v>2.4043434000000002E-12</v>
      </c>
    </row>
    <row r="60" spans="1:11" x14ac:dyDescent="0.25">
      <c r="A60">
        <v>45</v>
      </c>
      <c r="B60" t="s">
        <v>323</v>
      </c>
      <c r="C60" t="s">
        <v>260</v>
      </c>
      <c r="D60" t="s">
        <v>192</v>
      </c>
      <c r="E60" s="74">
        <v>3.8028307999999999E-12</v>
      </c>
      <c r="F60">
        <v>0</v>
      </c>
      <c r="G60" s="74">
        <v>2.1422731E-13</v>
      </c>
      <c r="H60" s="74">
        <v>1.2752987000000001E-12</v>
      </c>
      <c r="I60" s="74">
        <v>1.3527377E-15</v>
      </c>
      <c r="J60" s="74">
        <v>8.9048702000000003E-13</v>
      </c>
      <c r="K60" s="74">
        <v>1.4214649999999999E-12</v>
      </c>
    </row>
    <row r="61" spans="1:11" x14ac:dyDescent="0.25">
      <c r="A61">
        <v>46</v>
      </c>
      <c r="B61" t="s">
        <v>324</v>
      </c>
      <c r="C61" t="s">
        <v>260</v>
      </c>
      <c r="D61" t="s">
        <v>192</v>
      </c>
      <c r="E61" s="74">
        <v>1.5501319000000001E-6</v>
      </c>
      <c r="F61">
        <v>0</v>
      </c>
      <c r="G61" s="74">
        <v>1.1542724E-7</v>
      </c>
      <c r="H61" s="74">
        <v>5.1367057999999995E-7</v>
      </c>
      <c r="I61" s="74">
        <v>6.3562608000000002E-10</v>
      </c>
      <c r="J61" s="74">
        <v>6.5928186000000004E-7</v>
      </c>
      <c r="K61" s="74">
        <v>2.611166E-7</v>
      </c>
    </row>
    <row r="62" spans="1:11" x14ac:dyDescent="0.25">
      <c r="A62">
        <v>47</v>
      </c>
      <c r="B62" t="s">
        <v>325</v>
      </c>
      <c r="C62" t="s">
        <v>260</v>
      </c>
      <c r="D62" t="s">
        <v>305</v>
      </c>
      <c r="E62">
        <v>1.2282071000000001E-3</v>
      </c>
      <c r="F62">
        <v>0</v>
      </c>
      <c r="G62" s="74">
        <v>4.5388022E-6</v>
      </c>
      <c r="H62" s="74">
        <v>1.1206194999999999E-5</v>
      </c>
      <c r="I62" s="74">
        <v>9.4888287000000005E-8</v>
      </c>
      <c r="J62" s="74">
        <v>8.5781964000000008E-6</v>
      </c>
      <c r="K62">
        <v>1.203789E-3</v>
      </c>
    </row>
    <row r="63" spans="1:11" x14ac:dyDescent="0.25">
      <c r="A63">
        <v>48</v>
      </c>
      <c r="B63" t="s">
        <v>326</v>
      </c>
      <c r="C63" t="s">
        <v>260</v>
      </c>
      <c r="D63" t="s">
        <v>192</v>
      </c>
      <c r="E63" s="74">
        <v>3.5256369000000001E-12</v>
      </c>
      <c r="F63">
        <v>0</v>
      </c>
      <c r="G63" s="74">
        <v>1.9861198E-13</v>
      </c>
      <c r="H63" s="74">
        <v>1.1823403E-12</v>
      </c>
      <c r="I63" s="74">
        <v>1.2541349E-15</v>
      </c>
      <c r="J63" s="74">
        <v>8.2557816000000003E-13</v>
      </c>
      <c r="K63" s="74">
        <v>1.3178523E-12</v>
      </c>
    </row>
    <row r="64" spans="1:11" x14ac:dyDescent="0.25">
      <c r="A64">
        <v>49</v>
      </c>
      <c r="B64" t="s">
        <v>327</v>
      </c>
      <c r="C64" t="s">
        <v>260</v>
      </c>
      <c r="D64" t="s">
        <v>192</v>
      </c>
      <c r="E64" s="74">
        <v>1.521958E-12</v>
      </c>
      <c r="F64">
        <v>0</v>
      </c>
      <c r="G64" s="74">
        <v>2.7879270000000001E-15</v>
      </c>
      <c r="H64" s="74">
        <v>1.2491688E-14</v>
      </c>
      <c r="I64" s="74">
        <v>5.0245889000000002E-17</v>
      </c>
      <c r="J64" s="74">
        <v>2.4703210000000001E-14</v>
      </c>
      <c r="K64" s="74">
        <v>1.4819249E-12</v>
      </c>
    </row>
    <row r="65" spans="1:11" x14ac:dyDescent="0.25">
      <c r="A65">
        <v>50</v>
      </c>
      <c r="B65" t="s">
        <v>328</v>
      </c>
      <c r="C65" t="s">
        <v>260</v>
      </c>
      <c r="D65" t="s">
        <v>192</v>
      </c>
      <c r="E65" s="74">
        <v>1.6957230000000001E-7</v>
      </c>
      <c r="F65">
        <v>0</v>
      </c>
      <c r="G65" s="74">
        <v>1.5689020999999999E-8</v>
      </c>
      <c r="H65" s="74">
        <v>6.6871459000000001E-8</v>
      </c>
      <c r="I65" s="74">
        <v>4.0778337000000003E-11</v>
      </c>
      <c r="J65" s="74">
        <v>7.3182916000000001E-8</v>
      </c>
      <c r="K65" s="74">
        <v>1.3788129000000001E-8</v>
      </c>
    </row>
    <row r="66" spans="1:11" x14ac:dyDescent="0.25">
      <c r="A66">
        <v>51</v>
      </c>
      <c r="B66" t="s">
        <v>329</v>
      </c>
      <c r="C66" t="s">
        <v>260</v>
      </c>
      <c r="D66" t="s">
        <v>192</v>
      </c>
      <c r="E66" s="74">
        <v>9.4905224999999996E-5</v>
      </c>
      <c r="F66">
        <v>0</v>
      </c>
      <c r="G66" s="74">
        <v>1.1627831999999999E-6</v>
      </c>
      <c r="H66" s="74">
        <v>5.0029325999999997E-6</v>
      </c>
      <c r="I66" s="74">
        <v>4.4087678000000001E-8</v>
      </c>
      <c r="J66" s="74">
        <v>1.0263841E-5</v>
      </c>
      <c r="K66" s="74">
        <v>7.8431581000000004E-5</v>
      </c>
    </row>
    <row r="67" spans="1:11" x14ac:dyDescent="0.25">
      <c r="A67">
        <v>52</v>
      </c>
      <c r="B67" t="s">
        <v>330</v>
      </c>
      <c r="C67" t="s">
        <v>260</v>
      </c>
      <c r="D67" t="s">
        <v>192</v>
      </c>
      <c r="E67" s="74">
        <v>2.3713378000000002E-13</v>
      </c>
      <c r="F67">
        <v>0</v>
      </c>
      <c r="G67" s="74">
        <v>1.3030555E-14</v>
      </c>
      <c r="H67" s="74">
        <v>8.0256774000000004E-14</v>
      </c>
      <c r="I67" s="74">
        <v>9.4314688999999997E-17</v>
      </c>
      <c r="J67" s="74">
        <v>6.1364696999999997E-14</v>
      </c>
      <c r="K67" s="74">
        <v>8.2387437999999997E-14</v>
      </c>
    </row>
    <row r="68" spans="1:11" x14ac:dyDescent="0.25">
      <c r="A68">
        <v>53</v>
      </c>
      <c r="B68" t="s">
        <v>331</v>
      </c>
      <c r="C68" t="s">
        <v>260</v>
      </c>
      <c r="D68" t="s">
        <v>192</v>
      </c>
      <c r="E68" s="74">
        <v>2.0865361999999999E-12</v>
      </c>
      <c r="F68">
        <v>0</v>
      </c>
      <c r="G68" s="74">
        <v>1.1628777000000001E-13</v>
      </c>
      <c r="H68" s="74">
        <v>7.0973948999999999E-13</v>
      </c>
      <c r="I68" s="74">
        <v>8.2230840000000004E-16</v>
      </c>
      <c r="J68" s="74">
        <v>5.3503968999999995E-13</v>
      </c>
      <c r="K68" s="74">
        <v>7.2464689999999997E-13</v>
      </c>
    </row>
    <row r="69" spans="1:11" x14ac:dyDescent="0.25">
      <c r="A69">
        <v>54</v>
      </c>
      <c r="B69" t="s">
        <v>332</v>
      </c>
      <c r="C69" t="s">
        <v>260</v>
      </c>
      <c r="D69" t="s">
        <v>192</v>
      </c>
      <c r="E69" s="74">
        <v>4.2607972999999999E-6</v>
      </c>
      <c r="F69">
        <v>0</v>
      </c>
      <c r="G69" s="74">
        <v>5.4101979999999997E-8</v>
      </c>
      <c r="H69" s="74">
        <v>2.3878478E-7</v>
      </c>
      <c r="I69" s="74">
        <v>7.4766941000000002E-10</v>
      </c>
      <c r="J69" s="74">
        <v>3.4750712999999998E-7</v>
      </c>
      <c r="K69" s="74">
        <v>3.6196557000000001E-6</v>
      </c>
    </row>
    <row r="70" spans="1:11" x14ac:dyDescent="0.25">
      <c r="A70">
        <v>55</v>
      </c>
      <c r="B70" t="s">
        <v>333</v>
      </c>
      <c r="C70" t="s">
        <v>260</v>
      </c>
      <c r="D70" t="s">
        <v>192</v>
      </c>
      <c r="E70" s="74">
        <v>1.6113689999999999E-10</v>
      </c>
      <c r="F70">
        <v>0</v>
      </c>
      <c r="G70" s="74">
        <v>1.5208801000000001E-11</v>
      </c>
      <c r="H70" s="74">
        <v>4.3585715999999997E-11</v>
      </c>
      <c r="I70" s="74">
        <v>2.7574848E-12</v>
      </c>
      <c r="J70" s="74">
        <v>6.4323119000000001E-11</v>
      </c>
      <c r="K70" s="74">
        <v>3.5261776000000001E-11</v>
      </c>
    </row>
    <row r="71" spans="1:11" x14ac:dyDescent="0.25">
      <c r="A71">
        <v>56</v>
      </c>
      <c r="B71" t="s">
        <v>334</v>
      </c>
      <c r="C71" t="s">
        <v>260</v>
      </c>
      <c r="D71" t="s">
        <v>192</v>
      </c>
      <c r="E71" s="74">
        <v>3.6693232999999998E-12</v>
      </c>
      <c r="F71">
        <v>0</v>
      </c>
      <c r="G71" s="74">
        <v>3.88617E-13</v>
      </c>
      <c r="H71" s="74">
        <v>1.2445788E-12</v>
      </c>
      <c r="I71" s="74">
        <v>1.2564023E-15</v>
      </c>
      <c r="J71" s="74">
        <v>1.7347916E-12</v>
      </c>
      <c r="K71" s="74">
        <v>3.0007942E-13</v>
      </c>
    </row>
    <row r="72" spans="1:11" x14ac:dyDescent="0.25">
      <c r="A72">
        <v>57</v>
      </c>
      <c r="B72" t="s">
        <v>335</v>
      </c>
      <c r="C72" t="s">
        <v>260</v>
      </c>
      <c r="D72" t="s">
        <v>192</v>
      </c>
      <c r="E72" s="74">
        <v>7.1699729999999998E-14</v>
      </c>
      <c r="F72">
        <v>0</v>
      </c>
      <c r="G72" s="74">
        <v>4.7884736999999996E-15</v>
      </c>
      <c r="H72" s="74">
        <v>1.5692982E-14</v>
      </c>
      <c r="I72" s="74">
        <v>6.6000484000000004E-17</v>
      </c>
      <c r="J72" s="74">
        <v>3.3430740000000002E-14</v>
      </c>
      <c r="K72" s="74">
        <v>1.7721533000000001E-14</v>
      </c>
    </row>
    <row r="73" spans="1:11" x14ac:dyDescent="0.25">
      <c r="A73">
        <v>58</v>
      </c>
      <c r="B73" t="s">
        <v>336</v>
      </c>
      <c r="C73" t="s">
        <v>260</v>
      </c>
      <c r="D73" t="s">
        <v>192</v>
      </c>
      <c r="E73" s="74">
        <v>8.5632047999999998E-8</v>
      </c>
      <c r="F73">
        <v>0</v>
      </c>
      <c r="G73" s="74">
        <v>4.5283040000000002E-9</v>
      </c>
      <c r="H73" s="74">
        <v>1.6403247000000001E-8</v>
      </c>
      <c r="I73" s="74">
        <v>2.6632459999999998E-10</v>
      </c>
      <c r="J73" s="74">
        <v>4.5866622000000002E-8</v>
      </c>
      <c r="K73" s="74">
        <v>1.8567551E-8</v>
      </c>
    </row>
    <row r="74" spans="1:11" x14ac:dyDescent="0.25">
      <c r="A74">
        <v>59</v>
      </c>
      <c r="B74" t="s">
        <v>337</v>
      </c>
      <c r="C74" t="s">
        <v>260</v>
      </c>
      <c r="D74" t="s">
        <v>192</v>
      </c>
      <c r="E74" s="74">
        <v>8.4801380000000006E-14</v>
      </c>
      <c r="F74">
        <v>0</v>
      </c>
      <c r="G74" s="74">
        <v>5.6635050999999997E-15</v>
      </c>
      <c r="H74" s="74">
        <v>1.8560483E-14</v>
      </c>
      <c r="I74" s="74">
        <v>7.8061327000000003E-17</v>
      </c>
      <c r="J74" s="74">
        <v>3.9539798999999999E-14</v>
      </c>
      <c r="K74" s="74">
        <v>2.0959531999999999E-14</v>
      </c>
    </row>
    <row r="75" spans="1:11" x14ac:dyDescent="0.25">
      <c r="A75">
        <v>60</v>
      </c>
      <c r="B75" t="s">
        <v>338</v>
      </c>
      <c r="C75" t="s">
        <v>260</v>
      </c>
      <c r="D75" t="s">
        <v>192</v>
      </c>
      <c r="E75" s="74">
        <v>5.2231293000000003E-15</v>
      </c>
      <c r="F75">
        <v>0</v>
      </c>
      <c r="G75" s="74">
        <v>3.4881280999999998E-16</v>
      </c>
      <c r="H75" s="74">
        <v>1.143218E-15</v>
      </c>
      <c r="I75" s="74">
        <v>4.8077123999999999E-18</v>
      </c>
      <c r="J75" s="74">
        <v>2.4352277999999999E-15</v>
      </c>
      <c r="K75" s="74">
        <v>1.2910629E-15</v>
      </c>
    </row>
    <row r="76" spans="1:11" x14ac:dyDescent="0.25">
      <c r="A76">
        <v>61</v>
      </c>
      <c r="B76" t="s">
        <v>339</v>
      </c>
      <c r="C76" t="s">
        <v>260</v>
      </c>
      <c r="D76" t="s">
        <v>192</v>
      </c>
      <c r="E76" s="74">
        <v>6.1326309000000004E-14</v>
      </c>
      <c r="F76">
        <v>0</v>
      </c>
      <c r="G76" s="74">
        <v>4.0957105000000004E-15</v>
      </c>
      <c r="H76" s="74">
        <v>1.3422492000000001E-14</v>
      </c>
      <c r="I76" s="74">
        <v>5.6452073000000004E-17</v>
      </c>
      <c r="J76" s="74">
        <v>2.8594231000000003E-14</v>
      </c>
      <c r="K76" s="74">
        <v>1.5157423999999999E-14</v>
      </c>
    </row>
    <row r="77" spans="1:11" x14ac:dyDescent="0.25">
      <c r="A77">
        <v>62</v>
      </c>
      <c r="B77" t="s">
        <v>340</v>
      </c>
      <c r="C77" t="s">
        <v>260</v>
      </c>
      <c r="D77" t="s">
        <v>192</v>
      </c>
      <c r="E77" s="74">
        <v>9.8498777999999996E-9</v>
      </c>
      <c r="F77">
        <v>0</v>
      </c>
      <c r="G77" s="74">
        <v>2.8167074000000001E-10</v>
      </c>
      <c r="H77" s="74">
        <v>1.7392479999999999E-9</v>
      </c>
      <c r="I77" s="74">
        <v>1.9828137999999999E-12</v>
      </c>
      <c r="J77" s="74">
        <v>2.8049324000000001E-9</v>
      </c>
      <c r="K77" s="74">
        <v>5.0220438000000001E-9</v>
      </c>
    </row>
    <row r="78" spans="1:11" x14ac:dyDescent="0.25">
      <c r="A78">
        <v>63</v>
      </c>
      <c r="B78" t="s">
        <v>341</v>
      </c>
      <c r="C78" t="s">
        <v>260</v>
      </c>
      <c r="D78" t="s">
        <v>192</v>
      </c>
      <c r="E78" s="74">
        <v>8.4710165999999999E-18</v>
      </c>
      <c r="F78">
        <v>0</v>
      </c>
      <c r="G78" s="74">
        <v>7.4288796000000004E-20</v>
      </c>
      <c r="H78" s="74">
        <v>2.0345191999999999E-18</v>
      </c>
      <c r="I78" s="74">
        <v>1.361142E-21</v>
      </c>
      <c r="J78" s="74">
        <v>1.5901626000000001E-18</v>
      </c>
      <c r="K78" s="74">
        <v>4.7706849000000003E-18</v>
      </c>
    </row>
    <row r="79" spans="1:11" x14ac:dyDescent="0.25">
      <c r="A79">
        <v>64</v>
      </c>
      <c r="B79" t="s">
        <v>342</v>
      </c>
      <c r="C79" t="s">
        <v>260</v>
      </c>
      <c r="D79" t="s">
        <v>192</v>
      </c>
      <c r="E79" s="74">
        <v>6.0461927E-6</v>
      </c>
      <c r="F79">
        <v>0</v>
      </c>
      <c r="G79" s="74">
        <v>3.4418533000000001E-7</v>
      </c>
      <c r="H79" s="74">
        <v>1.2766805999999999E-6</v>
      </c>
      <c r="I79" s="74">
        <v>5.9198345999999996E-9</v>
      </c>
      <c r="J79" s="74">
        <v>1.5036150000000001E-6</v>
      </c>
      <c r="K79" s="74">
        <v>2.9157918999999999E-6</v>
      </c>
    </row>
    <row r="80" spans="1:11" x14ac:dyDescent="0.25">
      <c r="A80">
        <v>65</v>
      </c>
      <c r="B80" t="s">
        <v>343</v>
      </c>
      <c r="C80" t="s">
        <v>260</v>
      </c>
      <c r="D80" t="s">
        <v>192</v>
      </c>
      <c r="E80" s="74">
        <v>5.8159179999999998E-14</v>
      </c>
      <c r="F80">
        <v>0</v>
      </c>
      <c r="G80" s="74">
        <v>6.9073875999999999E-16</v>
      </c>
      <c r="H80" s="74">
        <v>1.4111628E-14</v>
      </c>
      <c r="I80" s="74">
        <v>9.2039675999999998E-18</v>
      </c>
      <c r="J80" s="74">
        <v>1.1375737E-14</v>
      </c>
      <c r="K80" s="74">
        <v>3.1971871999999999E-14</v>
      </c>
    </row>
    <row r="81" spans="1:11" x14ac:dyDescent="0.25">
      <c r="A81">
        <v>66</v>
      </c>
      <c r="B81" t="s">
        <v>344</v>
      </c>
      <c r="C81" t="s">
        <v>260</v>
      </c>
      <c r="D81" t="s">
        <v>192</v>
      </c>
      <c r="E81" s="74">
        <v>9.9448316000000008E-7</v>
      </c>
      <c r="F81">
        <v>0</v>
      </c>
      <c r="G81" s="74">
        <v>1.1154846E-7</v>
      </c>
      <c r="H81" s="74">
        <v>3.1765282E-7</v>
      </c>
      <c r="I81" s="74">
        <v>2.0059691E-9</v>
      </c>
      <c r="J81" s="74">
        <v>2.7247340999999999E-7</v>
      </c>
      <c r="K81" s="74">
        <v>2.908025E-7</v>
      </c>
    </row>
    <row r="82" spans="1:11" x14ac:dyDescent="0.25">
      <c r="A82">
        <v>67</v>
      </c>
      <c r="B82" t="s">
        <v>345</v>
      </c>
      <c r="C82" t="s">
        <v>260</v>
      </c>
      <c r="D82" t="s">
        <v>192</v>
      </c>
      <c r="E82" s="74">
        <v>1.3144078E-18</v>
      </c>
      <c r="F82">
        <v>0</v>
      </c>
      <c r="G82" s="74">
        <v>4.5689305999999997E-20</v>
      </c>
      <c r="H82" s="74">
        <v>4.5222254000000001E-19</v>
      </c>
      <c r="I82" s="74">
        <v>2.6367658000000002E-22</v>
      </c>
      <c r="J82" s="74">
        <v>7.9659195999999999E-19</v>
      </c>
      <c r="K82" s="74">
        <v>1.9640292999999999E-20</v>
      </c>
    </row>
    <row r="83" spans="1:11" x14ac:dyDescent="0.25">
      <c r="A83">
        <v>68</v>
      </c>
      <c r="B83" t="s">
        <v>346</v>
      </c>
      <c r="C83" t="s">
        <v>260</v>
      </c>
      <c r="D83" t="s">
        <v>192</v>
      </c>
      <c r="E83" s="74">
        <v>2.1380534999999999E-13</v>
      </c>
      <c r="F83">
        <v>0</v>
      </c>
      <c r="G83" s="74">
        <v>1.2100878E-14</v>
      </c>
      <c r="H83" s="74">
        <v>5.8652550000000003E-14</v>
      </c>
      <c r="I83" s="74">
        <v>1.4896858999999999E-14</v>
      </c>
      <c r="J83" s="74">
        <v>5.7690619E-14</v>
      </c>
      <c r="K83" s="74">
        <v>7.0464448000000004E-14</v>
      </c>
    </row>
    <row r="84" spans="1:11" x14ac:dyDescent="0.25">
      <c r="A84">
        <v>69</v>
      </c>
      <c r="B84" t="s">
        <v>347</v>
      </c>
      <c r="C84" t="s">
        <v>260</v>
      </c>
      <c r="D84" t="s">
        <v>192</v>
      </c>
      <c r="E84" s="74">
        <v>3.3549322000000001E-5</v>
      </c>
      <c r="F84">
        <v>0</v>
      </c>
      <c r="G84" s="74">
        <v>6.8496652E-7</v>
      </c>
      <c r="H84" s="74">
        <v>3.4290606000000001E-6</v>
      </c>
      <c r="I84" s="74">
        <v>7.2696973000000002E-9</v>
      </c>
      <c r="J84" s="74">
        <v>4.2403214000000004E-6</v>
      </c>
      <c r="K84" s="74">
        <v>2.5187704E-5</v>
      </c>
    </row>
    <row r="85" spans="1:11" x14ac:dyDescent="0.25">
      <c r="A85">
        <v>70</v>
      </c>
      <c r="B85" t="s">
        <v>348</v>
      </c>
      <c r="C85" t="s">
        <v>260</v>
      </c>
      <c r="D85" t="s">
        <v>192</v>
      </c>
      <c r="E85" s="74">
        <v>1.7799641000000001E-7</v>
      </c>
      <c r="F85">
        <v>0</v>
      </c>
      <c r="G85" s="74">
        <v>1.2402574E-8</v>
      </c>
      <c r="H85" s="74">
        <v>5.7372460999999997E-8</v>
      </c>
      <c r="I85" s="74">
        <v>7.3894485999999995E-11</v>
      </c>
      <c r="J85" s="74">
        <v>4.8095106000000002E-8</v>
      </c>
      <c r="K85" s="74">
        <v>6.0052378999999999E-8</v>
      </c>
    </row>
    <row r="86" spans="1:11" x14ac:dyDescent="0.25">
      <c r="A86">
        <v>71</v>
      </c>
      <c r="B86" t="s">
        <v>349</v>
      </c>
      <c r="C86" t="s">
        <v>260</v>
      </c>
      <c r="D86" t="s">
        <v>192</v>
      </c>
      <c r="E86" s="74">
        <v>9.1905908000000003E-19</v>
      </c>
      <c r="F86">
        <v>0</v>
      </c>
      <c r="G86" s="74">
        <v>1.2585935E-19</v>
      </c>
      <c r="H86" s="74">
        <v>3.1296590999999998E-19</v>
      </c>
      <c r="I86" s="74">
        <v>3.6389792000000003E-21</v>
      </c>
      <c r="J86" s="74">
        <v>4.7225081000000005E-19</v>
      </c>
      <c r="K86" s="74">
        <v>4.3440353000000002E-21</v>
      </c>
    </row>
    <row r="87" spans="1:11" x14ac:dyDescent="0.25">
      <c r="A87">
        <v>72</v>
      </c>
      <c r="B87" t="s">
        <v>350</v>
      </c>
      <c r="C87" t="s">
        <v>260</v>
      </c>
      <c r="D87" t="s">
        <v>192</v>
      </c>
      <c r="E87" s="74">
        <v>3.3947886000000001E-7</v>
      </c>
      <c r="F87">
        <v>0</v>
      </c>
      <c r="G87" s="74">
        <v>3.5903624999999998E-8</v>
      </c>
      <c r="H87" s="74">
        <v>9.4913349000000006E-8</v>
      </c>
      <c r="I87" s="74">
        <v>8.6717856000000002E-11</v>
      </c>
      <c r="J87" s="74">
        <v>1.3516027E-7</v>
      </c>
      <c r="K87" s="74">
        <v>7.3414903999999995E-8</v>
      </c>
    </row>
    <row r="88" spans="1:11" x14ac:dyDescent="0.25">
      <c r="A88">
        <v>73</v>
      </c>
      <c r="B88" t="s">
        <v>351</v>
      </c>
      <c r="C88" t="s">
        <v>260</v>
      </c>
      <c r="D88" t="s">
        <v>192</v>
      </c>
      <c r="E88" s="74">
        <v>2.7351889000000001E-5</v>
      </c>
      <c r="F88">
        <v>0</v>
      </c>
      <c r="G88" s="74">
        <v>3.6253610999999999E-7</v>
      </c>
      <c r="H88" s="74">
        <v>2.7191370999999998E-6</v>
      </c>
      <c r="I88" s="74">
        <v>3.0987847000000002E-9</v>
      </c>
      <c r="J88" s="74">
        <v>4.0968684000000003E-6</v>
      </c>
      <c r="K88" s="74">
        <v>2.0170248E-5</v>
      </c>
    </row>
    <row r="89" spans="1:11" x14ac:dyDescent="0.25">
      <c r="A89">
        <v>74</v>
      </c>
      <c r="B89" t="s">
        <v>352</v>
      </c>
      <c r="C89" t="s">
        <v>260</v>
      </c>
      <c r="D89" t="s">
        <v>192</v>
      </c>
      <c r="E89" s="74">
        <v>9.5999087999999997E-13</v>
      </c>
      <c r="F89">
        <v>0</v>
      </c>
      <c r="G89" s="74">
        <v>5.4081361000000003E-14</v>
      </c>
      <c r="H89" s="74">
        <v>3.2193792000000001E-13</v>
      </c>
      <c r="I89" s="74">
        <v>3.4159696000000002E-16</v>
      </c>
      <c r="J89" s="74">
        <v>2.2480109999999999E-13</v>
      </c>
      <c r="K89" s="74">
        <v>3.5882890000000002E-13</v>
      </c>
    </row>
    <row r="90" spans="1:11" x14ac:dyDescent="0.25">
      <c r="A90">
        <v>75</v>
      </c>
      <c r="B90" t="s">
        <v>353</v>
      </c>
      <c r="C90" t="s">
        <v>260</v>
      </c>
      <c r="D90" t="s">
        <v>192</v>
      </c>
      <c r="E90" s="74">
        <v>2.7247728E-9</v>
      </c>
      <c r="F90">
        <v>0</v>
      </c>
      <c r="G90" s="74">
        <v>2.9526234E-10</v>
      </c>
      <c r="H90" s="74">
        <v>7.6023862000000001E-10</v>
      </c>
      <c r="I90" s="74">
        <v>5.1463602E-13</v>
      </c>
      <c r="J90" s="74">
        <v>1.1879184999999999E-9</v>
      </c>
      <c r="K90" s="74">
        <v>4.8083865999999999E-10</v>
      </c>
    </row>
    <row r="91" spans="1:11" x14ac:dyDescent="0.25">
      <c r="A91">
        <v>76</v>
      </c>
      <c r="B91" t="s">
        <v>354</v>
      </c>
      <c r="C91" t="s">
        <v>260</v>
      </c>
      <c r="D91" t="s">
        <v>305</v>
      </c>
      <c r="E91">
        <v>106.1618</v>
      </c>
      <c r="F91">
        <v>0</v>
      </c>
      <c r="G91">
        <v>0.51650711000000005</v>
      </c>
      <c r="H91">
        <v>1.6565407000000001</v>
      </c>
      <c r="I91">
        <v>8.8495211000000004E-3</v>
      </c>
      <c r="J91">
        <v>1.2844165999999999</v>
      </c>
      <c r="K91">
        <v>102.69548</v>
      </c>
    </row>
    <row r="92" spans="1:11" x14ac:dyDescent="0.25">
      <c r="A92">
        <v>77</v>
      </c>
      <c r="B92" t="s">
        <v>355</v>
      </c>
      <c r="C92" t="s">
        <v>260</v>
      </c>
      <c r="D92" t="s">
        <v>192</v>
      </c>
      <c r="E92">
        <v>0.31717079999999997</v>
      </c>
      <c r="F92">
        <v>0</v>
      </c>
      <c r="G92">
        <v>3.5236897999999998E-3</v>
      </c>
      <c r="H92">
        <v>5.9920187999999999E-2</v>
      </c>
      <c r="I92" s="74">
        <v>3.4500259E-5</v>
      </c>
      <c r="J92">
        <v>2.9030941000000001E-2</v>
      </c>
      <c r="K92">
        <v>0.22466148</v>
      </c>
    </row>
    <row r="93" spans="1:11" x14ac:dyDescent="0.25">
      <c r="A93">
        <v>78</v>
      </c>
      <c r="B93" t="s">
        <v>356</v>
      </c>
      <c r="C93" t="s">
        <v>260</v>
      </c>
      <c r="D93" t="s">
        <v>192</v>
      </c>
      <c r="E93">
        <v>3.7096954000000002</v>
      </c>
      <c r="F93">
        <v>0</v>
      </c>
      <c r="G93">
        <v>9.5448872000000004E-2</v>
      </c>
      <c r="H93">
        <v>0.37293755000000001</v>
      </c>
      <c r="I93">
        <v>1.36994E-3</v>
      </c>
      <c r="J93">
        <v>1.5167307999999999</v>
      </c>
      <c r="K93">
        <v>1.7232083</v>
      </c>
    </row>
    <row r="94" spans="1:11" x14ac:dyDescent="0.25">
      <c r="A94">
        <v>79</v>
      </c>
      <c r="B94" t="s">
        <v>357</v>
      </c>
      <c r="C94" t="s">
        <v>260</v>
      </c>
      <c r="D94" t="s">
        <v>192</v>
      </c>
      <c r="E94">
        <v>8.2147469000000001E-3</v>
      </c>
      <c r="F94">
        <v>0</v>
      </c>
      <c r="G94">
        <v>1.2829859E-4</v>
      </c>
      <c r="H94">
        <v>3.6820867E-4</v>
      </c>
      <c r="I94" s="74">
        <v>2.0859025E-6</v>
      </c>
      <c r="J94">
        <v>2.9675509999999998E-4</v>
      </c>
      <c r="K94">
        <v>7.4193986999999996E-3</v>
      </c>
    </row>
    <row r="95" spans="1:11" x14ac:dyDescent="0.25">
      <c r="A95">
        <v>80</v>
      </c>
      <c r="B95" t="s">
        <v>358</v>
      </c>
      <c r="C95" t="s">
        <v>260</v>
      </c>
      <c r="D95" t="s">
        <v>192</v>
      </c>
      <c r="E95" s="74">
        <v>1.7237053999999999E-5</v>
      </c>
      <c r="F95">
        <v>0</v>
      </c>
      <c r="G95" s="74">
        <v>1.8203676999999999E-6</v>
      </c>
      <c r="H95" s="74">
        <v>5.8972539000000003E-6</v>
      </c>
      <c r="I95" s="74">
        <v>2.4904240999999998E-9</v>
      </c>
      <c r="J95" s="74">
        <v>6.7822898999999996E-6</v>
      </c>
      <c r="K95" s="74">
        <v>2.7346520000000002E-6</v>
      </c>
    </row>
    <row r="96" spans="1:11" x14ac:dyDescent="0.25">
      <c r="A96">
        <v>81</v>
      </c>
      <c r="B96" t="s">
        <v>359</v>
      </c>
      <c r="C96" t="s">
        <v>260</v>
      </c>
      <c r="D96" t="s">
        <v>192</v>
      </c>
      <c r="E96">
        <v>3.8973479999999998E-4</v>
      </c>
      <c r="F96">
        <v>0</v>
      </c>
      <c r="G96" s="74">
        <v>8.6297111999999997E-6</v>
      </c>
      <c r="H96" s="74">
        <v>8.5153206000000006E-5</v>
      </c>
      <c r="I96" s="74">
        <v>2.1639336000000001E-7</v>
      </c>
      <c r="J96" s="74">
        <v>8.6202312999999995E-5</v>
      </c>
      <c r="K96">
        <v>2.0953317E-4</v>
      </c>
    </row>
    <row r="97" spans="1:11" x14ac:dyDescent="0.25">
      <c r="A97">
        <v>82</v>
      </c>
      <c r="B97" t="s">
        <v>360</v>
      </c>
      <c r="C97" t="s">
        <v>260</v>
      </c>
      <c r="D97" t="s">
        <v>192</v>
      </c>
      <c r="E97">
        <v>4.8257164E-3</v>
      </c>
      <c r="F97">
        <v>0</v>
      </c>
      <c r="G97">
        <v>2.0416132000000001E-4</v>
      </c>
      <c r="H97">
        <v>6.6511049E-4</v>
      </c>
      <c r="I97" s="74">
        <v>4.8899351000000002E-6</v>
      </c>
      <c r="J97">
        <v>2.6942160000000001E-3</v>
      </c>
      <c r="K97">
        <v>1.2573387E-3</v>
      </c>
    </row>
    <row r="98" spans="1:11" x14ac:dyDescent="0.25">
      <c r="A98">
        <v>83</v>
      </c>
      <c r="B98" t="s">
        <v>361</v>
      </c>
      <c r="C98" t="s">
        <v>260</v>
      </c>
      <c r="D98" t="s">
        <v>192</v>
      </c>
      <c r="E98" s="74">
        <v>1.2541758000000001E-6</v>
      </c>
      <c r="F98">
        <v>0</v>
      </c>
      <c r="G98" s="74">
        <v>6.3395148E-8</v>
      </c>
      <c r="H98" s="74">
        <v>3.9480134000000001E-7</v>
      </c>
      <c r="I98" s="74">
        <v>4.7047127E-10</v>
      </c>
      <c r="J98" s="74">
        <v>3.1523718E-7</v>
      </c>
      <c r="K98" s="74">
        <v>4.8027167000000002E-7</v>
      </c>
    </row>
    <row r="99" spans="1:11" x14ac:dyDescent="0.25">
      <c r="A99">
        <v>84</v>
      </c>
      <c r="B99" t="s">
        <v>362</v>
      </c>
      <c r="C99" t="s">
        <v>260</v>
      </c>
      <c r="D99" t="s">
        <v>192</v>
      </c>
      <c r="E99" s="74">
        <v>1.5137502999999999E-7</v>
      </c>
      <c r="F99">
        <v>0</v>
      </c>
      <c r="G99" s="74">
        <v>1.3218157E-8</v>
      </c>
      <c r="H99" s="74">
        <v>5.5154457000000002E-8</v>
      </c>
      <c r="I99" s="74">
        <v>4.3230085E-11</v>
      </c>
      <c r="J99" s="74">
        <v>4.7700403000000003E-8</v>
      </c>
      <c r="K99" s="74">
        <v>3.5258778999999997E-8</v>
      </c>
    </row>
    <row r="100" spans="1:11" x14ac:dyDescent="0.25">
      <c r="A100">
        <v>85</v>
      </c>
      <c r="B100" t="s">
        <v>363</v>
      </c>
      <c r="C100" t="s">
        <v>260</v>
      </c>
      <c r="D100" t="s">
        <v>192</v>
      </c>
      <c r="E100" s="74">
        <v>1.0548792999999999E-13</v>
      </c>
      <c r="F100">
        <v>0</v>
      </c>
      <c r="G100" s="74">
        <v>5.9425190000000004E-15</v>
      </c>
      <c r="H100" s="74">
        <v>3.5375915E-14</v>
      </c>
      <c r="I100" s="74">
        <v>3.7524019E-17</v>
      </c>
      <c r="J100" s="74">
        <v>2.4701500999999999E-14</v>
      </c>
      <c r="K100" s="74">
        <v>3.9430468E-14</v>
      </c>
    </row>
    <row r="101" spans="1:11" x14ac:dyDescent="0.25">
      <c r="A101">
        <v>86</v>
      </c>
      <c r="B101" t="s">
        <v>364</v>
      </c>
      <c r="C101" t="s">
        <v>260</v>
      </c>
      <c r="D101" t="s">
        <v>305</v>
      </c>
      <c r="E101">
        <v>2.9766321000000001E-4</v>
      </c>
      <c r="F101">
        <v>0</v>
      </c>
      <c r="G101" s="74">
        <v>1.1000367999999999E-6</v>
      </c>
      <c r="H101" s="74">
        <v>2.7159578000000001E-6</v>
      </c>
      <c r="I101" s="74">
        <v>2.299736E-8</v>
      </c>
      <c r="J101" s="74">
        <v>2.0790386000000002E-6</v>
      </c>
      <c r="K101">
        <v>2.9174517999999998E-4</v>
      </c>
    </row>
    <row r="102" spans="1:11" x14ac:dyDescent="0.25">
      <c r="A102">
        <v>87</v>
      </c>
      <c r="B102" t="s">
        <v>365</v>
      </c>
      <c r="C102" t="s">
        <v>260</v>
      </c>
      <c r="D102" t="s">
        <v>305</v>
      </c>
      <c r="E102" s="74">
        <v>1.4256154E-5</v>
      </c>
      <c r="F102">
        <v>0</v>
      </c>
      <c r="G102" s="74">
        <v>5.2684687999999998E-8</v>
      </c>
      <c r="H102" s="74">
        <v>1.3007692000000001E-7</v>
      </c>
      <c r="I102" s="74">
        <v>1.1014257000000001E-9</v>
      </c>
      <c r="J102" s="74">
        <v>9.9572581000000003E-8</v>
      </c>
      <c r="K102" s="74">
        <v>1.3972718E-5</v>
      </c>
    </row>
    <row r="103" spans="1:11" x14ac:dyDescent="0.25">
      <c r="A103">
        <v>88</v>
      </c>
      <c r="B103" t="s">
        <v>366</v>
      </c>
      <c r="C103" t="s">
        <v>260</v>
      </c>
      <c r="D103" t="s">
        <v>305</v>
      </c>
      <c r="E103">
        <v>2.6048013999999998E-4</v>
      </c>
      <c r="F103">
        <v>0</v>
      </c>
      <c r="G103" s="74">
        <v>9.5965304000000001E-7</v>
      </c>
      <c r="H103" s="74">
        <v>2.3700116999999998E-6</v>
      </c>
      <c r="I103" s="74">
        <v>2.0065343999999998E-8</v>
      </c>
      <c r="J103" s="74">
        <v>1.8134333E-6</v>
      </c>
      <c r="K103">
        <v>2.5531697999999999E-4</v>
      </c>
    </row>
    <row r="104" spans="1:11" x14ac:dyDescent="0.25">
      <c r="A104">
        <v>89</v>
      </c>
      <c r="B104" t="s">
        <v>367</v>
      </c>
      <c r="C104" t="s">
        <v>260</v>
      </c>
      <c r="D104" t="s">
        <v>192</v>
      </c>
      <c r="E104" s="74">
        <v>5.5068571000000001E-10</v>
      </c>
      <c r="F104">
        <v>0</v>
      </c>
      <c r="G104" s="74">
        <v>8.1287564999999998E-13</v>
      </c>
      <c r="H104" s="74">
        <v>1.4060581999999999E-11</v>
      </c>
      <c r="I104" s="74">
        <v>1.4452857000000001E-14</v>
      </c>
      <c r="J104" s="74">
        <v>1.7682258E-12</v>
      </c>
      <c r="K104" s="74">
        <v>5.3402957000000001E-10</v>
      </c>
    </row>
    <row r="105" spans="1:11" x14ac:dyDescent="0.25">
      <c r="A105">
        <v>90</v>
      </c>
      <c r="B105" t="s">
        <v>368</v>
      </c>
      <c r="C105" t="s">
        <v>260</v>
      </c>
      <c r="D105" t="s">
        <v>192</v>
      </c>
      <c r="E105" s="74">
        <v>1.9192919999999999E-12</v>
      </c>
      <c r="F105">
        <v>0</v>
      </c>
      <c r="G105" s="74">
        <v>1.081207E-13</v>
      </c>
      <c r="H105" s="74">
        <v>6.4364437000000003E-13</v>
      </c>
      <c r="I105" s="74">
        <v>6.8272787000000004E-16</v>
      </c>
      <c r="J105" s="74">
        <v>4.4942956000000001E-13</v>
      </c>
      <c r="K105" s="74">
        <v>7.1741461999999997E-13</v>
      </c>
    </row>
    <row r="106" spans="1:11" x14ac:dyDescent="0.25">
      <c r="A106">
        <v>91</v>
      </c>
      <c r="B106" t="s">
        <v>369</v>
      </c>
      <c r="C106" t="s">
        <v>260</v>
      </c>
      <c r="D106" t="s">
        <v>192</v>
      </c>
      <c r="E106" s="74">
        <v>1.4786090999999999E-10</v>
      </c>
      <c r="F106">
        <v>0</v>
      </c>
      <c r="G106" s="74">
        <v>1.4874079999999999E-11</v>
      </c>
      <c r="H106" s="74">
        <v>5.8601343999999997E-11</v>
      </c>
      <c r="I106" s="74">
        <v>6.6512127000000001E-14</v>
      </c>
      <c r="J106" s="74">
        <v>6.8817123999999995E-11</v>
      </c>
      <c r="K106" s="74">
        <v>5.5018462999999999E-12</v>
      </c>
    </row>
    <row r="107" spans="1:11" x14ac:dyDescent="0.25">
      <c r="A107">
        <v>92</v>
      </c>
      <c r="B107" t="s">
        <v>370</v>
      </c>
      <c r="C107" t="s">
        <v>260</v>
      </c>
      <c r="D107" t="s">
        <v>192</v>
      </c>
      <c r="E107" s="74">
        <v>3.5566608999999998E-6</v>
      </c>
      <c r="F107">
        <v>0</v>
      </c>
      <c r="G107" s="74">
        <v>6.3321237000000001E-8</v>
      </c>
      <c r="H107" s="74">
        <v>4.8408587000000004E-7</v>
      </c>
      <c r="I107" s="74">
        <v>7.9077459000000005E-9</v>
      </c>
      <c r="J107" s="74">
        <v>2.1330649000000001E-6</v>
      </c>
      <c r="K107" s="74">
        <v>8.6828115999999996E-7</v>
      </c>
    </row>
    <row r="108" spans="1:11" x14ac:dyDescent="0.25">
      <c r="A108">
        <v>93</v>
      </c>
      <c r="B108" t="s">
        <v>371</v>
      </c>
      <c r="C108" t="s">
        <v>260</v>
      </c>
      <c r="D108" t="s">
        <v>192</v>
      </c>
      <c r="E108" s="74">
        <v>1.0581012E-10</v>
      </c>
      <c r="F108">
        <v>0</v>
      </c>
      <c r="G108" s="74">
        <v>7.0437516999999999E-12</v>
      </c>
      <c r="H108" s="74">
        <v>3.8562490999999997E-11</v>
      </c>
      <c r="I108" s="74">
        <v>3.9875605999999999E-14</v>
      </c>
      <c r="J108" s="74">
        <v>4.6866744999999997E-11</v>
      </c>
      <c r="K108" s="74">
        <v>1.3297254E-11</v>
      </c>
    </row>
    <row r="109" spans="1:11" x14ac:dyDescent="0.25">
      <c r="A109">
        <v>94</v>
      </c>
      <c r="B109" t="s">
        <v>372</v>
      </c>
      <c r="C109" t="s">
        <v>260</v>
      </c>
      <c r="D109" t="s">
        <v>192</v>
      </c>
      <c r="E109" s="74">
        <v>1.4547696E-8</v>
      </c>
      <c r="F109">
        <v>0</v>
      </c>
      <c r="G109" s="74">
        <v>9.4957345999999997E-10</v>
      </c>
      <c r="H109" s="74">
        <v>2.6348379000000001E-9</v>
      </c>
      <c r="I109" s="74">
        <v>8.6663114999999993E-12</v>
      </c>
      <c r="J109" s="74">
        <v>5.7207163000000001E-9</v>
      </c>
      <c r="K109" s="74">
        <v>5.2339023000000002E-9</v>
      </c>
    </row>
    <row r="110" spans="1:11" x14ac:dyDescent="0.25">
      <c r="A110">
        <v>95</v>
      </c>
      <c r="B110" t="s">
        <v>373</v>
      </c>
      <c r="C110" t="s">
        <v>260</v>
      </c>
      <c r="D110" t="s">
        <v>192</v>
      </c>
      <c r="E110" s="74">
        <v>5.9173584000000004E-10</v>
      </c>
      <c r="F110">
        <v>0</v>
      </c>
      <c r="G110" s="74">
        <v>6.5508720999999994E-11</v>
      </c>
      <c r="H110" s="74">
        <v>1.6984127999999999E-10</v>
      </c>
      <c r="I110" s="74">
        <v>7.0440725000000003E-14</v>
      </c>
      <c r="J110" s="74">
        <v>2.5262427999999999E-10</v>
      </c>
      <c r="K110" s="74">
        <v>1.0369112000000001E-10</v>
      </c>
    </row>
    <row r="111" spans="1:11" x14ac:dyDescent="0.25">
      <c r="A111">
        <v>96</v>
      </c>
      <c r="B111" t="s">
        <v>374</v>
      </c>
      <c r="C111" t="s">
        <v>260</v>
      </c>
      <c r="D111" t="s">
        <v>192</v>
      </c>
      <c r="E111" s="74">
        <v>7.8732009999999998E-13</v>
      </c>
      <c r="F111">
        <v>0</v>
      </c>
      <c r="G111" s="74">
        <v>3.0507751000000002E-14</v>
      </c>
      <c r="H111" s="74">
        <v>1.8643215E-13</v>
      </c>
      <c r="I111" s="74">
        <v>1.3865728E-13</v>
      </c>
      <c r="J111" s="74">
        <v>2.3794153000000001E-13</v>
      </c>
      <c r="K111" s="74">
        <v>1.9378138000000001E-13</v>
      </c>
    </row>
    <row r="112" spans="1:11" x14ac:dyDescent="0.25">
      <c r="A112">
        <v>97</v>
      </c>
      <c r="B112" t="s">
        <v>375</v>
      </c>
      <c r="C112" t="s">
        <v>260</v>
      </c>
      <c r="D112" t="s">
        <v>192</v>
      </c>
      <c r="E112" s="74">
        <v>3.8288330999999997E-11</v>
      </c>
      <c r="F112">
        <v>0</v>
      </c>
      <c r="G112" s="74">
        <v>2.1569210999999999E-12</v>
      </c>
      <c r="H112" s="74">
        <v>1.2840187000000001E-11</v>
      </c>
      <c r="I112" s="74">
        <v>1.3619872000000001E-14</v>
      </c>
      <c r="J112" s="74">
        <v>8.9657581999999997E-12</v>
      </c>
      <c r="K112" s="74">
        <v>1.4311845000000001E-11</v>
      </c>
    </row>
    <row r="113" spans="1:11" x14ac:dyDescent="0.25">
      <c r="A113">
        <v>98</v>
      </c>
      <c r="B113" t="s">
        <v>376</v>
      </c>
      <c r="C113" t="s">
        <v>260</v>
      </c>
      <c r="D113" t="s">
        <v>192</v>
      </c>
      <c r="E113" s="74">
        <v>4.6341743E-6</v>
      </c>
      <c r="F113">
        <v>0</v>
      </c>
      <c r="G113" s="74">
        <v>5.1540407000000002E-7</v>
      </c>
      <c r="H113" s="74">
        <v>1.3357303E-6</v>
      </c>
      <c r="I113" s="74">
        <v>1.1246547000000001E-9</v>
      </c>
      <c r="J113" s="74">
        <v>2.0416885000000001E-6</v>
      </c>
      <c r="K113" s="74">
        <v>7.4022668000000003E-7</v>
      </c>
    </row>
    <row r="114" spans="1:11" x14ac:dyDescent="0.25">
      <c r="A114">
        <v>99</v>
      </c>
      <c r="B114" t="s">
        <v>377</v>
      </c>
      <c r="C114" t="s">
        <v>260</v>
      </c>
      <c r="D114" t="s">
        <v>305</v>
      </c>
      <c r="E114" s="74">
        <v>1.9074205000000001E-5</v>
      </c>
      <c r="F114">
        <v>0</v>
      </c>
      <c r="G114" s="74">
        <v>7.0490161999999997E-8</v>
      </c>
      <c r="H114" s="74">
        <v>1.7403810000000001E-7</v>
      </c>
      <c r="I114" s="74">
        <v>1.4736668E-9</v>
      </c>
      <c r="J114" s="74">
        <v>1.3322443E-7</v>
      </c>
      <c r="K114" s="74">
        <v>1.8694978999999999E-5</v>
      </c>
    </row>
    <row r="115" spans="1:11" x14ac:dyDescent="0.25">
      <c r="A115">
        <v>100</v>
      </c>
      <c r="B115" t="s">
        <v>378</v>
      </c>
      <c r="C115" t="s">
        <v>260</v>
      </c>
      <c r="D115" t="s">
        <v>192</v>
      </c>
      <c r="E115" s="74">
        <v>4.7833673999999999E-15</v>
      </c>
      <c r="F115">
        <v>0</v>
      </c>
      <c r="G115" s="74">
        <v>5.1659067999999996E-16</v>
      </c>
      <c r="H115" s="74">
        <v>1.3341452000000001E-15</v>
      </c>
      <c r="I115" s="74">
        <v>8.9337222999999991E-19</v>
      </c>
      <c r="J115" s="74">
        <v>2.0873074000000001E-15</v>
      </c>
      <c r="K115" s="74">
        <v>8.4443063999999998E-16</v>
      </c>
    </row>
    <row r="116" spans="1:11" x14ac:dyDescent="0.25">
      <c r="A116">
        <v>101</v>
      </c>
      <c r="B116" t="s">
        <v>379</v>
      </c>
      <c r="C116" t="s">
        <v>260</v>
      </c>
      <c r="D116" t="s">
        <v>192</v>
      </c>
      <c r="E116" s="74">
        <v>1.4674708000000001E-7</v>
      </c>
      <c r="F116">
        <v>0</v>
      </c>
      <c r="G116" s="74">
        <v>1.3529039000000001E-8</v>
      </c>
      <c r="H116" s="74">
        <v>3.6826673999999998E-8</v>
      </c>
      <c r="I116" s="74">
        <v>3.3550968E-11</v>
      </c>
      <c r="J116" s="74">
        <v>5.5505858999999999E-8</v>
      </c>
      <c r="K116" s="74">
        <v>4.0851958000000001E-8</v>
      </c>
    </row>
    <row r="117" spans="1:11" x14ac:dyDescent="0.25">
      <c r="A117">
        <v>102</v>
      </c>
      <c r="B117" t="s">
        <v>380</v>
      </c>
      <c r="C117" t="s">
        <v>260</v>
      </c>
      <c r="D117" t="s">
        <v>192</v>
      </c>
      <c r="E117" s="74">
        <v>7.8294689000000008E-15</v>
      </c>
      <c r="F117">
        <v>0</v>
      </c>
      <c r="G117" s="74">
        <v>5.2270205000000002E-16</v>
      </c>
      <c r="H117" s="74">
        <v>1.7140008000000001E-15</v>
      </c>
      <c r="I117" s="74">
        <v>7.2039276999999996E-18</v>
      </c>
      <c r="J117" s="74">
        <v>3.6491181E-15</v>
      </c>
      <c r="K117" s="74">
        <v>1.9364439000000001E-15</v>
      </c>
    </row>
    <row r="118" spans="1:11" x14ac:dyDescent="0.25">
      <c r="A118">
        <v>103</v>
      </c>
      <c r="B118" t="s">
        <v>381</v>
      </c>
      <c r="C118" t="s">
        <v>260</v>
      </c>
      <c r="D118" t="s">
        <v>192</v>
      </c>
      <c r="E118" s="74">
        <v>5.6782440000000001E-12</v>
      </c>
      <c r="F118">
        <v>0</v>
      </c>
      <c r="G118" s="74">
        <v>3.1987615999999998E-13</v>
      </c>
      <c r="H118" s="74">
        <v>1.9042281E-12</v>
      </c>
      <c r="I118" s="74">
        <v>2.0198570000000002E-15</v>
      </c>
      <c r="J118" s="74">
        <v>1.3296416999999999E-12</v>
      </c>
      <c r="K118" s="74">
        <v>2.1224781000000002E-12</v>
      </c>
    </row>
    <row r="119" spans="1:11" x14ac:dyDescent="0.25">
      <c r="A119">
        <v>104</v>
      </c>
      <c r="B119" t="s">
        <v>382</v>
      </c>
      <c r="C119" t="s">
        <v>260</v>
      </c>
      <c r="D119" t="s">
        <v>192</v>
      </c>
      <c r="E119" s="74">
        <v>9.9962447000000005E-13</v>
      </c>
      <c r="F119">
        <v>0</v>
      </c>
      <c r="G119" s="74">
        <v>5.6312486000000002E-14</v>
      </c>
      <c r="H119" s="74">
        <v>3.3522917000000001E-13</v>
      </c>
      <c r="I119" s="74">
        <v>3.5558501999999999E-16</v>
      </c>
      <c r="J119" s="74">
        <v>2.3407631000000002E-13</v>
      </c>
      <c r="K119" s="74">
        <v>3.7365092000000001E-13</v>
      </c>
    </row>
    <row r="120" spans="1:11" x14ac:dyDescent="0.25">
      <c r="A120">
        <v>105</v>
      </c>
      <c r="B120" t="s">
        <v>383</v>
      </c>
      <c r="C120" t="s">
        <v>260</v>
      </c>
      <c r="D120" t="s">
        <v>192</v>
      </c>
      <c r="E120" s="74">
        <v>2.5364822999999998E-7</v>
      </c>
      <c r="F120">
        <v>0</v>
      </c>
      <c r="G120" s="74">
        <v>1.3823742999999999E-8</v>
      </c>
      <c r="H120" s="74">
        <v>8.3979334999999998E-8</v>
      </c>
      <c r="I120" s="74">
        <v>7.4911812999999996E-11</v>
      </c>
      <c r="J120" s="74">
        <v>5.7782682E-8</v>
      </c>
      <c r="K120" s="74">
        <v>9.7987555999999994E-8</v>
      </c>
    </row>
    <row r="121" spans="1:11" x14ac:dyDescent="0.25">
      <c r="A121">
        <v>106</v>
      </c>
      <c r="B121" t="s">
        <v>384</v>
      </c>
      <c r="C121" t="s">
        <v>260</v>
      </c>
      <c r="D121" t="s">
        <v>305</v>
      </c>
      <c r="E121" s="74">
        <v>4.4053941999999997E-5</v>
      </c>
      <c r="F121">
        <v>0</v>
      </c>
      <c r="G121" s="74">
        <v>1.5611193E-7</v>
      </c>
      <c r="H121" s="74">
        <v>3.8691597000000002E-7</v>
      </c>
      <c r="I121" s="74">
        <v>3.2700836999999999E-9</v>
      </c>
      <c r="J121" s="74">
        <v>2.9440733999999999E-7</v>
      </c>
      <c r="K121" s="74">
        <v>4.3213236E-5</v>
      </c>
    </row>
    <row r="122" spans="1:11" x14ac:dyDescent="0.25">
      <c r="A122">
        <v>107</v>
      </c>
      <c r="B122" t="s">
        <v>385</v>
      </c>
      <c r="C122" t="s">
        <v>260</v>
      </c>
      <c r="D122" t="s">
        <v>305</v>
      </c>
      <c r="E122">
        <v>3.1538919000000001E-4</v>
      </c>
      <c r="F122">
        <v>0</v>
      </c>
      <c r="G122" s="74">
        <v>1.1346518999999999E-6</v>
      </c>
      <c r="H122" s="74">
        <v>2.8082542000000002E-6</v>
      </c>
      <c r="I122" s="74">
        <v>2.3750604999999999E-8</v>
      </c>
      <c r="J122" s="74">
        <v>2.1415067999999998E-6</v>
      </c>
      <c r="K122">
        <v>3.0928103E-4</v>
      </c>
    </row>
    <row r="123" spans="1:11" x14ac:dyDescent="0.25">
      <c r="A123">
        <v>108</v>
      </c>
      <c r="B123" t="s">
        <v>386</v>
      </c>
      <c r="C123" t="s">
        <v>260</v>
      </c>
      <c r="D123" t="s">
        <v>192</v>
      </c>
      <c r="E123" s="74">
        <v>4.3109882000000003E-6</v>
      </c>
      <c r="F123">
        <v>0</v>
      </c>
      <c r="G123" s="74">
        <v>4.3680059000000002E-7</v>
      </c>
      <c r="H123" s="74">
        <v>1.2832903E-6</v>
      </c>
      <c r="I123" s="74">
        <v>8.0432493999999995E-10</v>
      </c>
      <c r="J123" s="74">
        <v>1.7241466999999999E-6</v>
      </c>
      <c r="K123" s="74">
        <v>8.6594635999999997E-7</v>
      </c>
    </row>
    <row r="124" spans="1:11" x14ac:dyDescent="0.25">
      <c r="A124">
        <v>109</v>
      </c>
      <c r="B124" t="s">
        <v>387</v>
      </c>
      <c r="C124" t="s">
        <v>260</v>
      </c>
      <c r="D124" t="s">
        <v>192</v>
      </c>
      <c r="E124" s="74">
        <v>7.9426625999999994E-8</v>
      </c>
      <c r="F124">
        <v>0</v>
      </c>
      <c r="G124" s="74">
        <v>4.5006380999999997E-9</v>
      </c>
      <c r="H124" s="74">
        <v>3.4153292000000002E-8</v>
      </c>
      <c r="I124" s="74">
        <v>1.8163953000000001E-10</v>
      </c>
      <c r="J124" s="74">
        <v>1.9470395999999999E-8</v>
      </c>
      <c r="K124" s="74">
        <v>2.1120659999999998E-8</v>
      </c>
    </row>
    <row r="125" spans="1:11" x14ac:dyDescent="0.25">
      <c r="A125">
        <v>110</v>
      </c>
      <c r="B125" t="s">
        <v>388</v>
      </c>
      <c r="C125" t="s">
        <v>260</v>
      </c>
      <c r="D125" t="s">
        <v>192</v>
      </c>
      <c r="E125" s="74">
        <v>3.1029013E-7</v>
      </c>
      <c r="F125">
        <v>0</v>
      </c>
      <c r="G125" s="74">
        <v>2.3684608000000001E-8</v>
      </c>
      <c r="H125" s="74">
        <v>7.3941608999999999E-8</v>
      </c>
      <c r="I125" s="74">
        <v>3.3676540999999999E-10</v>
      </c>
      <c r="J125" s="74">
        <v>1.0417991E-7</v>
      </c>
      <c r="K125" s="74">
        <v>1.0814723E-7</v>
      </c>
    </row>
    <row r="126" spans="1:11" x14ac:dyDescent="0.25">
      <c r="A126">
        <v>111</v>
      </c>
      <c r="B126" t="s">
        <v>389</v>
      </c>
      <c r="C126" t="s">
        <v>260</v>
      </c>
      <c r="D126" t="s">
        <v>192</v>
      </c>
      <c r="E126" s="74">
        <v>4.4176891E-13</v>
      </c>
      <c r="F126">
        <v>0</v>
      </c>
      <c r="G126" s="74">
        <v>2.4004294999999999E-14</v>
      </c>
      <c r="H126" s="74">
        <v>1.4963318E-13</v>
      </c>
      <c r="I126" s="74">
        <v>1.6029256999999999E-16</v>
      </c>
      <c r="J126" s="74">
        <v>1.1296215E-13</v>
      </c>
      <c r="K126" s="74">
        <v>1.5500899000000001E-13</v>
      </c>
    </row>
    <row r="127" spans="1:11" x14ac:dyDescent="0.25">
      <c r="A127">
        <v>112</v>
      </c>
      <c r="B127" t="s">
        <v>390</v>
      </c>
      <c r="C127" t="s">
        <v>260</v>
      </c>
      <c r="D127" t="s">
        <v>192</v>
      </c>
      <c r="E127" s="74">
        <v>1.7476266000000001E-10</v>
      </c>
      <c r="F127">
        <v>0</v>
      </c>
      <c r="G127" s="74">
        <v>1.8795705000000001E-11</v>
      </c>
      <c r="H127" s="74">
        <v>4.8772113000000002E-11</v>
      </c>
      <c r="I127" s="74">
        <v>3.2206647E-14</v>
      </c>
      <c r="J127" s="74">
        <v>7.6334894999999998E-11</v>
      </c>
      <c r="K127" s="74">
        <v>3.0827741E-11</v>
      </c>
    </row>
    <row r="128" spans="1:11" x14ac:dyDescent="0.25">
      <c r="A128">
        <v>113</v>
      </c>
      <c r="B128" t="s">
        <v>391</v>
      </c>
      <c r="C128" t="s">
        <v>260</v>
      </c>
      <c r="D128" t="s">
        <v>192</v>
      </c>
      <c r="E128" s="74">
        <v>2.0037993E-13</v>
      </c>
      <c r="F128">
        <v>0</v>
      </c>
      <c r="G128" s="74">
        <v>1.1288131E-14</v>
      </c>
      <c r="H128" s="74">
        <v>6.7198433999999998E-14</v>
      </c>
      <c r="I128" s="74">
        <v>7.1278870000000003E-17</v>
      </c>
      <c r="J128" s="74">
        <v>4.6921815999999998E-14</v>
      </c>
      <c r="K128" s="74">
        <v>7.4900272999999996E-14</v>
      </c>
    </row>
    <row r="129" spans="1:11" x14ac:dyDescent="0.25">
      <c r="A129">
        <v>114</v>
      </c>
      <c r="B129" t="s">
        <v>392</v>
      </c>
      <c r="C129" t="s">
        <v>260</v>
      </c>
      <c r="D129" t="s">
        <v>192</v>
      </c>
      <c r="E129" s="74">
        <v>2.2995751000000002E-12</v>
      </c>
      <c r="F129">
        <v>0</v>
      </c>
      <c r="G129" s="74">
        <v>1.2954344000000001E-13</v>
      </c>
      <c r="H129" s="74">
        <v>7.7117423999999998E-13</v>
      </c>
      <c r="I129" s="74">
        <v>8.1800162999999998E-16</v>
      </c>
      <c r="J129" s="74">
        <v>5.3847826000000003E-13</v>
      </c>
      <c r="K129" s="74">
        <v>8.5956112000000003E-13</v>
      </c>
    </row>
    <row r="130" spans="1:11" x14ac:dyDescent="0.25">
      <c r="A130">
        <v>115</v>
      </c>
      <c r="B130" t="s">
        <v>393</v>
      </c>
      <c r="C130" t="s">
        <v>260</v>
      </c>
      <c r="D130" t="s">
        <v>192</v>
      </c>
      <c r="E130" s="74">
        <v>3.9852464E-14</v>
      </c>
      <c r="F130">
        <v>0</v>
      </c>
      <c r="G130" s="74">
        <v>2.6615916E-15</v>
      </c>
      <c r="H130" s="74">
        <v>8.7224663000000006E-15</v>
      </c>
      <c r="I130" s="74">
        <v>3.668537E-17</v>
      </c>
      <c r="J130" s="74">
        <v>1.8581935E-14</v>
      </c>
      <c r="K130" s="74">
        <v>9.8497848999999996E-15</v>
      </c>
    </row>
    <row r="131" spans="1:11" x14ac:dyDescent="0.25">
      <c r="A131">
        <v>116</v>
      </c>
      <c r="B131" t="s">
        <v>394</v>
      </c>
      <c r="C131" t="s">
        <v>260</v>
      </c>
      <c r="D131" t="s">
        <v>192</v>
      </c>
      <c r="E131" s="74">
        <v>6.4465304000000004E-13</v>
      </c>
      <c r="F131">
        <v>0</v>
      </c>
      <c r="G131" s="74">
        <v>3.6403648000000001E-14</v>
      </c>
      <c r="H131" s="74">
        <v>2.1619196000000001E-13</v>
      </c>
      <c r="I131" s="74">
        <v>2.3545040999999999E-16</v>
      </c>
      <c r="J131" s="74">
        <v>1.5126074E-13</v>
      </c>
      <c r="K131" s="74">
        <v>2.4056125E-13</v>
      </c>
    </row>
    <row r="132" spans="1:11" x14ac:dyDescent="0.25">
      <c r="A132">
        <v>117</v>
      </c>
      <c r="B132" t="s">
        <v>395</v>
      </c>
      <c r="C132" t="s">
        <v>260</v>
      </c>
      <c r="D132" t="s">
        <v>192</v>
      </c>
      <c r="E132" s="74">
        <v>2.6677908999999999E-19</v>
      </c>
      <c r="F132">
        <v>0</v>
      </c>
      <c r="G132" s="74">
        <v>1.5956565E-20</v>
      </c>
      <c r="H132" s="74">
        <v>9.1555116000000003E-20</v>
      </c>
      <c r="I132" s="74">
        <v>2.9936240000000001E-22</v>
      </c>
      <c r="J132" s="74">
        <v>1.5564990000000001E-19</v>
      </c>
      <c r="K132" s="74">
        <v>3.3181464000000002E-21</v>
      </c>
    </row>
    <row r="133" spans="1:11" x14ac:dyDescent="0.25">
      <c r="A133">
        <v>118</v>
      </c>
      <c r="B133" t="s">
        <v>396</v>
      </c>
      <c r="C133" t="s">
        <v>260</v>
      </c>
      <c r="D133" t="s">
        <v>192</v>
      </c>
      <c r="E133" s="74">
        <v>7.0712569E-16</v>
      </c>
      <c r="F133">
        <v>0</v>
      </c>
      <c r="G133" s="74">
        <v>6.2013236999999996E-18</v>
      </c>
      <c r="H133" s="74">
        <v>1.6983331000000001E-16</v>
      </c>
      <c r="I133" s="74">
        <v>1.1362253999999999E-19</v>
      </c>
      <c r="J133" s="74">
        <v>1.3274024999999999E-16</v>
      </c>
      <c r="K133" s="74">
        <v>3.9823719E-16</v>
      </c>
    </row>
    <row r="134" spans="1:11" x14ac:dyDescent="0.25">
      <c r="A134">
        <v>119</v>
      </c>
      <c r="B134" t="s">
        <v>397</v>
      </c>
      <c r="C134" t="s">
        <v>260</v>
      </c>
      <c r="D134" t="s">
        <v>192</v>
      </c>
      <c r="E134" s="74">
        <v>1.5349322999999999E-12</v>
      </c>
      <c r="F134">
        <v>0</v>
      </c>
      <c r="G134" s="74">
        <v>5.3050678000000003E-14</v>
      </c>
      <c r="H134" s="74">
        <v>5.2917162000000004E-13</v>
      </c>
      <c r="I134" s="74">
        <v>5.2487576000000004E-16</v>
      </c>
      <c r="J134" s="74">
        <v>3.4385181000000001E-13</v>
      </c>
      <c r="K134" s="74">
        <v>6.0833331999999995E-13</v>
      </c>
    </row>
    <row r="135" spans="1:11" x14ac:dyDescent="0.25">
      <c r="A135">
        <v>120</v>
      </c>
      <c r="B135" t="s">
        <v>398</v>
      </c>
      <c r="C135" t="s">
        <v>260</v>
      </c>
      <c r="D135" t="s">
        <v>192</v>
      </c>
      <c r="E135" s="74">
        <v>5.9914926000000002E-16</v>
      </c>
      <c r="F135">
        <v>0</v>
      </c>
      <c r="G135" s="74">
        <v>5.2543962E-18</v>
      </c>
      <c r="H135" s="74">
        <v>1.4390016E-16</v>
      </c>
      <c r="I135" s="74">
        <v>9.6272647999999999E-20</v>
      </c>
      <c r="J135" s="74">
        <v>1.1247112E-16</v>
      </c>
      <c r="K135" s="74">
        <v>3.3742730999999998E-16</v>
      </c>
    </row>
    <row r="136" spans="1:11" x14ac:dyDescent="0.25">
      <c r="A136">
        <v>121</v>
      </c>
      <c r="B136" t="s">
        <v>399</v>
      </c>
      <c r="C136" t="s">
        <v>260</v>
      </c>
      <c r="D136" t="s">
        <v>192</v>
      </c>
      <c r="E136" s="74">
        <v>1.0548792999999999E-13</v>
      </c>
      <c r="F136">
        <v>0</v>
      </c>
      <c r="G136" s="74">
        <v>5.9425190000000004E-15</v>
      </c>
      <c r="H136" s="74">
        <v>3.5375915E-14</v>
      </c>
      <c r="I136" s="74">
        <v>3.7524019E-17</v>
      </c>
      <c r="J136" s="74">
        <v>2.4701500999999999E-14</v>
      </c>
      <c r="K136" s="74">
        <v>3.9430468E-14</v>
      </c>
    </row>
    <row r="137" spans="1:11" x14ac:dyDescent="0.25">
      <c r="A137">
        <v>122</v>
      </c>
      <c r="B137" t="s">
        <v>400</v>
      </c>
      <c r="C137" t="s">
        <v>260</v>
      </c>
      <c r="D137" t="s">
        <v>192</v>
      </c>
      <c r="E137" s="74">
        <v>6.8678927E-17</v>
      </c>
      <c r="F137">
        <v>0</v>
      </c>
      <c r="G137" s="74">
        <v>9.3776580999999999E-18</v>
      </c>
      <c r="H137" s="74">
        <v>2.3298908000000001E-17</v>
      </c>
      <c r="I137" s="74">
        <v>4.0852011999999999E-19</v>
      </c>
      <c r="J137" s="74">
        <v>3.5241541000000002E-17</v>
      </c>
      <c r="K137" s="74">
        <v>3.5229976999999999E-19</v>
      </c>
    </row>
    <row r="138" spans="1:11" x14ac:dyDescent="0.25">
      <c r="A138">
        <v>123</v>
      </c>
      <c r="B138" t="s">
        <v>401</v>
      </c>
      <c r="C138" t="s">
        <v>260</v>
      </c>
      <c r="D138" t="s">
        <v>192</v>
      </c>
      <c r="E138" s="74">
        <v>2.2212408999999999E-9</v>
      </c>
      <c r="F138">
        <v>0</v>
      </c>
      <c r="G138" s="74">
        <v>9.9370439000000003E-11</v>
      </c>
      <c r="H138" s="74">
        <v>1.0185894999999999E-9</v>
      </c>
      <c r="I138" s="74">
        <v>1.1327994E-12</v>
      </c>
      <c r="J138" s="74">
        <v>7.7505912000000002E-10</v>
      </c>
      <c r="K138" s="74">
        <v>3.2708900999999999E-10</v>
      </c>
    </row>
    <row r="139" spans="1:11" x14ac:dyDescent="0.25">
      <c r="A139">
        <v>124</v>
      </c>
      <c r="B139" t="s">
        <v>402</v>
      </c>
      <c r="C139" t="s">
        <v>260</v>
      </c>
      <c r="D139" t="s">
        <v>192</v>
      </c>
      <c r="E139" s="74">
        <v>5.5397971000000004E-13</v>
      </c>
      <c r="F139">
        <v>0</v>
      </c>
      <c r="G139" s="74">
        <v>3.0101469E-14</v>
      </c>
      <c r="H139" s="74">
        <v>1.8764050999999999E-13</v>
      </c>
      <c r="I139" s="74">
        <v>2.0100754000000001E-16</v>
      </c>
      <c r="J139" s="74">
        <v>1.4165492000000001E-13</v>
      </c>
      <c r="K139" s="74">
        <v>1.9438178999999999E-13</v>
      </c>
    </row>
    <row r="140" spans="1:11" x14ac:dyDescent="0.25">
      <c r="A140">
        <v>125</v>
      </c>
      <c r="B140" t="s">
        <v>403</v>
      </c>
      <c r="C140" t="s">
        <v>260</v>
      </c>
      <c r="D140" t="s">
        <v>192</v>
      </c>
      <c r="E140" s="74">
        <v>3.3780064E-12</v>
      </c>
      <c r="F140">
        <v>0</v>
      </c>
      <c r="G140" s="74">
        <v>1.6311364999999999E-14</v>
      </c>
      <c r="H140" s="74">
        <v>5.0700746999999999E-14</v>
      </c>
      <c r="I140" s="74">
        <v>1.8868017000000002E-12</v>
      </c>
      <c r="J140" s="74">
        <v>1.3627942000000001E-12</v>
      </c>
      <c r="K140" s="74">
        <v>6.1398373000000005E-14</v>
      </c>
    </row>
    <row r="141" spans="1:11" x14ac:dyDescent="0.25">
      <c r="A141">
        <v>126</v>
      </c>
      <c r="B141" t="s">
        <v>404</v>
      </c>
      <c r="C141" t="s">
        <v>260</v>
      </c>
      <c r="D141" t="s">
        <v>192</v>
      </c>
      <c r="E141">
        <v>1.3277208E-4</v>
      </c>
      <c r="F141">
        <v>0</v>
      </c>
      <c r="G141" s="74">
        <v>3.4426415000000001E-6</v>
      </c>
      <c r="H141" s="74">
        <v>1.1855905999999999E-5</v>
      </c>
      <c r="I141" s="74">
        <v>5.0119188999999998E-8</v>
      </c>
      <c r="J141" s="74">
        <v>1.3426541E-5</v>
      </c>
      <c r="K141">
        <v>1.0399687000000001E-4</v>
      </c>
    </row>
    <row r="142" spans="1:11" x14ac:dyDescent="0.25">
      <c r="A142">
        <v>127</v>
      </c>
      <c r="B142" t="s">
        <v>405</v>
      </c>
      <c r="C142" t="s">
        <v>260</v>
      </c>
      <c r="D142" t="s">
        <v>192</v>
      </c>
      <c r="E142" s="74">
        <v>1.2597467999999999E-10</v>
      </c>
      <c r="F142">
        <v>0</v>
      </c>
      <c r="G142" s="74">
        <v>1.5080479E-12</v>
      </c>
      <c r="H142" s="74">
        <v>3.2159826999999999E-11</v>
      </c>
      <c r="I142" s="74">
        <v>6.6400344000000001E-14</v>
      </c>
      <c r="J142" s="74">
        <v>5.1620262000000001E-11</v>
      </c>
      <c r="K142" s="74">
        <v>4.0620145999999998E-11</v>
      </c>
    </row>
    <row r="143" spans="1:11" x14ac:dyDescent="0.25">
      <c r="A143">
        <v>128</v>
      </c>
      <c r="B143" t="s">
        <v>406</v>
      </c>
      <c r="C143" t="s">
        <v>260</v>
      </c>
      <c r="D143" t="s">
        <v>192</v>
      </c>
      <c r="E143" s="74">
        <v>5.1159452000000003E-12</v>
      </c>
      <c r="F143">
        <v>0</v>
      </c>
      <c r="G143" s="74">
        <v>1.2762214999999999E-13</v>
      </c>
      <c r="H143" s="74">
        <v>3.8649144E-13</v>
      </c>
      <c r="I143" s="74">
        <v>5.7692099999999997E-15</v>
      </c>
      <c r="J143" s="74">
        <v>5.7399158E-13</v>
      </c>
      <c r="K143" s="74">
        <v>4.0220708000000001E-12</v>
      </c>
    </row>
    <row r="144" spans="1:11" x14ac:dyDescent="0.25">
      <c r="A144">
        <v>129</v>
      </c>
      <c r="B144" t="s">
        <v>407</v>
      </c>
      <c r="C144" t="s">
        <v>260</v>
      </c>
      <c r="D144" t="s">
        <v>192</v>
      </c>
      <c r="E144" s="74">
        <v>8.9080678000000002E-13</v>
      </c>
      <c r="F144">
        <v>0</v>
      </c>
      <c r="G144" s="74">
        <v>2.9772829999999997E-14</v>
      </c>
      <c r="H144" s="74">
        <v>3.0529192000000001E-13</v>
      </c>
      <c r="I144" s="74">
        <v>3.04298E-16</v>
      </c>
      <c r="J144" s="74">
        <v>1.9740719E-13</v>
      </c>
      <c r="K144" s="74">
        <v>3.5803054000000002E-13</v>
      </c>
    </row>
    <row r="145" spans="1:11" x14ac:dyDescent="0.25">
      <c r="A145">
        <v>130</v>
      </c>
      <c r="B145" t="s">
        <v>408</v>
      </c>
      <c r="C145" t="s">
        <v>260</v>
      </c>
      <c r="D145" t="s">
        <v>192</v>
      </c>
      <c r="E145" s="74">
        <v>1.1983793E-12</v>
      </c>
      <c r="F145">
        <v>0</v>
      </c>
      <c r="G145" s="74">
        <v>6.7509067000000005E-14</v>
      </c>
      <c r="H145" s="74">
        <v>4.0188259999999999E-13</v>
      </c>
      <c r="I145" s="74">
        <v>4.2628579999999999E-16</v>
      </c>
      <c r="J145" s="74">
        <v>2.8061757999999998E-13</v>
      </c>
      <c r="K145" s="74">
        <v>4.4794371999999999E-13</v>
      </c>
    </row>
    <row r="146" spans="1:11" x14ac:dyDescent="0.25">
      <c r="A146">
        <v>131</v>
      </c>
      <c r="B146" t="s">
        <v>409</v>
      </c>
      <c r="C146" t="s">
        <v>260</v>
      </c>
      <c r="D146" t="s">
        <v>192</v>
      </c>
      <c r="E146" s="74">
        <v>7.2703464999999997E-5</v>
      </c>
      <c r="F146">
        <v>0</v>
      </c>
      <c r="G146" s="74">
        <v>1.4901574999999999E-6</v>
      </c>
      <c r="H146" s="74">
        <v>9.6945439000000005E-6</v>
      </c>
      <c r="I146" s="74">
        <v>3.6270132999999999E-8</v>
      </c>
      <c r="J146" s="74">
        <v>1.5925147E-5</v>
      </c>
      <c r="K146" s="74">
        <v>4.5557347E-5</v>
      </c>
    </row>
    <row r="147" spans="1:11" x14ac:dyDescent="0.25">
      <c r="A147">
        <v>132</v>
      </c>
      <c r="B147" t="s">
        <v>410</v>
      </c>
      <c r="C147" t="s">
        <v>260</v>
      </c>
      <c r="D147" t="s">
        <v>192</v>
      </c>
      <c r="E147" s="74">
        <v>1.238936E-8</v>
      </c>
      <c r="F147">
        <v>0</v>
      </c>
      <c r="G147" s="74">
        <v>1.0005274000000001E-9</v>
      </c>
      <c r="H147" s="74">
        <v>4.6216053999999999E-9</v>
      </c>
      <c r="I147" s="74">
        <v>2.0000228000000001E-10</v>
      </c>
      <c r="J147" s="74">
        <v>3.8247493999999999E-9</v>
      </c>
      <c r="K147" s="74">
        <v>2.7424754E-9</v>
      </c>
    </row>
    <row r="148" spans="1:11" x14ac:dyDescent="0.25">
      <c r="A148">
        <v>133</v>
      </c>
      <c r="B148" t="s">
        <v>411</v>
      </c>
      <c r="C148" t="s">
        <v>260</v>
      </c>
      <c r="D148" t="s">
        <v>192</v>
      </c>
      <c r="E148" s="74">
        <v>9.4747297000000003E-10</v>
      </c>
      <c r="F148">
        <v>0</v>
      </c>
      <c r="G148" s="74">
        <v>6.0404501E-11</v>
      </c>
      <c r="H148" s="74">
        <v>1.6312936999999999E-10</v>
      </c>
      <c r="I148" s="74">
        <v>1.0448439E-12</v>
      </c>
      <c r="J148" s="74">
        <v>1.2519305999999999E-10</v>
      </c>
      <c r="K148" s="74">
        <v>5.9770119000000004E-10</v>
      </c>
    </row>
    <row r="149" spans="1:11" x14ac:dyDescent="0.25">
      <c r="A149">
        <v>134</v>
      </c>
      <c r="B149" t="s">
        <v>412</v>
      </c>
      <c r="C149" t="s">
        <v>260</v>
      </c>
      <c r="D149" t="s">
        <v>192</v>
      </c>
      <c r="E149" s="74">
        <v>9.3758776999999998E-9</v>
      </c>
      <c r="F149">
        <v>0</v>
      </c>
      <c r="G149" s="74">
        <v>6.8040611000000002E-11</v>
      </c>
      <c r="H149" s="74">
        <v>4.3086132999999998E-10</v>
      </c>
      <c r="I149" s="74">
        <v>1.6812023999999999E-12</v>
      </c>
      <c r="J149" s="74">
        <v>2.8205175000000001E-10</v>
      </c>
      <c r="K149" s="74">
        <v>8.5932427999999992E-9</v>
      </c>
    </row>
    <row r="150" spans="1:11" x14ac:dyDescent="0.25">
      <c r="A150">
        <v>135</v>
      </c>
      <c r="B150" t="s">
        <v>413</v>
      </c>
      <c r="C150" t="s">
        <v>260</v>
      </c>
      <c r="D150" t="s">
        <v>192</v>
      </c>
      <c r="E150" s="74">
        <v>1.5627312E-9</v>
      </c>
      <c r="F150">
        <v>0</v>
      </c>
      <c r="G150" s="74">
        <v>4.3572528000000003E-11</v>
      </c>
      <c r="H150" s="74">
        <v>1.118377E-10</v>
      </c>
      <c r="I150" s="74">
        <v>2.1397143999999999E-10</v>
      </c>
      <c r="J150" s="74">
        <v>3.0465090000000001E-10</v>
      </c>
      <c r="K150" s="74">
        <v>8.8869867000000001E-10</v>
      </c>
    </row>
    <row r="151" spans="1:11" x14ac:dyDescent="0.25">
      <c r="A151">
        <v>136</v>
      </c>
      <c r="B151" t="s">
        <v>414</v>
      </c>
      <c r="C151" t="s">
        <v>260</v>
      </c>
      <c r="D151" t="s">
        <v>192</v>
      </c>
      <c r="E151" s="74">
        <v>6.5747041000000003E-8</v>
      </c>
      <c r="F151">
        <v>0</v>
      </c>
      <c r="G151" s="74">
        <v>6.5176820000000004E-9</v>
      </c>
      <c r="H151" s="74">
        <v>1.8516028000000001E-8</v>
      </c>
      <c r="I151" s="74">
        <v>1.8314924000000001E-10</v>
      </c>
      <c r="J151" s="74">
        <v>2.8515154E-8</v>
      </c>
      <c r="K151" s="74">
        <v>1.2015029E-8</v>
      </c>
    </row>
    <row r="152" spans="1:11" x14ac:dyDescent="0.25">
      <c r="A152">
        <v>137</v>
      </c>
      <c r="B152" t="s">
        <v>415</v>
      </c>
      <c r="C152" t="s">
        <v>260</v>
      </c>
      <c r="D152" t="s">
        <v>192</v>
      </c>
      <c r="E152" s="74">
        <v>2.2945016999999999E-7</v>
      </c>
      <c r="F152">
        <v>0</v>
      </c>
      <c r="G152" s="74">
        <v>1.3085709E-9</v>
      </c>
      <c r="H152" s="74">
        <v>3.1138888999999999E-9</v>
      </c>
      <c r="I152" s="74">
        <v>3.0222207000000001E-11</v>
      </c>
      <c r="J152" s="74">
        <v>2.3988773999999999E-9</v>
      </c>
      <c r="K152" s="74">
        <v>2.2259861000000001E-7</v>
      </c>
    </row>
    <row r="153" spans="1:11" x14ac:dyDescent="0.25">
      <c r="A153">
        <v>138</v>
      </c>
      <c r="B153" t="s">
        <v>416</v>
      </c>
      <c r="C153" t="s">
        <v>260</v>
      </c>
      <c r="D153" t="s">
        <v>192</v>
      </c>
      <c r="E153" s="74">
        <v>9.2688239000000001E-10</v>
      </c>
      <c r="F153">
        <v>0</v>
      </c>
      <c r="G153" s="74">
        <v>6.7928148999999996E-12</v>
      </c>
      <c r="H153" s="74">
        <v>1.9387398000000001E-11</v>
      </c>
      <c r="I153" s="74">
        <v>1.1017604E-13</v>
      </c>
      <c r="J153" s="74">
        <v>1.9751473E-11</v>
      </c>
      <c r="K153" s="74">
        <v>8.8084053000000001E-10</v>
      </c>
    </row>
    <row r="154" spans="1:11" x14ac:dyDescent="0.25">
      <c r="A154">
        <v>139</v>
      </c>
      <c r="B154" t="s">
        <v>417</v>
      </c>
      <c r="C154" t="s">
        <v>260</v>
      </c>
      <c r="D154" t="s">
        <v>192</v>
      </c>
      <c r="E154" s="74">
        <v>2.4104543E-8</v>
      </c>
      <c r="F154">
        <v>0</v>
      </c>
      <c r="G154" s="74">
        <v>3.1492906999999998E-9</v>
      </c>
      <c r="H154" s="74">
        <v>7.9174799999999998E-9</v>
      </c>
      <c r="I154" s="74">
        <v>1.9438121E-12</v>
      </c>
      <c r="J154" s="74">
        <v>1.1772324E-8</v>
      </c>
      <c r="K154" s="74">
        <v>1.2635045E-9</v>
      </c>
    </row>
    <row r="155" spans="1:11" x14ac:dyDescent="0.25">
      <c r="A155">
        <v>140</v>
      </c>
      <c r="B155" t="s">
        <v>11</v>
      </c>
      <c r="C155" t="s">
        <v>260</v>
      </c>
      <c r="D155" t="s">
        <v>192</v>
      </c>
      <c r="E155" s="74">
        <v>1.2803792999999999E-6</v>
      </c>
      <c r="F155">
        <v>0</v>
      </c>
      <c r="G155" s="74">
        <v>7.4786507999999995E-8</v>
      </c>
      <c r="H155" s="74">
        <v>2.0788226E-7</v>
      </c>
      <c r="I155" s="74">
        <v>1.6936113999999999E-9</v>
      </c>
      <c r="J155" s="74">
        <v>2.7074207999999998E-7</v>
      </c>
      <c r="K155" s="74">
        <v>7.2527488E-7</v>
      </c>
    </row>
    <row r="156" spans="1:11" x14ac:dyDescent="0.25">
      <c r="A156">
        <v>141</v>
      </c>
      <c r="B156" t="s">
        <v>418</v>
      </c>
      <c r="C156" t="s">
        <v>260</v>
      </c>
      <c r="D156" t="s">
        <v>192</v>
      </c>
      <c r="E156">
        <v>1.7781168E-3</v>
      </c>
      <c r="F156">
        <v>0</v>
      </c>
      <c r="G156" s="74">
        <v>3.8699051E-7</v>
      </c>
      <c r="H156" s="74">
        <v>3.6831409000000001E-6</v>
      </c>
      <c r="I156" s="74">
        <v>3.4747408999999998E-9</v>
      </c>
      <c r="J156">
        <v>1.7732433E-3</v>
      </c>
      <c r="K156" s="74">
        <v>7.9992346000000004E-7</v>
      </c>
    </row>
    <row r="157" spans="1:11" x14ac:dyDescent="0.25">
      <c r="A157">
        <v>142</v>
      </c>
      <c r="B157" t="s">
        <v>419</v>
      </c>
      <c r="C157" t="s">
        <v>260</v>
      </c>
      <c r="D157" t="s">
        <v>192</v>
      </c>
      <c r="E157" s="74">
        <v>3.4759841000000001E-8</v>
      </c>
      <c r="F157">
        <v>0</v>
      </c>
      <c r="G157" s="74">
        <v>4.4308874999999998E-9</v>
      </c>
      <c r="H157" s="74">
        <v>9.9176540000000004E-9</v>
      </c>
      <c r="I157" s="74">
        <v>8.9867680999999995E-11</v>
      </c>
      <c r="J157" s="74">
        <v>1.4975899999999999E-8</v>
      </c>
      <c r="K157" s="74">
        <v>5.3455312999999998E-9</v>
      </c>
    </row>
    <row r="158" spans="1:11" x14ac:dyDescent="0.25">
      <c r="A158">
        <v>143</v>
      </c>
      <c r="B158" t="s">
        <v>420</v>
      </c>
      <c r="C158" t="s">
        <v>260</v>
      </c>
      <c r="D158" t="s">
        <v>192</v>
      </c>
      <c r="E158" s="74">
        <v>2.2270670000000001E-9</v>
      </c>
      <c r="F158">
        <v>0</v>
      </c>
      <c r="G158" s="74">
        <v>1.3030943000000001E-10</v>
      </c>
      <c r="H158" s="74">
        <v>3.5315406000000001E-10</v>
      </c>
      <c r="I158" s="74">
        <v>2.2539506E-12</v>
      </c>
      <c r="J158" s="74">
        <v>2.7296034000000002E-10</v>
      </c>
      <c r="K158" s="74">
        <v>1.4683892000000001E-9</v>
      </c>
    </row>
    <row r="159" spans="1:11" x14ac:dyDescent="0.25">
      <c r="A159">
        <v>144</v>
      </c>
      <c r="B159" t="s">
        <v>421</v>
      </c>
      <c r="C159" t="s">
        <v>260</v>
      </c>
      <c r="D159" t="s">
        <v>192</v>
      </c>
      <c r="E159" s="74">
        <v>2.8592830000000002E-9</v>
      </c>
      <c r="F159">
        <v>0</v>
      </c>
      <c r="G159" s="74">
        <v>5.5471816999999999E-11</v>
      </c>
      <c r="H159" s="74">
        <v>1.486474E-10</v>
      </c>
      <c r="I159" s="74">
        <v>3.2751730000000001E-13</v>
      </c>
      <c r="J159" s="74">
        <v>1.9318996000000001E-10</v>
      </c>
      <c r="K159" s="74">
        <v>2.4616463000000001E-9</v>
      </c>
    </row>
    <row r="160" spans="1:11" x14ac:dyDescent="0.25">
      <c r="A160">
        <v>145</v>
      </c>
      <c r="B160" t="s">
        <v>422</v>
      </c>
      <c r="C160" t="s">
        <v>260</v>
      </c>
      <c r="D160" t="s">
        <v>192</v>
      </c>
      <c r="E160" s="74">
        <v>1.123964E-19</v>
      </c>
      <c r="F160">
        <v>0</v>
      </c>
      <c r="G160" s="74">
        <v>3.3802462000000001E-21</v>
      </c>
      <c r="H160" s="74">
        <v>3.8688179999999998E-20</v>
      </c>
      <c r="I160" s="74">
        <v>3.1725785000000002E-24</v>
      </c>
      <c r="J160" s="74">
        <v>6.8592681000000001E-20</v>
      </c>
      <c r="K160" s="74">
        <v>1.7321181E-21</v>
      </c>
    </row>
    <row r="161" spans="1:11" x14ac:dyDescent="0.25">
      <c r="A161">
        <v>146</v>
      </c>
      <c r="B161" t="s">
        <v>423</v>
      </c>
      <c r="C161" t="s">
        <v>260</v>
      </c>
      <c r="D161" t="s">
        <v>192</v>
      </c>
      <c r="E161" s="74">
        <v>2.9554045999999999E-6</v>
      </c>
      <c r="F161">
        <v>0</v>
      </c>
      <c r="G161" s="74">
        <v>4.079986E-7</v>
      </c>
      <c r="H161" s="74">
        <v>1.0131061999999999E-6</v>
      </c>
      <c r="I161" s="74">
        <v>1.7718861E-10</v>
      </c>
      <c r="J161" s="74">
        <v>1.523541E-6</v>
      </c>
      <c r="K161" s="74">
        <v>1.0581574E-8</v>
      </c>
    </row>
    <row r="162" spans="1:11" x14ac:dyDescent="0.25">
      <c r="A162">
        <v>147</v>
      </c>
      <c r="B162" t="s">
        <v>424</v>
      </c>
      <c r="C162" t="s">
        <v>260</v>
      </c>
      <c r="D162" t="s">
        <v>192</v>
      </c>
      <c r="E162" s="74">
        <v>5.9827727E-9</v>
      </c>
      <c r="F162">
        <v>0</v>
      </c>
      <c r="G162" s="74">
        <v>8.2606190000000003E-10</v>
      </c>
      <c r="H162" s="74">
        <v>2.0503904000000001E-9</v>
      </c>
      <c r="I162" s="74">
        <v>3.5683953999999998E-13</v>
      </c>
      <c r="J162" s="74">
        <v>3.0847602000000001E-9</v>
      </c>
      <c r="K162" s="74">
        <v>2.1203325999999999E-11</v>
      </c>
    </row>
    <row r="163" spans="1:11" x14ac:dyDescent="0.25">
      <c r="A163">
        <v>148</v>
      </c>
      <c r="B163" t="s">
        <v>425</v>
      </c>
      <c r="C163" t="s">
        <v>260</v>
      </c>
      <c r="D163" t="s">
        <v>192</v>
      </c>
      <c r="E163" s="74">
        <v>1.8114308999999999E-11</v>
      </c>
      <c r="F163">
        <v>0</v>
      </c>
      <c r="G163" s="74">
        <v>6.2783577000000005E-14</v>
      </c>
      <c r="H163" s="74">
        <v>1.741156E-11</v>
      </c>
      <c r="I163" s="74">
        <v>5.8866614999999996E-16</v>
      </c>
      <c r="J163" s="74">
        <v>3.6850608000000001E-13</v>
      </c>
      <c r="K163" s="74">
        <v>2.7087038999999998E-13</v>
      </c>
    </row>
    <row r="164" spans="1:11" x14ac:dyDescent="0.25">
      <c r="A164">
        <v>149</v>
      </c>
      <c r="B164" t="s">
        <v>426</v>
      </c>
      <c r="C164" t="s">
        <v>260</v>
      </c>
      <c r="D164" t="s">
        <v>192</v>
      </c>
      <c r="E164" s="74">
        <v>1.2001541999999999E-9</v>
      </c>
      <c r="F164">
        <v>0</v>
      </c>
      <c r="G164" s="74">
        <v>3.3957643E-13</v>
      </c>
      <c r="H164" s="74">
        <v>1.1958238999999999E-9</v>
      </c>
      <c r="I164" s="74">
        <v>4.9399328000000001E-15</v>
      </c>
      <c r="J164" s="74">
        <v>2.7438911000000002E-12</v>
      </c>
      <c r="K164" s="74">
        <v>1.2418951E-12</v>
      </c>
    </row>
    <row r="165" spans="1:11" x14ac:dyDescent="0.25">
      <c r="A165">
        <v>150</v>
      </c>
      <c r="B165" t="s">
        <v>427</v>
      </c>
      <c r="C165" t="s">
        <v>260</v>
      </c>
      <c r="D165" t="s">
        <v>192</v>
      </c>
      <c r="E165" s="74">
        <v>9.7765282000000006E-9</v>
      </c>
      <c r="F165">
        <v>0</v>
      </c>
      <c r="G165" s="74">
        <v>1.0885308E-9</v>
      </c>
      <c r="H165" s="74">
        <v>3.7465176999999997E-9</v>
      </c>
      <c r="I165" s="74">
        <v>7.9414366999999994E-12</v>
      </c>
      <c r="J165" s="74">
        <v>4.1852513999999998E-9</v>
      </c>
      <c r="K165" s="74">
        <v>7.4828699000000004E-10</v>
      </c>
    </row>
    <row r="166" spans="1:11" x14ac:dyDescent="0.25">
      <c r="A166">
        <v>151</v>
      </c>
      <c r="B166" t="s">
        <v>428</v>
      </c>
      <c r="C166" t="s">
        <v>260</v>
      </c>
      <c r="D166" t="s">
        <v>192</v>
      </c>
      <c r="E166" s="74">
        <v>1.6358105E-6</v>
      </c>
      <c r="F166">
        <v>0</v>
      </c>
      <c r="G166" s="74">
        <v>5.3116791999999998E-8</v>
      </c>
      <c r="H166" s="74">
        <v>5.3818503E-7</v>
      </c>
      <c r="I166" s="74">
        <v>1.5051582E-10</v>
      </c>
      <c r="J166" s="74">
        <v>9.5459483000000002E-7</v>
      </c>
      <c r="K166" s="74">
        <v>8.9763312000000001E-8</v>
      </c>
    </row>
    <row r="167" spans="1:11" x14ac:dyDescent="0.25">
      <c r="A167">
        <v>152</v>
      </c>
      <c r="B167" t="s">
        <v>429</v>
      </c>
      <c r="C167" t="s">
        <v>260</v>
      </c>
      <c r="D167" t="s">
        <v>192</v>
      </c>
      <c r="E167" s="74">
        <v>1.5685865000000001E-12</v>
      </c>
      <c r="F167">
        <v>0</v>
      </c>
      <c r="G167" s="74">
        <v>8.8364186000000005E-14</v>
      </c>
      <c r="H167" s="74">
        <v>5.2603347999999996E-13</v>
      </c>
      <c r="I167" s="74">
        <v>5.5797538999999999E-16</v>
      </c>
      <c r="J167" s="74">
        <v>3.6730687E-13</v>
      </c>
      <c r="K167" s="74">
        <v>5.8632395000000003E-13</v>
      </c>
    </row>
    <row r="168" spans="1:11" x14ac:dyDescent="0.25">
      <c r="A168">
        <v>153</v>
      </c>
      <c r="B168" t="s">
        <v>430</v>
      </c>
      <c r="C168" t="s">
        <v>260</v>
      </c>
      <c r="D168" t="s">
        <v>192</v>
      </c>
      <c r="E168" s="74">
        <v>2.2508208E-12</v>
      </c>
      <c r="F168">
        <v>0</v>
      </c>
      <c r="G168" s="74">
        <v>1.2679693000000001E-13</v>
      </c>
      <c r="H168" s="74">
        <v>7.5482426000000002E-13</v>
      </c>
      <c r="I168" s="74">
        <v>8.0065884999999999E-16</v>
      </c>
      <c r="J168" s="74">
        <v>5.2706175999999996E-13</v>
      </c>
      <c r="K168" s="74">
        <v>8.4133721000000001E-13</v>
      </c>
    </row>
    <row r="169" spans="1:11" x14ac:dyDescent="0.25">
      <c r="A169">
        <v>154</v>
      </c>
      <c r="B169" t="s">
        <v>431</v>
      </c>
      <c r="C169" t="s">
        <v>260</v>
      </c>
      <c r="D169" t="s">
        <v>192</v>
      </c>
      <c r="E169" s="74">
        <v>8.4393591999999996E-13</v>
      </c>
      <c r="F169">
        <v>0</v>
      </c>
      <c r="G169" s="74">
        <v>4.7541983000000001E-14</v>
      </c>
      <c r="H169" s="74">
        <v>2.8301821999999998E-13</v>
      </c>
      <c r="I169" s="74">
        <v>3.0020371E-16</v>
      </c>
      <c r="J169" s="74">
        <v>1.9761961999999999E-13</v>
      </c>
      <c r="K169" s="74">
        <v>3.1545589000000002E-13</v>
      </c>
    </row>
    <row r="170" spans="1:11" x14ac:dyDescent="0.25">
      <c r="A170">
        <v>155</v>
      </c>
      <c r="B170" t="s">
        <v>432</v>
      </c>
      <c r="C170" t="s">
        <v>260</v>
      </c>
      <c r="D170" t="s">
        <v>192</v>
      </c>
      <c r="E170" s="74">
        <v>1.9745468E-13</v>
      </c>
      <c r="F170">
        <v>0</v>
      </c>
      <c r="G170" s="74">
        <v>1.1123341E-14</v>
      </c>
      <c r="H170" s="74">
        <v>6.6217434999999996E-14</v>
      </c>
      <c r="I170" s="74">
        <v>7.0238303000000003E-17</v>
      </c>
      <c r="J170" s="74">
        <v>4.6236825999999998E-14</v>
      </c>
      <c r="K170" s="74">
        <v>7.3806838000000004E-14</v>
      </c>
    </row>
    <row r="171" spans="1:11" x14ac:dyDescent="0.25">
      <c r="A171">
        <v>156</v>
      </c>
      <c r="B171" t="s">
        <v>433</v>
      </c>
      <c r="C171" t="s">
        <v>260</v>
      </c>
      <c r="D171" t="s">
        <v>192</v>
      </c>
      <c r="E171" s="74">
        <v>3.3786689E-13</v>
      </c>
      <c r="F171">
        <v>0</v>
      </c>
      <c r="G171" s="74">
        <v>1.9033272E-14</v>
      </c>
      <c r="H171" s="74">
        <v>1.1330539E-13</v>
      </c>
      <c r="I171" s="74">
        <v>1.2018554E-16</v>
      </c>
      <c r="J171" s="74">
        <v>7.9116347000000003E-14</v>
      </c>
      <c r="K171" s="74">
        <v>1.2629170000000001E-13</v>
      </c>
    </row>
    <row r="172" spans="1:11" x14ac:dyDescent="0.25">
      <c r="A172">
        <v>157</v>
      </c>
      <c r="B172" t="s">
        <v>434</v>
      </c>
      <c r="C172" t="s">
        <v>260</v>
      </c>
      <c r="D172" t="s">
        <v>192</v>
      </c>
      <c r="E172" s="74">
        <v>3.4176723E-12</v>
      </c>
      <c r="F172">
        <v>0</v>
      </c>
      <c r="G172" s="74">
        <v>1.9252992999999999E-13</v>
      </c>
      <c r="H172" s="74">
        <v>1.1461338999999999E-12</v>
      </c>
      <c r="I172" s="74">
        <v>1.2157296E-15</v>
      </c>
      <c r="J172" s="74">
        <v>8.0029666999999999E-13</v>
      </c>
      <c r="K172" s="74">
        <v>1.2774960999999999E-12</v>
      </c>
    </row>
    <row r="173" spans="1:11" x14ac:dyDescent="0.25">
      <c r="A173">
        <v>158</v>
      </c>
      <c r="B173" t="s">
        <v>435</v>
      </c>
      <c r="C173" t="s">
        <v>260</v>
      </c>
      <c r="D173" t="s">
        <v>192</v>
      </c>
      <c r="E173" s="74">
        <v>6.5332990000000005E-13</v>
      </c>
      <c r="F173">
        <v>0</v>
      </c>
      <c r="G173" s="74">
        <v>4.3631607E-14</v>
      </c>
      <c r="H173" s="74">
        <v>1.4299695E-13</v>
      </c>
      <c r="I173" s="74">
        <v>6.0137975999999997E-16</v>
      </c>
      <c r="J173" s="74">
        <v>3.0461343E-13</v>
      </c>
      <c r="K173" s="74">
        <v>1.6148653999999999E-13</v>
      </c>
    </row>
    <row r="174" spans="1:11" x14ac:dyDescent="0.25">
      <c r="A174">
        <v>159</v>
      </c>
      <c r="B174" t="s">
        <v>436</v>
      </c>
      <c r="C174" t="s">
        <v>260</v>
      </c>
      <c r="D174" t="s">
        <v>192</v>
      </c>
      <c r="E174" s="74">
        <v>5.9347734000000001E-13</v>
      </c>
      <c r="F174">
        <v>0</v>
      </c>
      <c r="G174" s="74">
        <v>3.9625641E-14</v>
      </c>
      <c r="H174" s="74">
        <v>1.2991339999999999E-13</v>
      </c>
      <c r="I174" s="74">
        <v>5.4613819999999996E-16</v>
      </c>
      <c r="J174" s="74">
        <v>2.7663991999999998E-13</v>
      </c>
      <c r="K174" s="74">
        <v>1.4675224000000001E-13</v>
      </c>
    </row>
    <row r="175" spans="1:11" x14ac:dyDescent="0.25">
      <c r="A175">
        <v>160</v>
      </c>
      <c r="B175" t="s">
        <v>437</v>
      </c>
      <c r="C175" t="s">
        <v>260</v>
      </c>
      <c r="D175" t="s">
        <v>192</v>
      </c>
      <c r="E175" s="74">
        <v>2.1105074000000001E-6</v>
      </c>
      <c r="F175">
        <v>0</v>
      </c>
      <c r="G175" s="74">
        <v>1.9948122E-8</v>
      </c>
      <c r="H175" s="74">
        <v>5.4898586000000001E-8</v>
      </c>
      <c r="I175" s="74">
        <v>2.3603707000000002E-10</v>
      </c>
      <c r="J175" s="74">
        <v>6.3493885999999996E-8</v>
      </c>
      <c r="K175" s="74">
        <v>1.9719308E-6</v>
      </c>
    </row>
    <row r="176" spans="1:11" x14ac:dyDescent="0.25">
      <c r="A176">
        <v>161</v>
      </c>
      <c r="B176" t="s">
        <v>438</v>
      </c>
      <c r="C176" t="s">
        <v>260</v>
      </c>
      <c r="D176" t="s">
        <v>192</v>
      </c>
      <c r="E176" s="74">
        <v>4.3690877000000001E-8</v>
      </c>
      <c r="F176">
        <v>0</v>
      </c>
      <c r="G176" s="74">
        <v>4.8638351000000001E-9</v>
      </c>
      <c r="H176" s="74">
        <v>1.2700281E-8</v>
      </c>
      <c r="I176" s="74">
        <v>5.8472778E-12</v>
      </c>
      <c r="J176" s="74">
        <v>1.8245787000000002E-8</v>
      </c>
      <c r="K176" s="74">
        <v>7.8751260999999999E-9</v>
      </c>
    </row>
    <row r="177" spans="1:11" x14ac:dyDescent="0.25">
      <c r="A177">
        <v>162</v>
      </c>
      <c r="B177" t="s">
        <v>439</v>
      </c>
      <c r="C177" t="s">
        <v>260</v>
      </c>
      <c r="D177" t="s">
        <v>192</v>
      </c>
      <c r="E177" s="74">
        <v>1.270698E-11</v>
      </c>
      <c r="F177">
        <v>0</v>
      </c>
      <c r="G177" s="74">
        <v>7.1583047000000002E-13</v>
      </c>
      <c r="H177" s="74">
        <v>4.2613508000000003E-12</v>
      </c>
      <c r="I177" s="74">
        <v>4.5201094000000001E-15</v>
      </c>
      <c r="J177" s="74">
        <v>2.9755205000000001E-12</v>
      </c>
      <c r="K177" s="74">
        <v>4.7497586000000001E-12</v>
      </c>
    </row>
    <row r="178" spans="1:11" x14ac:dyDescent="0.25">
      <c r="A178">
        <v>163</v>
      </c>
      <c r="B178" t="s">
        <v>440</v>
      </c>
      <c r="C178" t="s">
        <v>260</v>
      </c>
      <c r="D178" t="s">
        <v>192</v>
      </c>
      <c r="E178" s="74">
        <v>8.0450174999999996E-6</v>
      </c>
      <c r="F178">
        <v>0</v>
      </c>
      <c r="G178" s="74">
        <v>6.740375E-7</v>
      </c>
      <c r="H178" s="74">
        <v>2.2473808000000001E-6</v>
      </c>
      <c r="I178" s="74">
        <v>5.9537603999999996E-9</v>
      </c>
      <c r="J178" s="74">
        <v>1.9993655000000001E-6</v>
      </c>
      <c r="K178" s="74">
        <v>3.1182800000000002E-6</v>
      </c>
    </row>
    <row r="179" spans="1:11" x14ac:dyDescent="0.25">
      <c r="A179">
        <v>164</v>
      </c>
      <c r="B179" t="s">
        <v>441</v>
      </c>
      <c r="C179" t="s">
        <v>260</v>
      </c>
      <c r="D179" t="s">
        <v>192</v>
      </c>
      <c r="E179" s="74">
        <v>4.8709469999999998E-13</v>
      </c>
      <c r="F179">
        <v>0</v>
      </c>
      <c r="G179" s="74">
        <v>2.9749905999999997E-14</v>
      </c>
      <c r="H179" s="74">
        <v>1.6943554999999999E-13</v>
      </c>
      <c r="I179" s="74">
        <v>2.3301142E-16</v>
      </c>
      <c r="J179" s="74">
        <v>1.2467015E-13</v>
      </c>
      <c r="K179" s="74">
        <v>1.6300608E-13</v>
      </c>
    </row>
    <row r="180" spans="1:11" x14ac:dyDescent="0.25">
      <c r="A180">
        <v>165</v>
      </c>
      <c r="B180" t="s">
        <v>442</v>
      </c>
      <c r="C180" t="s">
        <v>260</v>
      </c>
      <c r="D180" t="s">
        <v>192</v>
      </c>
      <c r="E180" s="74">
        <v>1.6968096000000001E-8</v>
      </c>
      <c r="F180">
        <v>0</v>
      </c>
      <c r="G180" s="74">
        <v>1.1817682E-9</v>
      </c>
      <c r="H180" s="74">
        <v>5.4447509000000001E-9</v>
      </c>
      <c r="I180" s="74">
        <v>5.1970037000000003E-12</v>
      </c>
      <c r="J180" s="74">
        <v>5.2433852999999998E-9</v>
      </c>
      <c r="K180" s="74">
        <v>5.0929945999999996E-9</v>
      </c>
    </row>
    <row r="181" spans="1:11" x14ac:dyDescent="0.25">
      <c r="A181">
        <v>166</v>
      </c>
      <c r="B181" t="s">
        <v>443</v>
      </c>
      <c r="C181" t="s">
        <v>260</v>
      </c>
      <c r="D181" t="s">
        <v>192</v>
      </c>
      <c r="E181" s="74">
        <v>5.7885293000000003E-8</v>
      </c>
      <c r="F181">
        <v>0</v>
      </c>
      <c r="G181" s="74">
        <v>2.9259449999999999E-9</v>
      </c>
      <c r="H181" s="74">
        <v>1.8221641000000001E-8</v>
      </c>
      <c r="I181" s="74">
        <v>2.1714320000000001E-11</v>
      </c>
      <c r="J181" s="74">
        <v>1.454944E-8</v>
      </c>
      <c r="K181" s="74">
        <v>2.2166551999999999E-8</v>
      </c>
    </row>
    <row r="182" spans="1:11" x14ac:dyDescent="0.25">
      <c r="A182">
        <v>167</v>
      </c>
      <c r="B182" t="s">
        <v>444</v>
      </c>
      <c r="C182" t="s">
        <v>260</v>
      </c>
      <c r="D182" t="s">
        <v>192</v>
      </c>
      <c r="E182" s="74">
        <v>2.5404017000000002E-9</v>
      </c>
      <c r="F182">
        <v>0</v>
      </c>
      <c r="G182" s="74">
        <v>1.4311009999999999E-10</v>
      </c>
      <c r="H182" s="74">
        <v>8.5193667999999995E-10</v>
      </c>
      <c r="I182" s="74">
        <v>9.0366981E-13</v>
      </c>
      <c r="J182" s="74">
        <v>5.9487132999999996E-10</v>
      </c>
      <c r="K182" s="74">
        <v>9.4957989999999991E-10</v>
      </c>
    </row>
    <row r="183" spans="1:11" x14ac:dyDescent="0.25">
      <c r="A183">
        <v>168</v>
      </c>
      <c r="B183" t="s">
        <v>445</v>
      </c>
      <c r="C183" t="s">
        <v>260</v>
      </c>
      <c r="D183" t="s">
        <v>446</v>
      </c>
      <c r="E183">
        <v>5.8625159000000003E-2</v>
      </c>
      <c r="F183">
        <v>0</v>
      </c>
      <c r="G183">
        <v>6.3221895000000004E-3</v>
      </c>
      <c r="H183">
        <v>1.7130873000000001E-2</v>
      </c>
      <c r="I183" s="74">
        <v>7.0199837999999996E-5</v>
      </c>
      <c r="J183">
        <v>2.9762304E-2</v>
      </c>
      <c r="K183">
        <v>5.3395934000000003E-3</v>
      </c>
    </row>
    <row r="184" spans="1:11" x14ac:dyDescent="0.25">
      <c r="A184">
        <v>169</v>
      </c>
      <c r="B184" t="s">
        <v>447</v>
      </c>
      <c r="C184" t="s">
        <v>260</v>
      </c>
      <c r="D184" t="s">
        <v>192</v>
      </c>
      <c r="E184" s="74">
        <v>4.5915660999999997E-7</v>
      </c>
      <c r="F184">
        <v>0</v>
      </c>
      <c r="G184" s="74">
        <v>1.9251156000000002E-8</v>
      </c>
      <c r="H184" s="74">
        <v>8.4365850000000001E-8</v>
      </c>
      <c r="I184" s="74">
        <v>1.1667668999999999E-10</v>
      </c>
      <c r="J184" s="74">
        <v>7.9858169000000004E-8</v>
      </c>
      <c r="K184" s="74">
        <v>2.7556476000000002E-7</v>
      </c>
    </row>
    <row r="185" spans="1:11" x14ac:dyDescent="0.25">
      <c r="A185">
        <v>170</v>
      </c>
      <c r="B185" t="s">
        <v>448</v>
      </c>
      <c r="C185" t="s">
        <v>260</v>
      </c>
      <c r="D185" t="s">
        <v>192</v>
      </c>
      <c r="E185" s="74">
        <v>1.7232618E-6</v>
      </c>
      <c r="F185">
        <v>0</v>
      </c>
      <c r="G185" s="74">
        <v>1.1390076999999999E-7</v>
      </c>
      <c r="H185" s="74">
        <v>5.5700354999999998E-7</v>
      </c>
      <c r="I185" s="74">
        <v>7.4065276999999995E-10</v>
      </c>
      <c r="J185" s="74">
        <v>4.4662483999999999E-7</v>
      </c>
      <c r="K185" s="74">
        <v>6.0499197999999995E-7</v>
      </c>
    </row>
    <row r="186" spans="1:11" x14ac:dyDescent="0.25">
      <c r="A186">
        <v>171</v>
      </c>
      <c r="B186" t="s">
        <v>449</v>
      </c>
      <c r="C186" t="s">
        <v>260</v>
      </c>
      <c r="D186" t="s">
        <v>192</v>
      </c>
      <c r="E186" s="74">
        <v>2.5103217E-5</v>
      </c>
      <c r="F186">
        <v>0</v>
      </c>
      <c r="G186" s="74">
        <v>3.8541321000000001E-7</v>
      </c>
      <c r="H186" s="74">
        <v>1.8158907999999999E-6</v>
      </c>
      <c r="I186" s="74">
        <v>4.4673269000000004E-9</v>
      </c>
      <c r="J186" s="74">
        <v>2.2793592999999999E-6</v>
      </c>
      <c r="K186" s="74">
        <v>2.0618086E-5</v>
      </c>
    </row>
    <row r="187" spans="1:11" x14ac:dyDescent="0.25">
      <c r="A187">
        <v>172</v>
      </c>
      <c r="B187" t="s">
        <v>450</v>
      </c>
      <c r="C187" t="s">
        <v>260</v>
      </c>
      <c r="D187" t="s">
        <v>192</v>
      </c>
      <c r="E187" s="74">
        <v>1.9279714999999999E-7</v>
      </c>
      <c r="F187">
        <v>0</v>
      </c>
      <c r="G187" s="74">
        <v>1.6225477000000001E-8</v>
      </c>
      <c r="H187" s="74">
        <v>5.8856201000000002E-8</v>
      </c>
      <c r="I187" s="74">
        <v>6.5075082000000001E-11</v>
      </c>
      <c r="J187" s="74">
        <v>7.9978741000000004E-8</v>
      </c>
      <c r="K187" s="74">
        <v>3.7671653999999997E-8</v>
      </c>
    </row>
    <row r="188" spans="1:11" x14ac:dyDescent="0.25">
      <c r="A188">
        <v>173</v>
      </c>
      <c r="B188" t="s">
        <v>451</v>
      </c>
      <c r="C188" t="s">
        <v>260</v>
      </c>
      <c r="D188" t="s">
        <v>192</v>
      </c>
      <c r="E188" s="74">
        <v>9.6321831000000008E-6</v>
      </c>
      <c r="F188">
        <v>0</v>
      </c>
      <c r="G188" s="74">
        <v>5.0274678000000004E-7</v>
      </c>
      <c r="H188" s="74">
        <v>1.9590659999999999E-6</v>
      </c>
      <c r="I188" s="74">
        <v>1.8850088999999999E-8</v>
      </c>
      <c r="J188" s="74">
        <v>2.6413475E-6</v>
      </c>
      <c r="K188" s="74">
        <v>4.5101727000000001E-6</v>
      </c>
    </row>
    <row r="189" spans="1:11" x14ac:dyDescent="0.25">
      <c r="A189">
        <v>174</v>
      </c>
      <c r="B189" t="s">
        <v>452</v>
      </c>
      <c r="C189" t="s">
        <v>260</v>
      </c>
      <c r="D189" t="s">
        <v>192</v>
      </c>
      <c r="E189" s="74">
        <v>8.9427571000000008E-6</v>
      </c>
      <c r="F189">
        <v>0</v>
      </c>
      <c r="G189" s="74">
        <v>1.9825724E-7</v>
      </c>
      <c r="H189" s="74">
        <v>1.2550073000000001E-6</v>
      </c>
      <c r="I189" s="74">
        <v>2.08744E-9</v>
      </c>
      <c r="J189" s="74">
        <v>1.7573964999999999E-6</v>
      </c>
      <c r="K189" s="74">
        <v>5.7300086000000001E-6</v>
      </c>
    </row>
    <row r="190" spans="1:11" x14ac:dyDescent="0.25">
      <c r="A190">
        <v>175</v>
      </c>
      <c r="B190" t="s">
        <v>453</v>
      </c>
      <c r="C190" t="s">
        <v>260</v>
      </c>
      <c r="D190" t="s">
        <v>192</v>
      </c>
      <c r="E190" s="74">
        <v>4.1016500999999999E-5</v>
      </c>
      <c r="F190">
        <v>0</v>
      </c>
      <c r="G190" s="74">
        <v>2.2975135E-7</v>
      </c>
      <c r="H190" s="74">
        <v>2.4160457E-6</v>
      </c>
      <c r="I190" s="74">
        <v>1.3863452E-8</v>
      </c>
      <c r="J190" s="74">
        <v>3.7119626999999997E-5</v>
      </c>
      <c r="K190" s="74">
        <v>1.2372129999999999E-6</v>
      </c>
    </row>
    <row r="191" spans="1:11" x14ac:dyDescent="0.25">
      <c r="A191">
        <v>176</v>
      </c>
      <c r="B191" t="s">
        <v>454</v>
      </c>
      <c r="C191" t="s">
        <v>260</v>
      </c>
      <c r="D191" t="s">
        <v>192</v>
      </c>
      <c r="E191" s="74">
        <v>1.0864012E-7</v>
      </c>
      <c r="F191">
        <v>0</v>
      </c>
      <c r="G191" s="74">
        <v>4.8292198000000003E-9</v>
      </c>
      <c r="H191" s="74">
        <v>1.3084139E-8</v>
      </c>
      <c r="I191" s="74">
        <v>3.0829640000000003E-8</v>
      </c>
      <c r="J191" s="74">
        <v>3.9798222999999998E-8</v>
      </c>
      <c r="K191" s="74">
        <v>2.0098900999999998E-8</v>
      </c>
    </row>
    <row r="192" spans="1:11" x14ac:dyDescent="0.25">
      <c r="A192">
        <v>177</v>
      </c>
      <c r="B192" t="s">
        <v>455</v>
      </c>
      <c r="C192" t="s">
        <v>260</v>
      </c>
      <c r="D192" t="s">
        <v>192</v>
      </c>
      <c r="E192" s="74">
        <v>3.2638983000000002E-9</v>
      </c>
      <c r="F192">
        <v>0</v>
      </c>
      <c r="G192" s="74">
        <v>1.839664E-10</v>
      </c>
      <c r="H192" s="74">
        <v>1.0947015E-9</v>
      </c>
      <c r="I192" s="74">
        <v>1.1612401000000001E-12</v>
      </c>
      <c r="J192" s="74">
        <v>7.6480621000000004E-10</v>
      </c>
      <c r="K192" s="74">
        <v>1.2192629999999999E-9</v>
      </c>
    </row>
    <row r="193" spans="1:11" x14ac:dyDescent="0.25">
      <c r="A193">
        <v>178</v>
      </c>
      <c r="B193" t="s">
        <v>456</v>
      </c>
      <c r="C193" t="s">
        <v>260</v>
      </c>
      <c r="D193" t="s">
        <v>192</v>
      </c>
      <c r="E193" s="74">
        <v>4.8224589999999998E-5</v>
      </c>
      <c r="F193">
        <v>0</v>
      </c>
      <c r="G193" s="74">
        <v>4.2125443000000002E-7</v>
      </c>
      <c r="H193" s="74">
        <v>2.1257151999999999E-5</v>
      </c>
      <c r="I193" s="74">
        <v>3.5573939999999999E-8</v>
      </c>
      <c r="J193" s="74">
        <v>2.4098315E-5</v>
      </c>
      <c r="K193" s="74">
        <v>2.4122947E-6</v>
      </c>
    </row>
    <row r="194" spans="1:11" x14ac:dyDescent="0.25">
      <c r="A194">
        <v>179</v>
      </c>
      <c r="B194" t="s">
        <v>457</v>
      </c>
      <c r="C194" t="s">
        <v>260</v>
      </c>
      <c r="D194" t="s">
        <v>305</v>
      </c>
      <c r="E194">
        <v>207.15679</v>
      </c>
      <c r="F194">
        <v>0</v>
      </c>
      <c r="G194">
        <v>1.4354547</v>
      </c>
      <c r="H194">
        <v>4.0865963000000001</v>
      </c>
      <c r="I194">
        <v>2.9943349000000001E-2</v>
      </c>
      <c r="J194">
        <v>3.1880747999999999</v>
      </c>
      <c r="K194">
        <v>198.41672</v>
      </c>
    </row>
    <row r="195" spans="1:11" x14ac:dyDescent="0.25">
      <c r="A195">
        <v>180</v>
      </c>
      <c r="B195" t="s">
        <v>458</v>
      </c>
      <c r="C195" t="s">
        <v>260</v>
      </c>
      <c r="D195" t="s">
        <v>192</v>
      </c>
      <c r="E195">
        <v>2.6726617999999998E-4</v>
      </c>
      <c r="F195">
        <v>0</v>
      </c>
      <c r="G195" s="74">
        <v>1.5263895000000001E-5</v>
      </c>
      <c r="H195" s="74">
        <v>7.3271151999999999E-5</v>
      </c>
      <c r="I195" s="74">
        <v>1.99335E-7</v>
      </c>
      <c r="J195">
        <v>1.2059141E-4</v>
      </c>
      <c r="K195" s="74">
        <v>5.7940392999999999E-5</v>
      </c>
    </row>
    <row r="196" spans="1:11" x14ac:dyDescent="0.25">
      <c r="A196">
        <v>181</v>
      </c>
      <c r="B196" t="s">
        <v>459</v>
      </c>
      <c r="C196" t="s">
        <v>260</v>
      </c>
      <c r="D196" t="s">
        <v>192</v>
      </c>
      <c r="E196" s="74">
        <v>2.1112832E-5</v>
      </c>
      <c r="F196">
        <v>0</v>
      </c>
      <c r="G196" s="74">
        <v>1.4966328E-6</v>
      </c>
      <c r="H196" s="74">
        <v>5.0080239E-6</v>
      </c>
      <c r="I196" s="74">
        <v>2.3827895E-8</v>
      </c>
      <c r="J196" s="74">
        <v>6.2731002999999999E-6</v>
      </c>
      <c r="K196" s="74">
        <v>8.3112471999999994E-6</v>
      </c>
    </row>
    <row r="197" spans="1:11" x14ac:dyDescent="0.25">
      <c r="A197">
        <v>182</v>
      </c>
      <c r="B197" t="s">
        <v>460</v>
      </c>
      <c r="C197" t="s">
        <v>260</v>
      </c>
      <c r="D197" t="s">
        <v>192</v>
      </c>
      <c r="E197" s="74">
        <v>4.4315636000000003E-9</v>
      </c>
      <c r="F197">
        <v>0</v>
      </c>
      <c r="G197" s="74">
        <v>6.1183998999999999E-10</v>
      </c>
      <c r="H197" s="74">
        <v>1.518922E-9</v>
      </c>
      <c r="I197" s="74">
        <v>2.6490516999999998E-13</v>
      </c>
      <c r="J197" s="74">
        <v>2.2847613999999999E-9</v>
      </c>
      <c r="K197" s="74">
        <v>1.577526E-11</v>
      </c>
    </row>
    <row r="198" spans="1:11" x14ac:dyDescent="0.25">
      <c r="A198">
        <v>183</v>
      </c>
      <c r="B198" t="s">
        <v>461</v>
      </c>
      <c r="C198" t="s">
        <v>260</v>
      </c>
      <c r="D198" t="s">
        <v>192</v>
      </c>
      <c r="E198" s="74">
        <v>1.1251344000000001E-5</v>
      </c>
      <c r="F198">
        <v>0</v>
      </c>
      <c r="G198" s="74">
        <v>1.7018424999999999E-7</v>
      </c>
      <c r="H198" s="74">
        <v>5.3292466000000002E-6</v>
      </c>
      <c r="I198" s="74">
        <v>4.9202485000000002E-9</v>
      </c>
      <c r="J198" s="74">
        <v>3.2653764000000001E-6</v>
      </c>
      <c r="K198" s="74">
        <v>2.4816169E-6</v>
      </c>
    </row>
    <row r="199" spans="1:11" x14ac:dyDescent="0.25">
      <c r="A199">
        <v>184</v>
      </c>
      <c r="B199" t="s">
        <v>462</v>
      </c>
      <c r="C199" t="s">
        <v>260</v>
      </c>
      <c r="D199" t="s">
        <v>192</v>
      </c>
      <c r="E199" s="74">
        <v>5.0541896999999995E-13</v>
      </c>
      <c r="F199">
        <v>0</v>
      </c>
      <c r="G199" s="74">
        <v>2.8472091E-14</v>
      </c>
      <c r="H199" s="74">
        <v>1.6949482999999999E-13</v>
      </c>
      <c r="I199" s="74">
        <v>1.7978692999999999E-16</v>
      </c>
      <c r="J199" s="74">
        <v>1.1835105E-13</v>
      </c>
      <c r="K199" s="74">
        <v>1.8892120999999999E-13</v>
      </c>
    </row>
    <row r="200" spans="1:11" x14ac:dyDescent="0.25">
      <c r="A200">
        <v>185</v>
      </c>
      <c r="B200" t="s">
        <v>463</v>
      </c>
      <c r="C200" t="s">
        <v>260</v>
      </c>
      <c r="D200" t="s">
        <v>192</v>
      </c>
      <c r="E200" s="74">
        <v>1.6113277E-12</v>
      </c>
      <c r="F200">
        <v>0</v>
      </c>
      <c r="G200" s="74">
        <v>9.0771954999999996E-14</v>
      </c>
      <c r="H200" s="74">
        <v>5.4036696999999998E-13</v>
      </c>
      <c r="I200" s="74">
        <v>5.7317924000000002E-16</v>
      </c>
      <c r="J200" s="74">
        <v>3.7731533000000002E-13</v>
      </c>
      <c r="K200" s="74">
        <v>6.0230025000000001E-13</v>
      </c>
    </row>
    <row r="201" spans="1:11" x14ac:dyDescent="0.25">
      <c r="A201">
        <v>186</v>
      </c>
      <c r="B201" t="s">
        <v>464</v>
      </c>
      <c r="C201" t="s">
        <v>260</v>
      </c>
      <c r="D201" t="s">
        <v>192</v>
      </c>
      <c r="E201" s="74">
        <v>3.3347900999999998E-12</v>
      </c>
      <c r="F201">
        <v>0</v>
      </c>
      <c r="G201" s="74">
        <v>1.8786087E-13</v>
      </c>
      <c r="H201" s="74">
        <v>1.1183389E-12</v>
      </c>
      <c r="I201" s="74">
        <v>1.1862469000000001E-15</v>
      </c>
      <c r="J201" s="74">
        <v>7.8088861999999999E-13</v>
      </c>
      <c r="K201" s="74">
        <v>1.2465155000000001E-12</v>
      </c>
    </row>
    <row r="202" spans="1:11" x14ac:dyDescent="0.25">
      <c r="A202">
        <v>187</v>
      </c>
      <c r="B202" t="s">
        <v>465</v>
      </c>
      <c r="C202" t="s">
        <v>260</v>
      </c>
      <c r="D202" t="s">
        <v>192</v>
      </c>
      <c r="E202" s="74">
        <v>1.5668210000000001E-14</v>
      </c>
      <c r="F202">
        <v>0</v>
      </c>
      <c r="G202" s="74">
        <v>1.0464109E-15</v>
      </c>
      <c r="H202" s="74">
        <v>3.4292998E-15</v>
      </c>
      <c r="I202" s="74">
        <v>1.4422914E-17</v>
      </c>
      <c r="J202" s="74">
        <v>7.3055256000000002E-15</v>
      </c>
      <c r="K202" s="74">
        <v>3.8725509E-15</v>
      </c>
    </row>
    <row r="203" spans="1:11" x14ac:dyDescent="0.25">
      <c r="A203">
        <v>188</v>
      </c>
      <c r="B203" t="s">
        <v>466</v>
      </c>
      <c r="C203" t="s">
        <v>260</v>
      </c>
      <c r="D203" t="s">
        <v>192</v>
      </c>
      <c r="E203" s="74">
        <v>4.8638862000000003E-7</v>
      </c>
      <c r="F203">
        <v>0</v>
      </c>
      <c r="G203" s="74">
        <v>5.7562487000000003E-8</v>
      </c>
      <c r="H203" s="74">
        <v>1.6532924999999999E-7</v>
      </c>
      <c r="I203" s="74">
        <v>1.0285331999999999E-9</v>
      </c>
      <c r="J203" s="74">
        <v>1.4493652E-7</v>
      </c>
      <c r="K203" s="74">
        <v>1.1753183E-7</v>
      </c>
    </row>
    <row r="204" spans="1:11" x14ac:dyDescent="0.25">
      <c r="A204">
        <v>189</v>
      </c>
      <c r="B204" t="s">
        <v>467</v>
      </c>
      <c r="C204" t="s">
        <v>260</v>
      </c>
      <c r="D204" t="s">
        <v>305</v>
      </c>
      <c r="E204">
        <v>5.2386214E-2</v>
      </c>
      <c r="F204">
        <v>0</v>
      </c>
      <c r="G204">
        <v>1.5135971000000001E-4</v>
      </c>
      <c r="H204">
        <v>3.6831226999999999E-4</v>
      </c>
      <c r="I204" s="74">
        <v>3.3214382000000002E-6</v>
      </c>
      <c r="J204">
        <v>2.8089012000000001E-4</v>
      </c>
      <c r="K204">
        <v>5.1582330000000003E-2</v>
      </c>
    </row>
    <row r="205" spans="1:11" x14ac:dyDescent="0.25">
      <c r="A205">
        <v>190</v>
      </c>
      <c r="B205" t="s">
        <v>468</v>
      </c>
      <c r="C205" t="s">
        <v>260</v>
      </c>
      <c r="D205" t="s">
        <v>305</v>
      </c>
      <c r="E205">
        <v>7.4681104999999998E-2</v>
      </c>
      <c r="F205">
        <v>0</v>
      </c>
      <c r="G205">
        <v>5.2917943000000004E-3</v>
      </c>
      <c r="H205">
        <v>1.1480357E-2</v>
      </c>
      <c r="I205">
        <v>1.4624428000000001E-4</v>
      </c>
      <c r="J205">
        <v>9.0692515999999997E-3</v>
      </c>
      <c r="K205">
        <v>4.8693457000000002E-2</v>
      </c>
    </row>
    <row r="206" spans="1:11" x14ac:dyDescent="0.25">
      <c r="A206">
        <v>191</v>
      </c>
      <c r="B206" t="s">
        <v>469</v>
      </c>
      <c r="C206" t="s">
        <v>260</v>
      </c>
      <c r="D206" t="s">
        <v>305</v>
      </c>
      <c r="E206">
        <v>3.4093703000000002E-3</v>
      </c>
      <c r="F206">
        <v>0</v>
      </c>
      <c r="G206" s="74">
        <v>1.1856855E-5</v>
      </c>
      <c r="H206" s="74">
        <v>2.9438495999999998E-5</v>
      </c>
      <c r="I206" s="74">
        <v>2.4859055000000001E-7</v>
      </c>
      <c r="J206" s="74">
        <v>2.2338118000000001E-5</v>
      </c>
      <c r="K206">
        <v>3.3454881999999998E-3</v>
      </c>
    </row>
    <row r="207" spans="1:11" x14ac:dyDescent="0.25">
      <c r="A207">
        <v>192</v>
      </c>
      <c r="B207" t="s">
        <v>470</v>
      </c>
      <c r="C207" t="s">
        <v>260</v>
      </c>
      <c r="D207" t="s">
        <v>192</v>
      </c>
      <c r="E207" s="74">
        <v>5.3622573999999999E-5</v>
      </c>
      <c r="F207">
        <v>0</v>
      </c>
      <c r="G207" s="74">
        <v>1.1104721E-6</v>
      </c>
      <c r="H207" s="74">
        <v>7.0920914000000004E-6</v>
      </c>
      <c r="I207" s="74">
        <v>6.1578437000000003E-9</v>
      </c>
      <c r="J207" s="74">
        <v>1.114656E-5</v>
      </c>
      <c r="K207" s="74">
        <v>3.4267292000000001E-5</v>
      </c>
    </row>
    <row r="208" spans="1:11" x14ac:dyDescent="0.25">
      <c r="A208">
        <v>193</v>
      </c>
      <c r="B208" t="s">
        <v>471</v>
      </c>
      <c r="C208" t="s">
        <v>260</v>
      </c>
      <c r="D208" t="s">
        <v>192</v>
      </c>
      <c r="E208" s="74">
        <v>3.9418225000000001E-7</v>
      </c>
      <c r="F208">
        <v>0</v>
      </c>
      <c r="G208" s="74">
        <v>9.3124589E-9</v>
      </c>
      <c r="H208" s="74">
        <v>1.9998891E-7</v>
      </c>
      <c r="I208" s="74">
        <v>1.4818328000000001E-11</v>
      </c>
      <c r="J208" s="74">
        <v>1.5946662999999999E-7</v>
      </c>
      <c r="K208" s="74">
        <v>2.5399435000000001E-8</v>
      </c>
    </row>
    <row r="209" spans="1:11" x14ac:dyDescent="0.25">
      <c r="A209">
        <v>194</v>
      </c>
      <c r="B209" t="s">
        <v>472</v>
      </c>
      <c r="C209" t="s">
        <v>260</v>
      </c>
      <c r="D209" t="s">
        <v>192</v>
      </c>
      <c r="E209" s="74">
        <v>1.9319712000000001E-10</v>
      </c>
      <c r="F209">
        <v>0</v>
      </c>
      <c r="G209" s="74">
        <v>9.7535521000000006E-12</v>
      </c>
      <c r="H209" s="74">
        <v>6.0740694999999996E-11</v>
      </c>
      <c r="I209" s="74">
        <v>7.2388348999999996E-14</v>
      </c>
      <c r="J209" s="74">
        <v>4.8502037E-11</v>
      </c>
      <c r="K209" s="74">
        <v>7.4128446999999995E-11</v>
      </c>
    </row>
    <row r="210" spans="1:11" x14ac:dyDescent="0.25">
      <c r="A210">
        <v>195</v>
      </c>
      <c r="B210" t="s">
        <v>473</v>
      </c>
      <c r="C210" t="s">
        <v>260</v>
      </c>
      <c r="D210" t="s">
        <v>192</v>
      </c>
      <c r="E210" s="74">
        <v>5.8710138000000002E-12</v>
      </c>
      <c r="F210">
        <v>0</v>
      </c>
      <c r="G210" s="74">
        <v>2.7350944999999999E-14</v>
      </c>
      <c r="H210" s="74">
        <v>5.5218362000000001E-12</v>
      </c>
      <c r="I210" s="74">
        <v>3.5553699E-16</v>
      </c>
      <c r="J210" s="74">
        <v>1.8912425000000001E-13</v>
      </c>
      <c r="K210" s="74">
        <v>1.3234682999999999E-13</v>
      </c>
    </row>
    <row r="211" spans="1:11" x14ac:dyDescent="0.25">
      <c r="A211">
        <v>196</v>
      </c>
      <c r="B211" t="s">
        <v>474</v>
      </c>
      <c r="C211" t="s">
        <v>260</v>
      </c>
      <c r="D211" t="s">
        <v>305</v>
      </c>
      <c r="E211">
        <v>3.4059783000000001</v>
      </c>
      <c r="F211">
        <v>0</v>
      </c>
      <c r="G211">
        <v>7.0922716999999996E-2</v>
      </c>
      <c r="H211">
        <v>0.15666447999999999</v>
      </c>
      <c r="I211">
        <v>1.8970152E-3</v>
      </c>
      <c r="J211">
        <v>0.12319935</v>
      </c>
      <c r="K211">
        <v>3.0532946999999999</v>
      </c>
    </row>
    <row r="212" spans="1:11" x14ac:dyDescent="0.25">
      <c r="A212">
        <v>197</v>
      </c>
      <c r="B212" t="s">
        <v>475</v>
      </c>
      <c r="C212" t="s">
        <v>260</v>
      </c>
      <c r="D212" t="s">
        <v>305</v>
      </c>
      <c r="E212">
        <v>28.195440000000001</v>
      </c>
      <c r="F212">
        <v>0</v>
      </c>
      <c r="G212">
        <v>0.10091694</v>
      </c>
      <c r="H212">
        <v>0.24981581</v>
      </c>
      <c r="I212">
        <v>2.1189272000000001E-3</v>
      </c>
      <c r="J212">
        <v>0.19020638000000001</v>
      </c>
      <c r="K212">
        <v>27.652381999999999</v>
      </c>
    </row>
    <row r="213" spans="1:11" x14ac:dyDescent="0.25">
      <c r="A213">
        <v>198</v>
      </c>
      <c r="B213" t="s">
        <v>476</v>
      </c>
      <c r="C213" t="s">
        <v>260</v>
      </c>
      <c r="D213" t="s">
        <v>305</v>
      </c>
      <c r="E213">
        <v>3.9232319000000002</v>
      </c>
      <c r="F213">
        <v>0</v>
      </c>
      <c r="G213">
        <v>1.5011731E-2</v>
      </c>
      <c r="H213">
        <v>3.6901297999999999E-2</v>
      </c>
      <c r="I213">
        <v>3.1747945000000001E-4</v>
      </c>
      <c r="J213">
        <v>2.8276375999999999E-2</v>
      </c>
      <c r="K213">
        <v>3.8427250000000002</v>
      </c>
    </row>
    <row r="214" spans="1:11" x14ac:dyDescent="0.25">
      <c r="A214">
        <v>199</v>
      </c>
      <c r="B214" t="s">
        <v>477</v>
      </c>
      <c r="C214" t="s">
        <v>260</v>
      </c>
      <c r="D214" t="s">
        <v>305</v>
      </c>
      <c r="E214">
        <v>5.1901938999999997</v>
      </c>
      <c r="F214">
        <v>0</v>
      </c>
      <c r="G214">
        <v>1.9647590999999999E-2</v>
      </c>
      <c r="H214">
        <v>4.8361730999999998E-2</v>
      </c>
      <c r="I214">
        <v>4.1406789999999999E-4</v>
      </c>
      <c r="J214">
        <v>3.7046625E-2</v>
      </c>
      <c r="K214">
        <v>5.0847239000000002</v>
      </c>
    </row>
    <row r="215" spans="1:11" x14ac:dyDescent="0.25">
      <c r="A215">
        <v>200</v>
      </c>
      <c r="B215" t="s">
        <v>478</v>
      </c>
      <c r="C215" t="s">
        <v>260</v>
      </c>
      <c r="D215" t="s">
        <v>305</v>
      </c>
      <c r="E215">
        <v>2.2112403999999999</v>
      </c>
      <c r="F215">
        <v>0</v>
      </c>
      <c r="G215">
        <v>8.2116481999999994E-3</v>
      </c>
      <c r="H215">
        <v>2.0261718000000001E-2</v>
      </c>
      <c r="I215">
        <v>1.7195561999999999E-4</v>
      </c>
      <c r="J215">
        <v>1.5512379E-2</v>
      </c>
      <c r="K215">
        <v>2.1670826999999999</v>
      </c>
    </row>
    <row r="216" spans="1:11" x14ac:dyDescent="0.25">
      <c r="A216">
        <v>201</v>
      </c>
      <c r="B216" t="s">
        <v>479</v>
      </c>
      <c r="C216" t="s">
        <v>260</v>
      </c>
      <c r="D216" t="s">
        <v>192</v>
      </c>
      <c r="E216" s="74">
        <v>6.9780939999999999E-13</v>
      </c>
      <c r="F216">
        <v>0</v>
      </c>
      <c r="G216" s="74">
        <v>2.3322512000000001E-14</v>
      </c>
      <c r="H216" s="74">
        <v>2.3914901000000001E-13</v>
      </c>
      <c r="I216" s="74">
        <v>2.3837070999999999E-16</v>
      </c>
      <c r="J216" s="74">
        <v>1.5463819E-13</v>
      </c>
      <c r="K216" s="74">
        <v>2.8046132000000001E-13</v>
      </c>
    </row>
    <row r="217" spans="1:11" x14ac:dyDescent="0.25">
      <c r="A217">
        <v>202</v>
      </c>
      <c r="B217" t="s">
        <v>480</v>
      </c>
      <c r="C217" t="s">
        <v>260</v>
      </c>
      <c r="D217" t="s">
        <v>192</v>
      </c>
      <c r="E217" s="74">
        <v>1.6227037000000001E-12</v>
      </c>
      <c r="F217">
        <v>0</v>
      </c>
      <c r="G217" s="74">
        <v>9.1412805999999998E-14</v>
      </c>
      <c r="H217" s="74">
        <v>5.4418196000000001E-13</v>
      </c>
      <c r="I217" s="74">
        <v>5.7722588999999996E-16</v>
      </c>
      <c r="J217" s="74">
        <v>3.7997917999999998E-13</v>
      </c>
      <c r="K217" s="74">
        <v>6.0655249000000002E-13</v>
      </c>
    </row>
    <row r="218" spans="1:11" x14ac:dyDescent="0.25">
      <c r="A218">
        <v>203</v>
      </c>
      <c r="B218" t="s">
        <v>481</v>
      </c>
      <c r="C218" t="s">
        <v>260</v>
      </c>
      <c r="D218" t="s">
        <v>192</v>
      </c>
      <c r="E218" s="74">
        <v>3.5575362999999998E-21</v>
      </c>
      <c r="F218">
        <v>0</v>
      </c>
      <c r="G218" s="74">
        <v>1.0699052000000001E-22</v>
      </c>
      <c r="H218" s="74">
        <v>1.2245464000000001E-21</v>
      </c>
      <c r="I218" s="74">
        <v>1.0041748E-25</v>
      </c>
      <c r="J218" s="74">
        <v>2.1710745000000001E-21</v>
      </c>
      <c r="K218" s="74">
        <v>5.4824468999999999E-23</v>
      </c>
    </row>
    <row r="219" spans="1:11" x14ac:dyDescent="0.25">
      <c r="A219">
        <v>204</v>
      </c>
      <c r="B219" t="s">
        <v>482</v>
      </c>
      <c r="C219" t="s">
        <v>260</v>
      </c>
      <c r="D219" t="s">
        <v>305</v>
      </c>
      <c r="E219">
        <v>1.0494113000000001E-4</v>
      </c>
      <c r="F219">
        <v>0</v>
      </c>
      <c r="G219" s="74">
        <v>3.8781783999999999E-7</v>
      </c>
      <c r="H219" s="74">
        <v>9.5751063999999999E-7</v>
      </c>
      <c r="I219" s="74">
        <v>8.1077167999999996E-9</v>
      </c>
      <c r="J219" s="74">
        <v>7.3296483999999995E-7</v>
      </c>
      <c r="K219">
        <v>1.0285473E-4</v>
      </c>
    </row>
    <row r="220" spans="1:11" x14ac:dyDescent="0.25">
      <c r="A220">
        <v>205</v>
      </c>
      <c r="B220" t="s">
        <v>483</v>
      </c>
      <c r="C220" t="s">
        <v>260</v>
      </c>
      <c r="D220" t="s">
        <v>192</v>
      </c>
      <c r="E220" s="74">
        <v>3.7240799999999999E-6</v>
      </c>
      <c r="F220">
        <v>0</v>
      </c>
      <c r="G220" s="74">
        <v>3.3284937000000001E-7</v>
      </c>
      <c r="H220" s="74">
        <v>1.1720261E-6</v>
      </c>
      <c r="I220" s="74">
        <v>1.3356040000000001E-9</v>
      </c>
      <c r="J220" s="74">
        <v>1.3652349E-6</v>
      </c>
      <c r="K220" s="74">
        <v>8.5263410000000003E-7</v>
      </c>
    </row>
    <row r="221" spans="1:11" x14ac:dyDescent="0.25">
      <c r="A221">
        <v>206</v>
      </c>
      <c r="B221" t="s">
        <v>484</v>
      </c>
      <c r="C221" t="s">
        <v>260</v>
      </c>
      <c r="D221" t="s">
        <v>305</v>
      </c>
      <c r="E221">
        <v>0.40219590999999999</v>
      </c>
      <c r="F221">
        <v>0</v>
      </c>
      <c r="G221">
        <v>2.7639685000000001E-2</v>
      </c>
      <c r="H221">
        <v>0.11244613000000001</v>
      </c>
      <c r="I221">
        <v>4.1419107E-4</v>
      </c>
      <c r="J221">
        <v>0.14011211000000001</v>
      </c>
      <c r="K221">
        <v>0.12158380000000001</v>
      </c>
    </row>
    <row r="222" spans="1:11" x14ac:dyDescent="0.25">
      <c r="A222">
        <v>207</v>
      </c>
      <c r="B222" t="s">
        <v>485</v>
      </c>
      <c r="C222" t="s">
        <v>260</v>
      </c>
      <c r="D222" t="s">
        <v>192</v>
      </c>
      <c r="E222" s="74">
        <v>4.6539193000000004E-13</v>
      </c>
      <c r="F222">
        <v>0</v>
      </c>
      <c r="G222" s="74">
        <v>5.0431068000000003E-14</v>
      </c>
      <c r="H222" s="74">
        <v>1.2984912E-13</v>
      </c>
      <c r="I222" s="74">
        <v>8.7901306000000002E-17</v>
      </c>
      <c r="J222" s="74">
        <v>2.0289660000000001E-13</v>
      </c>
      <c r="K222" s="74">
        <v>8.2127240000000004E-14</v>
      </c>
    </row>
    <row r="223" spans="1:11" x14ac:dyDescent="0.25">
      <c r="A223">
        <v>208</v>
      </c>
      <c r="B223" t="s">
        <v>486</v>
      </c>
      <c r="C223" t="s">
        <v>260</v>
      </c>
      <c r="D223" t="s">
        <v>192</v>
      </c>
      <c r="E223" s="74">
        <v>3.6140956999999998E-7</v>
      </c>
      <c r="F223">
        <v>0</v>
      </c>
      <c r="G223" s="74">
        <v>1.3817384999999999E-8</v>
      </c>
      <c r="H223" s="74">
        <v>6.4600002999999994E-8</v>
      </c>
      <c r="I223" s="74">
        <v>5.3239497000000002E-11</v>
      </c>
      <c r="J223" s="74">
        <v>7.6842320000000004E-8</v>
      </c>
      <c r="K223" s="74">
        <v>2.0609663E-7</v>
      </c>
    </row>
    <row r="224" spans="1:11" x14ac:dyDescent="0.25">
      <c r="A224">
        <v>209</v>
      </c>
      <c r="B224" t="s">
        <v>487</v>
      </c>
      <c r="C224" t="s">
        <v>260</v>
      </c>
      <c r="D224" t="s">
        <v>192</v>
      </c>
      <c r="E224" s="74">
        <v>1.6667622E-5</v>
      </c>
      <c r="F224">
        <v>0</v>
      </c>
      <c r="G224" s="74">
        <v>4.5776149999999998E-7</v>
      </c>
      <c r="H224" s="74">
        <v>4.3055997000000001E-6</v>
      </c>
      <c r="I224" s="74">
        <v>1.8589237E-9</v>
      </c>
      <c r="J224" s="74">
        <v>7.3775771999999998E-6</v>
      </c>
      <c r="K224" s="74">
        <v>4.5248252000000002E-6</v>
      </c>
    </row>
    <row r="225" spans="1:11" x14ac:dyDescent="0.25">
      <c r="A225">
        <v>210</v>
      </c>
      <c r="B225" t="s">
        <v>488</v>
      </c>
      <c r="C225" t="s">
        <v>260</v>
      </c>
      <c r="D225" t="s">
        <v>192</v>
      </c>
      <c r="E225" s="74">
        <v>1.7112240000000001E-6</v>
      </c>
      <c r="F225">
        <v>0</v>
      </c>
      <c r="G225" s="74">
        <v>7.0854313000000004E-8</v>
      </c>
      <c r="H225" s="74">
        <v>2.2833435999999999E-7</v>
      </c>
      <c r="I225" s="74">
        <v>4.3847367999999999E-10</v>
      </c>
      <c r="J225" s="74">
        <v>3.0214961999999999E-7</v>
      </c>
      <c r="K225" s="74">
        <v>1.1094472E-6</v>
      </c>
    </row>
    <row r="226" spans="1:11" x14ac:dyDescent="0.25">
      <c r="A226">
        <v>211</v>
      </c>
      <c r="B226" t="s">
        <v>489</v>
      </c>
      <c r="C226" t="s">
        <v>260</v>
      </c>
      <c r="D226" t="s">
        <v>305</v>
      </c>
      <c r="E226" s="74">
        <v>9.7681052000000008E-6</v>
      </c>
      <c r="F226">
        <v>0</v>
      </c>
      <c r="G226" s="74">
        <v>3.6098767999999997E-8</v>
      </c>
      <c r="H226" s="74">
        <v>8.9126775999999996E-8</v>
      </c>
      <c r="I226" s="74">
        <v>7.5468056000000004E-10</v>
      </c>
      <c r="J226" s="74">
        <v>6.8225657999999995E-8</v>
      </c>
      <c r="K226" s="74">
        <v>9.5738993000000004E-6</v>
      </c>
    </row>
    <row r="227" spans="1:11" x14ac:dyDescent="0.25">
      <c r="A227">
        <v>212</v>
      </c>
      <c r="B227" t="s">
        <v>490</v>
      </c>
      <c r="C227" t="s">
        <v>260</v>
      </c>
      <c r="D227" t="s">
        <v>192</v>
      </c>
      <c r="E227" s="74">
        <v>6.6777787E-19</v>
      </c>
      <c r="F227">
        <v>0</v>
      </c>
      <c r="G227" s="74">
        <v>3.0977125000000003E-20</v>
      </c>
      <c r="H227" s="74">
        <v>2.2948163000000002E-19</v>
      </c>
      <c r="I227" s="74">
        <v>4.1959520999999999E-22</v>
      </c>
      <c r="J227" s="74">
        <v>3.9769766999999999E-19</v>
      </c>
      <c r="K227" s="74">
        <v>9.2018544000000003E-21</v>
      </c>
    </row>
    <row r="228" spans="1:11" x14ac:dyDescent="0.25">
      <c r="A228">
        <v>213</v>
      </c>
      <c r="B228" t="s">
        <v>491</v>
      </c>
      <c r="C228" t="s">
        <v>260</v>
      </c>
      <c r="D228" t="s">
        <v>192</v>
      </c>
      <c r="E228" s="74">
        <v>6.8611262000000002E-8</v>
      </c>
      <c r="F228">
        <v>0</v>
      </c>
      <c r="G228" s="74">
        <v>4.7865443999999996E-9</v>
      </c>
      <c r="H228" s="74">
        <v>1.92098E-8</v>
      </c>
      <c r="I228" s="74">
        <v>3.5614660000000001E-10</v>
      </c>
      <c r="J228" s="74">
        <v>2.2332936000000002E-8</v>
      </c>
      <c r="K228" s="74">
        <v>2.1925835000000001E-8</v>
      </c>
    </row>
    <row r="229" spans="1:11" x14ac:dyDescent="0.25">
      <c r="A229">
        <v>214</v>
      </c>
      <c r="B229" t="s">
        <v>492</v>
      </c>
      <c r="C229" t="s">
        <v>260</v>
      </c>
      <c r="D229" t="s">
        <v>192</v>
      </c>
      <c r="E229" s="74">
        <v>9.6725727999999995E-9</v>
      </c>
      <c r="F229">
        <v>0</v>
      </c>
      <c r="G229" s="74">
        <v>1.0085404E-9</v>
      </c>
      <c r="H229" s="74">
        <v>2.7002061000000001E-9</v>
      </c>
      <c r="I229" s="74">
        <v>1.6027968E-12</v>
      </c>
      <c r="J229" s="74">
        <v>4.2574624999999999E-9</v>
      </c>
      <c r="K229" s="74">
        <v>1.7047611E-9</v>
      </c>
    </row>
    <row r="230" spans="1:11" x14ac:dyDescent="0.25">
      <c r="A230">
        <v>215</v>
      </c>
      <c r="B230" t="s">
        <v>493</v>
      </c>
      <c r="C230" t="s">
        <v>260</v>
      </c>
      <c r="D230" t="s">
        <v>192</v>
      </c>
      <c r="E230">
        <v>6.0962403999999997E-4</v>
      </c>
      <c r="F230">
        <v>0</v>
      </c>
      <c r="G230" s="74">
        <v>9.0725723000000001E-6</v>
      </c>
      <c r="H230" s="74">
        <v>4.0650617E-5</v>
      </c>
      <c r="I230" s="74">
        <v>1.5013502000000001E-7</v>
      </c>
      <c r="J230" s="74">
        <v>9.1730574999999997E-5</v>
      </c>
      <c r="K230">
        <v>4.6802014000000002E-4</v>
      </c>
    </row>
    <row r="231" spans="1:11" x14ac:dyDescent="0.25">
      <c r="A231">
        <v>216</v>
      </c>
      <c r="B231" t="s">
        <v>494</v>
      </c>
      <c r="C231" t="s">
        <v>260</v>
      </c>
      <c r="D231" t="s">
        <v>192</v>
      </c>
      <c r="E231" s="74">
        <v>3.4814495E-13</v>
      </c>
      <c r="F231">
        <v>0</v>
      </c>
      <c r="G231" s="74">
        <v>6.3773294999999997E-16</v>
      </c>
      <c r="H231" s="74">
        <v>2.8574497E-15</v>
      </c>
      <c r="I231" s="74">
        <v>1.1493651E-17</v>
      </c>
      <c r="J231" s="74">
        <v>5.6508117999999997E-15</v>
      </c>
      <c r="K231" s="74">
        <v>3.3898747000000002E-13</v>
      </c>
    </row>
    <row r="232" spans="1:11" x14ac:dyDescent="0.25">
      <c r="A232">
        <v>217</v>
      </c>
      <c r="B232" t="s">
        <v>495</v>
      </c>
      <c r="C232" t="s">
        <v>260</v>
      </c>
      <c r="D232" t="s">
        <v>192</v>
      </c>
      <c r="E232" s="74">
        <v>1.2312815E-8</v>
      </c>
      <c r="F232">
        <v>0</v>
      </c>
      <c r="G232" s="74">
        <v>1.1001093E-10</v>
      </c>
      <c r="H232" s="74">
        <v>6.8775077999999999E-10</v>
      </c>
      <c r="I232" s="74">
        <v>2.3292015999999999E-12</v>
      </c>
      <c r="J232" s="74">
        <v>1.6663094E-9</v>
      </c>
      <c r="K232" s="74">
        <v>9.8464147000000008E-9</v>
      </c>
    </row>
    <row r="233" spans="1:11" x14ac:dyDescent="0.25">
      <c r="A233">
        <v>218</v>
      </c>
      <c r="B233" t="s">
        <v>496</v>
      </c>
      <c r="C233" t="s">
        <v>260</v>
      </c>
      <c r="D233" t="s">
        <v>192</v>
      </c>
      <c r="E233" s="74">
        <v>1.5084051000000001E-8</v>
      </c>
      <c r="F233">
        <v>0</v>
      </c>
      <c r="G233" s="74">
        <v>4.1854851E-10</v>
      </c>
      <c r="H233" s="74">
        <v>2.0516645000000001E-9</v>
      </c>
      <c r="I233" s="74">
        <v>3.1928515000000001E-12</v>
      </c>
      <c r="J233" s="74">
        <v>1.752931E-9</v>
      </c>
      <c r="K233" s="74">
        <v>1.0857714E-8</v>
      </c>
    </row>
    <row r="234" spans="1:11" x14ac:dyDescent="0.25">
      <c r="A234">
        <v>219</v>
      </c>
      <c r="B234" t="s">
        <v>497</v>
      </c>
      <c r="C234" t="s">
        <v>260</v>
      </c>
      <c r="D234" t="s">
        <v>192</v>
      </c>
      <c r="E234" s="74">
        <v>7.3525526999999998E-8</v>
      </c>
      <c r="F234">
        <v>0</v>
      </c>
      <c r="G234" s="74">
        <v>2.2306617E-9</v>
      </c>
      <c r="H234" s="74">
        <v>8.9986099999999998E-9</v>
      </c>
      <c r="I234" s="74">
        <v>1.1894854E-10</v>
      </c>
      <c r="J234" s="74">
        <v>2.4487592E-8</v>
      </c>
      <c r="K234" s="74">
        <v>3.7689713999999997E-8</v>
      </c>
    </row>
    <row r="235" spans="1:11" x14ac:dyDescent="0.25">
      <c r="A235">
        <v>220</v>
      </c>
      <c r="B235" t="s">
        <v>498</v>
      </c>
      <c r="C235" t="s">
        <v>260</v>
      </c>
      <c r="D235" t="s">
        <v>192</v>
      </c>
      <c r="E235" s="74">
        <v>1.4761296000000001E-8</v>
      </c>
      <c r="F235">
        <v>0</v>
      </c>
      <c r="G235" s="74">
        <v>9.4402461999999991E-10</v>
      </c>
      <c r="H235" s="74">
        <v>2.5787516000000001E-9</v>
      </c>
      <c r="I235" s="74">
        <v>1.7466792999999999E-11</v>
      </c>
      <c r="J235" s="74">
        <v>2.3065905000000002E-9</v>
      </c>
      <c r="K235" s="74">
        <v>8.9144627999999999E-9</v>
      </c>
    </row>
    <row r="236" spans="1:11" x14ac:dyDescent="0.25">
      <c r="A236">
        <v>221</v>
      </c>
      <c r="B236" t="s">
        <v>499</v>
      </c>
      <c r="C236" t="s">
        <v>260</v>
      </c>
      <c r="D236" t="s">
        <v>192</v>
      </c>
      <c r="E236" s="74">
        <v>3.3636969000000001E-10</v>
      </c>
      <c r="F236">
        <v>0</v>
      </c>
      <c r="G236" s="74">
        <v>2.0707572E-11</v>
      </c>
      <c r="H236" s="74">
        <v>6.3040858999999995E-11</v>
      </c>
      <c r="I236" s="74">
        <v>1.9794496E-13</v>
      </c>
      <c r="J236" s="74">
        <v>1.1701176E-10</v>
      </c>
      <c r="K236" s="74">
        <v>1.3541155E-10</v>
      </c>
    </row>
    <row r="237" spans="1:11" x14ac:dyDescent="0.25">
      <c r="A237">
        <v>222</v>
      </c>
      <c r="B237" t="s">
        <v>500</v>
      </c>
      <c r="C237" t="s">
        <v>260</v>
      </c>
      <c r="D237" t="s">
        <v>192</v>
      </c>
      <c r="E237" s="74">
        <v>2.6280059999999999E-12</v>
      </c>
      <c r="F237">
        <v>0</v>
      </c>
      <c r="G237" s="74">
        <v>2.4499115999999999E-13</v>
      </c>
      <c r="H237" s="74">
        <v>7.4860201999999998E-13</v>
      </c>
      <c r="I237" s="74">
        <v>2.1572617E-15</v>
      </c>
      <c r="J237" s="74">
        <v>1.4279689E-12</v>
      </c>
      <c r="K237" s="74">
        <v>2.0428662000000001E-13</v>
      </c>
    </row>
    <row r="238" spans="1:11" x14ac:dyDescent="0.25">
      <c r="A238">
        <v>223</v>
      </c>
      <c r="B238" t="s">
        <v>501</v>
      </c>
      <c r="C238" t="s">
        <v>260</v>
      </c>
      <c r="D238" t="s">
        <v>192</v>
      </c>
      <c r="E238">
        <v>1.8075016999999999E-2</v>
      </c>
      <c r="F238">
        <v>0</v>
      </c>
      <c r="G238">
        <v>2.1796857E-4</v>
      </c>
      <c r="H238">
        <v>1.0662136000000001E-3</v>
      </c>
      <c r="I238" s="74">
        <v>3.9082992999999999E-6</v>
      </c>
      <c r="J238">
        <v>1.0825082E-2</v>
      </c>
      <c r="K238">
        <v>5.9618444999999997E-3</v>
      </c>
    </row>
    <row r="239" spans="1:11" x14ac:dyDescent="0.25">
      <c r="A239">
        <v>224</v>
      </c>
      <c r="B239" t="s">
        <v>502</v>
      </c>
      <c r="C239" t="s">
        <v>260</v>
      </c>
      <c r="D239" t="s">
        <v>192</v>
      </c>
      <c r="E239" s="74">
        <v>8.8957491000000001E-8</v>
      </c>
      <c r="F239">
        <v>0</v>
      </c>
      <c r="G239" s="74">
        <v>4.2592275E-9</v>
      </c>
      <c r="H239" s="74">
        <v>2.9093962E-8</v>
      </c>
      <c r="I239" s="74">
        <v>3.1735667999999999E-11</v>
      </c>
      <c r="J239" s="74">
        <v>2.1247923999999998E-8</v>
      </c>
      <c r="K239" s="74">
        <v>3.4324642000000003E-8</v>
      </c>
    </row>
    <row r="240" spans="1:11" x14ac:dyDescent="0.25">
      <c r="A240">
        <v>225</v>
      </c>
      <c r="B240" t="s">
        <v>503</v>
      </c>
      <c r="C240" t="s">
        <v>260</v>
      </c>
      <c r="D240" t="s">
        <v>192</v>
      </c>
      <c r="E240" s="74">
        <v>2.5087573999999999E-8</v>
      </c>
      <c r="F240">
        <v>0</v>
      </c>
      <c r="G240" s="74">
        <v>1.5997965999999999E-9</v>
      </c>
      <c r="H240" s="74">
        <v>4.3204159000000002E-9</v>
      </c>
      <c r="I240" s="74">
        <v>2.7672397000000001E-11</v>
      </c>
      <c r="J240" s="74">
        <v>3.3156252000000002E-9</v>
      </c>
      <c r="K240" s="74">
        <v>1.5824064E-8</v>
      </c>
    </row>
    <row r="241" spans="1:11" x14ac:dyDescent="0.25">
      <c r="A241">
        <v>226</v>
      </c>
      <c r="B241" t="s">
        <v>504</v>
      </c>
      <c r="C241" t="s">
        <v>260</v>
      </c>
      <c r="D241" t="s">
        <v>192</v>
      </c>
      <c r="E241" s="74">
        <v>2.3083631000000002E-8</v>
      </c>
      <c r="F241">
        <v>0</v>
      </c>
      <c r="G241" s="74">
        <v>1.5849266999999999E-10</v>
      </c>
      <c r="H241" s="74">
        <v>1.7687707999999999E-8</v>
      </c>
      <c r="I241" s="74">
        <v>1.5748388000000001E-11</v>
      </c>
      <c r="J241" s="74">
        <v>4.6271107000000004E-9</v>
      </c>
      <c r="K241" s="74">
        <v>5.9457208000000001E-10</v>
      </c>
    </row>
    <row r="242" spans="1:11" x14ac:dyDescent="0.25">
      <c r="A242">
        <v>227</v>
      </c>
      <c r="B242" t="s">
        <v>505</v>
      </c>
      <c r="C242" t="s">
        <v>260</v>
      </c>
      <c r="D242" t="s">
        <v>192</v>
      </c>
      <c r="E242" s="74">
        <v>1.1234699E-7</v>
      </c>
      <c r="F242">
        <v>0</v>
      </c>
      <c r="G242" s="74">
        <v>1.2508883E-8</v>
      </c>
      <c r="H242" s="74">
        <v>3.2643368000000001E-8</v>
      </c>
      <c r="I242" s="74">
        <v>1.5051692E-11</v>
      </c>
      <c r="J242" s="74">
        <v>4.6923231E-8</v>
      </c>
      <c r="K242" s="74">
        <v>2.0256453999999999E-8</v>
      </c>
    </row>
    <row r="243" spans="1:11" x14ac:dyDescent="0.25">
      <c r="A243">
        <v>228</v>
      </c>
      <c r="B243" t="s">
        <v>506</v>
      </c>
      <c r="C243" t="s">
        <v>260</v>
      </c>
      <c r="D243" t="s">
        <v>192</v>
      </c>
      <c r="E243" s="74">
        <v>2.8907483999999999E-12</v>
      </c>
      <c r="F243">
        <v>0</v>
      </c>
      <c r="G243" s="74">
        <v>2.7027575999999999E-13</v>
      </c>
      <c r="H243" s="74">
        <v>8.2586799999999995E-13</v>
      </c>
      <c r="I243" s="74">
        <v>2.3797860999999999E-15</v>
      </c>
      <c r="J243" s="74">
        <v>1.5753897E-12</v>
      </c>
      <c r="K243" s="74">
        <v>2.1683514999999999E-13</v>
      </c>
    </row>
    <row r="244" spans="1:11" x14ac:dyDescent="0.25">
      <c r="A244">
        <v>229</v>
      </c>
      <c r="B244" t="s">
        <v>507</v>
      </c>
      <c r="C244" t="s">
        <v>260</v>
      </c>
      <c r="D244" t="s">
        <v>192</v>
      </c>
      <c r="E244" s="74">
        <v>8.3618372000000003E-10</v>
      </c>
      <c r="F244">
        <v>0</v>
      </c>
      <c r="G244" s="74">
        <v>7.7951732000000004E-11</v>
      </c>
      <c r="H244" s="74">
        <v>2.3819155000000001E-10</v>
      </c>
      <c r="I244" s="74">
        <v>6.8640146E-13</v>
      </c>
      <c r="J244" s="74">
        <v>4.5435374999999999E-10</v>
      </c>
      <c r="K244" s="74">
        <v>6.5000286999999999E-11</v>
      </c>
    </row>
    <row r="245" spans="1:11" x14ac:dyDescent="0.25">
      <c r="A245">
        <v>230</v>
      </c>
      <c r="B245" t="s">
        <v>508</v>
      </c>
      <c r="C245" t="s">
        <v>260</v>
      </c>
      <c r="D245" t="s">
        <v>192</v>
      </c>
      <c r="E245" s="74">
        <v>4.4642050000000002E-13</v>
      </c>
      <c r="F245">
        <v>0</v>
      </c>
      <c r="G245" s="74">
        <v>2.4257047000000001E-14</v>
      </c>
      <c r="H245" s="74">
        <v>1.5120873999999999E-13</v>
      </c>
      <c r="I245" s="74">
        <v>1.6198037E-16</v>
      </c>
      <c r="J245" s="74">
        <v>1.1415157999999999E-13</v>
      </c>
      <c r="K245" s="74">
        <v>1.5664115000000001E-13</v>
      </c>
    </row>
    <row r="246" spans="1:11" x14ac:dyDescent="0.25">
      <c r="A246">
        <v>231</v>
      </c>
      <c r="B246" t="s">
        <v>44</v>
      </c>
      <c r="C246" t="s">
        <v>260</v>
      </c>
      <c r="D246" t="s">
        <v>192</v>
      </c>
      <c r="E246" s="74">
        <v>1.5744116000000001E-6</v>
      </c>
      <c r="F246">
        <v>0</v>
      </c>
      <c r="G246" s="74">
        <v>6.4630525000000002E-8</v>
      </c>
      <c r="H246" s="74">
        <v>4.2425419999999999E-7</v>
      </c>
      <c r="I246" s="74">
        <v>7.4242811999999999E-10</v>
      </c>
      <c r="J246" s="74">
        <v>2.9174422E-7</v>
      </c>
      <c r="K246" s="74">
        <v>7.9304026E-7</v>
      </c>
    </row>
    <row r="247" spans="1:11" x14ac:dyDescent="0.25">
      <c r="A247">
        <v>232</v>
      </c>
      <c r="B247" t="s">
        <v>509</v>
      </c>
      <c r="C247" t="s">
        <v>260</v>
      </c>
      <c r="D247" t="s">
        <v>192</v>
      </c>
      <c r="E247" s="74">
        <v>3.8449355000000001E-19</v>
      </c>
      <c r="F247">
        <v>0</v>
      </c>
      <c r="G247" s="74">
        <v>1.1563385E-20</v>
      </c>
      <c r="H247" s="74">
        <v>1.3234725999999999E-19</v>
      </c>
      <c r="I247" s="74">
        <v>1.0852981E-23</v>
      </c>
      <c r="J247" s="74">
        <v>2.3464670000000002E-19</v>
      </c>
      <c r="K247" s="74">
        <v>5.9253520000000001E-21</v>
      </c>
    </row>
    <row r="248" spans="1:11" x14ac:dyDescent="0.25">
      <c r="A248">
        <v>233</v>
      </c>
      <c r="B248" t="s">
        <v>510</v>
      </c>
      <c r="C248" t="s">
        <v>260</v>
      </c>
      <c r="D248" t="s">
        <v>192</v>
      </c>
      <c r="E248" s="74">
        <v>6.3586262999999995E-14</v>
      </c>
      <c r="F248">
        <v>0</v>
      </c>
      <c r="G248" s="74">
        <v>3.4940794999999999E-15</v>
      </c>
      <c r="H248" s="74">
        <v>2.1520460999999998E-14</v>
      </c>
      <c r="I248" s="74">
        <v>2.5290024000000001E-17</v>
      </c>
      <c r="J248" s="74">
        <v>1.6454643999999999E-14</v>
      </c>
      <c r="K248" s="74">
        <v>2.2091789E-14</v>
      </c>
    </row>
    <row r="249" spans="1:11" x14ac:dyDescent="0.25">
      <c r="A249">
        <v>234</v>
      </c>
      <c r="B249" t="s">
        <v>511</v>
      </c>
      <c r="C249" t="s">
        <v>260</v>
      </c>
      <c r="D249" t="s">
        <v>192</v>
      </c>
      <c r="E249" s="74">
        <v>6.0481621000000002E-9</v>
      </c>
      <c r="F249">
        <v>0</v>
      </c>
      <c r="G249" s="74">
        <v>8.3507741000000002E-10</v>
      </c>
      <c r="H249" s="74">
        <v>2.0727865E-9</v>
      </c>
      <c r="I249" s="74">
        <v>3.6081939999999998E-13</v>
      </c>
      <c r="J249" s="74">
        <v>3.1184363999999999E-9</v>
      </c>
      <c r="K249" s="74">
        <v>2.1501069E-11</v>
      </c>
    </row>
    <row r="250" spans="1:11" x14ac:dyDescent="0.25">
      <c r="A250">
        <v>235</v>
      </c>
      <c r="B250" t="s">
        <v>512</v>
      </c>
      <c r="C250" t="s">
        <v>260</v>
      </c>
      <c r="D250" t="s">
        <v>192</v>
      </c>
      <c r="E250" s="74">
        <v>2.5260064999999998E-13</v>
      </c>
      <c r="F250">
        <v>0</v>
      </c>
      <c r="G250" s="74">
        <v>1.7400182999999999E-14</v>
      </c>
      <c r="H250" s="74">
        <v>8.7211400999999995E-14</v>
      </c>
      <c r="I250" s="74">
        <v>1.0402250000000001E-16</v>
      </c>
      <c r="J250" s="74">
        <v>7.2558272999999997E-14</v>
      </c>
      <c r="K250" s="74">
        <v>7.5326774000000006E-14</v>
      </c>
    </row>
    <row r="251" spans="1:11" x14ac:dyDescent="0.25">
      <c r="A251">
        <v>236</v>
      </c>
      <c r="B251" t="s">
        <v>513</v>
      </c>
      <c r="C251" t="s">
        <v>260</v>
      </c>
      <c r="D251" t="s">
        <v>192</v>
      </c>
      <c r="E251" s="74">
        <v>2.9563028E-6</v>
      </c>
      <c r="F251">
        <v>0</v>
      </c>
      <c r="G251" s="74">
        <v>4.0801258E-7</v>
      </c>
      <c r="H251" s="74">
        <v>1.0139160999999999E-6</v>
      </c>
      <c r="I251" s="74">
        <v>1.7719897000000001E-10</v>
      </c>
      <c r="J251" s="74">
        <v>1.5235949E-6</v>
      </c>
      <c r="K251" s="74">
        <v>1.0601962000000001E-8</v>
      </c>
    </row>
    <row r="252" spans="1:11" x14ac:dyDescent="0.25">
      <c r="A252">
        <v>237</v>
      </c>
      <c r="B252" t="s">
        <v>514</v>
      </c>
      <c r="C252" t="s">
        <v>260</v>
      </c>
      <c r="D252" t="s">
        <v>192</v>
      </c>
      <c r="E252" s="74">
        <v>9.8728458000000003E-12</v>
      </c>
      <c r="F252">
        <v>0</v>
      </c>
      <c r="G252" s="74">
        <v>1.3505938E-12</v>
      </c>
      <c r="H252" s="74">
        <v>3.3842702999999998E-12</v>
      </c>
      <c r="I252" s="74">
        <v>6.5699319999999997E-16</v>
      </c>
      <c r="J252" s="74">
        <v>5.0481385000000003E-12</v>
      </c>
      <c r="K252" s="74">
        <v>8.9186182999999996E-14</v>
      </c>
    </row>
    <row r="253" spans="1:11" x14ac:dyDescent="0.25">
      <c r="A253">
        <v>238</v>
      </c>
      <c r="B253" t="s">
        <v>515</v>
      </c>
      <c r="C253" t="s">
        <v>260</v>
      </c>
      <c r="D253" t="s">
        <v>192</v>
      </c>
      <c r="E253" s="74">
        <v>7.6607300999999999E-13</v>
      </c>
      <c r="F253">
        <v>0</v>
      </c>
      <c r="G253" s="74">
        <v>2.5603903E-14</v>
      </c>
      <c r="H253" s="74">
        <v>2.6254393E-13</v>
      </c>
      <c r="I253" s="74">
        <v>2.6168906999999999E-16</v>
      </c>
      <c r="J253" s="74">
        <v>1.6976551000000001E-13</v>
      </c>
      <c r="K253" s="74">
        <v>3.0789798000000002E-13</v>
      </c>
    </row>
    <row r="254" spans="1:11" x14ac:dyDescent="0.25">
      <c r="A254">
        <v>239</v>
      </c>
      <c r="B254" t="s">
        <v>516</v>
      </c>
      <c r="C254" t="s">
        <v>260</v>
      </c>
      <c r="D254" t="s">
        <v>192</v>
      </c>
      <c r="E254" s="74">
        <v>1.9698198000000001E-11</v>
      </c>
      <c r="F254">
        <v>0</v>
      </c>
      <c r="G254" s="74">
        <v>2.5474713999999998E-12</v>
      </c>
      <c r="H254" s="74">
        <v>6.4820844000000003E-12</v>
      </c>
      <c r="I254" s="74">
        <v>1.8825726000000001E-15</v>
      </c>
      <c r="J254" s="74">
        <v>9.6824176000000005E-12</v>
      </c>
      <c r="K254" s="74">
        <v>9.8434159999999994E-13</v>
      </c>
    </row>
    <row r="255" spans="1:11" x14ac:dyDescent="0.25">
      <c r="A255">
        <v>240</v>
      </c>
      <c r="B255" t="s">
        <v>517</v>
      </c>
      <c r="C255" t="s">
        <v>260</v>
      </c>
      <c r="D255" t="s">
        <v>192</v>
      </c>
      <c r="E255" s="74">
        <v>2.658679E-11</v>
      </c>
      <c r="F255">
        <v>0</v>
      </c>
      <c r="G255" s="74">
        <v>1.497757E-12</v>
      </c>
      <c r="H255" s="74">
        <v>8.9160169999999997E-12</v>
      </c>
      <c r="I255" s="74">
        <v>9.4592433000000004E-15</v>
      </c>
      <c r="J255" s="74">
        <v>6.2257672E-12</v>
      </c>
      <c r="K255" s="74">
        <v>9.9377901000000007E-12</v>
      </c>
    </row>
    <row r="256" spans="1:11" x14ac:dyDescent="0.25">
      <c r="A256">
        <v>241</v>
      </c>
      <c r="B256" t="s">
        <v>518</v>
      </c>
      <c r="C256" t="s">
        <v>260</v>
      </c>
      <c r="D256" t="s">
        <v>192</v>
      </c>
      <c r="E256" s="74">
        <v>1.0524415999999999E-11</v>
      </c>
      <c r="F256">
        <v>0</v>
      </c>
      <c r="G256" s="74">
        <v>5.9287865000000002E-13</v>
      </c>
      <c r="H256" s="74">
        <v>3.5294165000000001E-12</v>
      </c>
      <c r="I256" s="74">
        <v>3.7437304999999997E-15</v>
      </c>
      <c r="J256" s="74">
        <v>2.4644418999999998E-12</v>
      </c>
      <c r="K256" s="74">
        <v>3.9339348000000003E-12</v>
      </c>
    </row>
    <row r="257" spans="1:11" x14ac:dyDescent="0.25">
      <c r="A257">
        <v>242</v>
      </c>
      <c r="B257" t="s">
        <v>519</v>
      </c>
      <c r="C257" t="s">
        <v>260</v>
      </c>
      <c r="D257" t="s">
        <v>192</v>
      </c>
      <c r="E257" s="74">
        <v>2.9773422000000001E-7</v>
      </c>
      <c r="F257">
        <v>0</v>
      </c>
      <c r="G257" s="74">
        <v>2.2446871000000001E-8</v>
      </c>
      <c r="H257" s="74">
        <v>9.1108588E-8</v>
      </c>
      <c r="I257" s="74">
        <v>7.2916370999999998E-11</v>
      </c>
      <c r="J257" s="74">
        <v>1.0825025E-7</v>
      </c>
      <c r="K257" s="74">
        <v>7.5855588000000002E-8</v>
      </c>
    </row>
    <row r="258" spans="1:11" x14ac:dyDescent="0.25">
      <c r="A258">
        <v>243</v>
      </c>
      <c r="B258" t="s">
        <v>520</v>
      </c>
      <c r="C258" t="s">
        <v>260</v>
      </c>
      <c r="D258" t="s">
        <v>192</v>
      </c>
      <c r="E258" s="74">
        <v>4.7450937000000002E-7</v>
      </c>
      <c r="F258">
        <v>0</v>
      </c>
      <c r="G258" s="74">
        <v>2.0258521999999999E-8</v>
      </c>
      <c r="H258" s="74">
        <v>3.581623E-7</v>
      </c>
      <c r="I258" s="74">
        <v>4.1155050999999997E-9</v>
      </c>
      <c r="J258" s="74">
        <v>7.8742927999999996E-8</v>
      </c>
      <c r="K258" s="74">
        <v>1.323012E-8</v>
      </c>
    </row>
    <row r="259" spans="1:11" x14ac:dyDescent="0.25">
      <c r="A259">
        <v>244</v>
      </c>
      <c r="B259" t="s">
        <v>521</v>
      </c>
      <c r="C259" t="s">
        <v>260</v>
      </c>
      <c r="D259" t="s">
        <v>192</v>
      </c>
      <c r="E259" s="74">
        <v>1.0037386E-11</v>
      </c>
      <c r="F259">
        <v>0</v>
      </c>
      <c r="G259" s="74">
        <v>3.6695262000000002E-13</v>
      </c>
      <c r="H259" s="74">
        <v>2.3184057E-12</v>
      </c>
      <c r="I259" s="74">
        <v>2.2092454000000002E-15</v>
      </c>
      <c r="J259" s="74">
        <v>1.8365397E-12</v>
      </c>
      <c r="K259" s="74">
        <v>5.5132784999999996E-12</v>
      </c>
    </row>
    <row r="260" spans="1:11" x14ac:dyDescent="0.25">
      <c r="A260">
        <v>245</v>
      </c>
      <c r="B260" t="s">
        <v>522</v>
      </c>
      <c r="C260" t="s">
        <v>260</v>
      </c>
      <c r="D260" t="s">
        <v>192</v>
      </c>
      <c r="E260" s="74">
        <v>2.8619299000000001E-6</v>
      </c>
      <c r="F260">
        <v>0</v>
      </c>
      <c r="G260" s="74">
        <v>2.5794494000000002E-7</v>
      </c>
      <c r="H260" s="74">
        <v>7.4274668000000003E-7</v>
      </c>
      <c r="I260" s="74">
        <v>8.4934335999999996E-10</v>
      </c>
      <c r="J260" s="74">
        <v>1.0262975000000001E-6</v>
      </c>
      <c r="K260" s="74">
        <v>8.3409149999999996E-7</v>
      </c>
    </row>
    <row r="261" spans="1:11" x14ac:dyDescent="0.25">
      <c r="A261">
        <v>246</v>
      </c>
      <c r="B261" t="s">
        <v>523</v>
      </c>
      <c r="C261" t="s">
        <v>260</v>
      </c>
      <c r="D261" t="s">
        <v>305</v>
      </c>
      <c r="E261">
        <v>13.410427</v>
      </c>
      <c r="F261">
        <v>0</v>
      </c>
      <c r="G261">
        <v>1.8150959000000001E-2</v>
      </c>
      <c r="H261">
        <v>4.6696917999999997E-2</v>
      </c>
      <c r="I261">
        <v>3.4416683999999998E-4</v>
      </c>
      <c r="J261">
        <v>3.4788040999999999E-2</v>
      </c>
      <c r="K261">
        <v>13.310447</v>
      </c>
    </row>
    <row r="262" spans="1:11" x14ac:dyDescent="0.25">
      <c r="A262">
        <v>247</v>
      </c>
      <c r="B262" t="s">
        <v>524</v>
      </c>
      <c r="C262" t="s">
        <v>260</v>
      </c>
      <c r="D262" t="s">
        <v>192</v>
      </c>
      <c r="E262" s="74">
        <v>7.2520927999999995E-7</v>
      </c>
      <c r="F262">
        <v>0</v>
      </c>
      <c r="G262" s="74">
        <v>2.1586048000000001E-8</v>
      </c>
      <c r="H262" s="74">
        <v>9.4520452E-8</v>
      </c>
      <c r="I262" s="74">
        <v>1.8379585000000001E-9</v>
      </c>
      <c r="J262" s="74">
        <v>2.2988161999999999E-7</v>
      </c>
      <c r="K262" s="74">
        <v>3.7738320000000002E-7</v>
      </c>
    </row>
    <row r="263" spans="1:11" x14ac:dyDescent="0.25">
      <c r="A263">
        <v>248</v>
      </c>
      <c r="B263" t="s">
        <v>525</v>
      </c>
      <c r="C263" t="s">
        <v>260</v>
      </c>
      <c r="D263" t="s">
        <v>192</v>
      </c>
      <c r="E263" s="74">
        <v>1.8565482E-9</v>
      </c>
      <c r="F263">
        <v>0</v>
      </c>
      <c r="G263" s="74">
        <v>2.0713517E-11</v>
      </c>
      <c r="H263" s="74">
        <v>7.9089652999999995E-11</v>
      </c>
      <c r="I263" s="74">
        <v>1.1210676E-9</v>
      </c>
      <c r="J263" s="74">
        <v>5.7164985999999998E-10</v>
      </c>
      <c r="K263" s="74">
        <v>6.4027654999999995E-11</v>
      </c>
    </row>
    <row r="264" spans="1:11" x14ac:dyDescent="0.25">
      <c r="A264">
        <v>249</v>
      </c>
      <c r="B264" t="s">
        <v>526</v>
      </c>
      <c r="C264" t="s">
        <v>260</v>
      </c>
      <c r="D264" t="s">
        <v>192</v>
      </c>
      <c r="E264" s="74">
        <v>1.6578007999999999E-16</v>
      </c>
      <c r="F264">
        <v>0</v>
      </c>
      <c r="G264" s="74">
        <v>1.4538518000000001E-18</v>
      </c>
      <c r="H264" s="74">
        <v>3.9816090000000001E-17</v>
      </c>
      <c r="I264" s="74">
        <v>2.6637916000000001E-20</v>
      </c>
      <c r="J264" s="74">
        <v>3.1119912000000001E-17</v>
      </c>
      <c r="K264" s="74">
        <v>9.3363591999999999E-17</v>
      </c>
    </row>
    <row r="265" spans="1:11" x14ac:dyDescent="0.25">
      <c r="A265">
        <v>250</v>
      </c>
      <c r="B265" t="s">
        <v>527</v>
      </c>
      <c r="C265" t="s">
        <v>260</v>
      </c>
      <c r="D265" t="s">
        <v>192</v>
      </c>
      <c r="E265" s="74">
        <v>8.6923376000000001E-10</v>
      </c>
      <c r="F265">
        <v>0</v>
      </c>
      <c r="G265" s="74">
        <v>1.0405630999999999E-11</v>
      </c>
      <c r="H265" s="74">
        <v>2.2190496999999999E-10</v>
      </c>
      <c r="I265" s="74">
        <v>4.5816682999999998E-13</v>
      </c>
      <c r="J265" s="74">
        <v>3.5618326999999999E-10</v>
      </c>
      <c r="K265" s="74">
        <v>2.8028172999999999E-10</v>
      </c>
    </row>
    <row r="266" spans="1:11" x14ac:dyDescent="0.25">
      <c r="A266">
        <v>251</v>
      </c>
      <c r="B266" t="s">
        <v>528</v>
      </c>
      <c r="C266" t="s">
        <v>260</v>
      </c>
      <c r="D266" t="s">
        <v>192</v>
      </c>
      <c r="E266">
        <v>7.1917060999999996E-3</v>
      </c>
      <c r="F266">
        <v>0</v>
      </c>
      <c r="G266">
        <v>3.1941787E-4</v>
      </c>
      <c r="H266">
        <v>1.3877128E-3</v>
      </c>
      <c r="I266" s="74">
        <v>3.6588910000000002E-6</v>
      </c>
      <c r="J266">
        <v>3.5407669000000002E-3</v>
      </c>
      <c r="K266">
        <v>1.9401495999999999E-3</v>
      </c>
    </row>
    <row r="267" spans="1:11" x14ac:dyDescent="0.25">
      <c r="A267">
        <v>252</v>
      </c>
      <c r="B267" t="s">
        <v>529</v>
      </c>
      <c r="C267" t="s">
        <v>260</v>
      </c>
      <c r="D267" t="s">
        <v>192</v>
      </c>
      <c r="E267" s="74">
        <v>6.0774248000000003E-5</v>
      </c>
      <c r="F267">
        <v>0</v>
      </c>
      <c r="G267" s="74">
        <v>2.3481689000000001E-6</v>
      </c>
      <c r="H267" s="74">
        <v>1.6916678E-5</v>
      </c>
      <c r="I267" s="74">
        <v>1.0428103E-7</v>
      </c>
      <c r="J267" s="74">
        <v>2.9234818999999999E-5</v>
      </c>
      <c r="K267" s="74">
        <v>1.2170301E-5</v>
      </c>
    </row>
    <row r="268" spans="1:11" x14ac:dyDescent="0.25">
      <c r="A268">
        <v>253</v>
      </c>
      <c r="B268" t="s">
        <v>530</v>
      </c>
      <c r="C268" t="s">
        <v>260</v>
      </c>
      <c r="D268" t="s">
        <v>192</v>
      </c>
      <c r="E268">
        <v>2.7721145000000002E-3</v>
      </c>
      <c r="F268">
        <v>0</v>
      </c>
      <c r="G268" s="74">
        <v>3.7459809999999997E-5</v>
      </c>
      <c r="H268">
        <v>1.7318663000000001E-4</v>
      </c>
      <c r="I268" s="74">
        <v>6.3492212000000004E-7</v>
      </c>
      <c r="J268">
        <v>2.1119007000000001E-3</v>
      </c>
      <c r="K268">
        <v>4.4893241999999998E-4</v>
      </c>
    </row>
    <row r="269" spans="1:11" x14ac:dyDescent="0.25">
      <c r="A269">
        <v>254</v>
      </c>
      <c r="B269" t="s">
        <v>531</v>
      </c>
      <c r="C269" t="s">
        <v>260</v>
      </c>
      <c r="D269" t="s">
        <v>305</v>
      </c>
      <c r="E269">
        <v>503171.6</v>
      </c>
      <c r="F269">
        <v>0</v>
      </c>
      <c r="G269">
        <v>1456.3480999999999</v>
      </c>
      <c r="H269">
        <v>3543.2921999999999</v>
      </c>
      <c r="I269">
        <v>31.969559</v>
      </c>
      <c r="J269">
        <v>2702.3957999999998</v>
      </c>
      <c r="K269">
        <v>495437.6</v>
      </c>
    </row>
    <row r="270" spans="1:11" x14ac:dyDescent="0.25">
      <c r="A270">
        <v>255</v>
      </c>
      <c r="B270" t="s">
        <v>532</v>
      </c>
      <c r="C270" t="s">
        <v>260</v>
      </c>
      <c r="D270" t="s">
        <v>192</v>
      </c>
      <c r="E270" s="74">
        <v>4.481346E-8</v>
      </c>
      <c r="F270">
        <v>0</v>
      </c>
      <c r="G270" s="74">
        <v>4.5111837999999997E-9</v>
      </c>
      <c r="H270" s="74">
        <v>1.7776391999999999E-8</v>
      </c>
      <c r="I270" s="74">
        <v>1.0904164000000001E-11</v>
      </c>
      <c r="J270" s="74">
        <v>2.0913949000000001E-8</v>
      </c>
      <c r="K270" s="74">
        <v>1.6010305E-9</v>
      </c>
    </row>
    <row r="271" spans="1:11" x14ac:dyDescent="0.25">
      <c r="A271">
        <v>256</v>
      </c>
      <c r="B271" t="s">
        <v>533</v>
      </c>
      <c r="C271" t="s">
        <v>260</v>
      </c>
      <c r="D271" t="s">
        <v>192</v>
      </c>
      <c r="E271" s="74">
        <v>6.7769496999999998E-9</v>
      </c>
      <c r="F271">
        <v>0</v>
      </c>
      <c r="G271" s="74">
        <v>7.3436524999999995E-10</v>
      </c>
      <c r="H271" s="74">
        <v>1.8908363000000001E-9</v>
      </c>
      <c r="I271" s="74">
        <v>1.2799839E-12</v>
      </c>
      <c r="J271" s="74">
        <v>2.954545E-9</v>
      </c>
      <c r="K271" s="74">
        <v>1.1959231999999999E-9</v>
      </c>
    </row>
    <row r="272" spans="1:11" x14ac:dyDescent="0.25">
      <c r="A272">
        <v>257</v>
      </c>
      <c r="B272" t="s">
        <v>534</v>
      </c>
      <c r="C272" t="s">
        <v>260</v>
      </c>
      <c r="D272" t="s">
        <v>192</v>
      </c>
      <c r="E272" s="74">
        <v>3.4352874999999999E-5</v>
      </c>
      <c r="F272">
        <v>0</v>
      </c>
      <c r="G272" s="74">
        <v>4.1796506999999999E-7</v>
      </c>
      <c r="H272" s="74">
        <v>1.070969E-6</v>
      </c>
      <c r="I272" s="74">
        <v>8.2626472999999993E-9</v>
      </c>
      <c r="J272" s="74">
        <v>8.1917458000000004E-7</v>
      </c>
      <c r="K272" s="74">
        <v>3.2036502999999999E-5</v>
      </c>
    </row>
    <row r="273" spans="1:11" x14ac:dyDescent="0.25">
      <c r="A273">
        <v>258</v>
      </c>
      <c r="B273" t="s">
        <v>535</v>
      </c>
      <c r="C273" t="s">
        <v>260</v>
      </c>
      <c r="D273" t="s">
        <v>192</v>
      </c>
      <c r="E273" s="74">
        <v>9.1660592999999995E-7</v>
      </c>
      <c r="F273">
        <v>0</v>
      </c>
      <c r="G273" s="74">
        <v>5.4631644999999998E-8</v>
      </c>
      <c r="H273" s="74">
        <v>2.1063840999999999E-7</v>
      </c>
      <c r="I273" s="74">
        <v>8.8151217000000004E-10</v>
      </c>
      <c r="J273" s="74">
        <v>3.5410950000000003E-7</v>
      </c>
      <c r="K273" s="74">
        <v>2.9634486000000002E-7</v>
      </c>
    </row>
    <row r="274" spans="1:11" x14ac:dyDescent="0.25">
      <c r="A274">
        <v>259</v>
      </c>
      <c r="B274" t="s">
        <v>536</v>
      </c>
      <c r="C274" t="s">
        <v>260</v>
      </c>
      <c r="D274" t="s">
        <v>192</v>
      </c>
      <c r="E274" s="74">
        <v>6.7703389999999998E-12</v>
      </c>
      <c r="F274">
        <v>0</v>
      </c>
      <c r="G274" s="74">
        <v>3.8139784999999999E-13</v>
      </c>
      <c r="H274" s="74">
        <v>2.2704678000000001E-12</v>
      </c>
      <c r="I274" s="74">
        <v>2.4083356E-15</v>
      </c>
      <c r="J274" s="74">
        <v>1.5853713000000001E-12</v>
      </c>
      <c r="K274" s="74">
        <v>2.5306937000000001E-12</v>
      </c>
    </row>
    <row r="275" spans="1:11" x14ac:dyDescent="0.25">
      <c r="A275">
        <v>260</v>
      </c>
      <c r="B275" t="s">
        <v>537</v>
      </c>
      <c r="C275" t="s">
        <v>260</v>
      </c>
      <c r="D275" t="s">
        <v>192</v>
      </c>
      <c r="E275" s="74">
        <v>1.2993005E-12</v>
      </c>
      <c r="F275">
        <v>0</v>
      </c>
      <c r="G275" s="74">
        <v>7.3194330000000005E-14</v>
      </c>
      <c r="H275" s="74">
        <v>4.3572706999999999E-13</v>
      </c>
      <c r="I275" s="74">
        <v>4.6218537999999997E-16</v>
      </c>
      <c r="J275" s="74">
        <v>3.0424972999999998E-13</v>
      </c>
      <c r="K275" s="74">
        <v>4.8566721999999996E-13</v>
      </c>
    </row>
    <row r="276" spans="1:11" x14ac:dyDescent="0.25">
      <c r="A276">
        <v>261</v>
      </c>
      <c r="B276" t="s">
        <v>538</v>
      </c>
      <c r="C276" t="s">
        <v>260</v>
      </c>
      <c r="D276" t="s">
        <v>192</v>
      </c>
      <c r="E276">
        <v>2.1250037000000001E-3</v>
      </c>
      <c r="F276">
        <v>0</v>
      </c>
      <c r="G276">
        <v>1.0316617999999999E-4</v>
      </c>
      <c r="H276">
        <v>3.4843202E-4</v>
      </c>
      <c r="I276" s="74">
        <v>1.6972161999999999E-6</v>
      </c>
      <c r="J276">
        <v>4.2238847999999997E-4</v>
      </c>
      <c r="K276">
        <v>1.2493198000000001E-3</v>
      </c>
    </row>
    <row r="277" spans="1:11" x14ac:dyDescent="0.25">
      <c r="A277">
        <v>262</v>
      </c>
      <c r="B277" t="s">
        <v>539</v>
      </c>
      <c r="C277" t="s">
        <v>260</v>
      </c>
      <c r="D277" t="s">
        <v>192</v>
      </c>
      <c r="E277">
        <v>1.7688191000000001E-3</v>
      </c>
      <c r="F277">
        <v>0</v>
      </c>
      <c r="G277">
        <v>1.3326812000000001E-4</v>
      </c>
      <c r="H277">
        <v>4.7505217999999999E-4</v>
      </c>
      <c r="I277" s="74">
        <v>2.5396532000000001E-6</v>
      </c>
      <c r="J277">
        <v>6.6060904999999995E-4</v>
      </c>
      <c r="K277">
        <v>4.9735005000000004E-4</v>
      </c>
    </row>
    <row r="278" spans="1:11" x14ac:dyDescent="0.25">
      <c r="A278">
        <v>263</v>
      </c>
      <c r="B278" t="s">
        <v>540</v>
      </c>
      <c r="C278" t="s">
        <v>260</v>
      </c>
      <c r="D278" t="s">
        <v>192</v>
      </c>
      <c r="E278">
        <v>7.7631228E-4</v>
      </c>
      <c r="F278">
        <v>0</v>
      </c>
      <c r="G278" s="74">
        <v>4.1647696E-5</v>
      </c>
      <c r="H278">
        <v>1.5995288E-4</v>
      </c>
      <c r="I278" s="74">
        <v>8.3325228999999997E-7</v>
      </c>
      <c r="J278">
        <v>3.3334747999999998E-4</v>
      </c>
      <c r="K278">
        <v>2.4053097E-4</v>
      </c>
    </row>
    <row r="279" spans="1:11" x14ac:dyDescent="0.25">
      <c r="A279">
        <v>264</v>
      </c>
      <c r="B279" t="s">
        <v>541</v>
      </c>
      <c r="C279" t="s">
        <v>260</v>
      </c>
      <c r="D279" t="s">
        <v>192</v>
      </c>
      <c r="E279" s="74">
        <v>7.1327834999999998E-11</v>
      </c>
      <c r="F279">
        <v>0</v>
      </c>
      <c r="G279" s="74">
        <v>4.0181869999999997E-12</v>
      </c>
      <c r="H279" s="74">
        <v>2.3920154999999999E-11</v>
      </c>
      <c r="I279" s="74">
        <v>2.5374760000000001E-14</v>
      </c>
      <c r="J279" s="74">
        <v>1.6702535000000001E-11</v>
      </c>
      <c r="K279" s="74">
        <v>2.6661583000000001E-11</v>
      </c>
    </row>
    <row r="280" spans="1:11" x14ac:dyDescent="0.25">
      <c r="A280">
        <v>265</v>
      </c>
      <c r="B280" t="s">
        <v>542</v>
      </c>
      <c r="C280" t="s">
        <v>260</v>
      </c>
      <c r="D280" t="s">
        <v>192</v>
      </c>
      <c r="E280" s="74">
        <v>4.1813200999999997E-5</v>
      </c>
      <c r="F280">
        <v>0</v>
      </c>
      <c r="G280" s="74">
        <v>1.0025155E-6</v>
      </c>
      <c r="H280" s="74">
        <v>4.8793709000000001E-6</v>
      </c>
      <c r="I280" s="74">
        <v>1.2023172E-8</v>
      </c>
      <c r="J280" s="74">
        <v>5.1780855999999999E-6</v>
      </c>
      <c r="K280" s="74">
        <v>3.0741204999999997E-5</v>
      </c>
    </row>
    <row r="281" spans="1:11" x14ac:dyDescent="0.25">
      <c r="A281">
        <v>266</v>
      </c>
      <c r="B281" t="s">
        <v>543</v>
      </c>
      <c r="C281" t="s">
        <v>260</v>
      </c>
      <c r="D281" t="s">
        <v>192</v>
      </c>
      <c r="E281" s="74">
        <v>2.9187538000000001E-9</v>
      </c>
      <c r="F281">
        <v>0</v>
      </c>
      <c r="G281" s="74">
        <v>3.0260390000000002E-10</v>
      </c>
      <c r="H281" s="74">
        <v>8.1055775000000005E-10</v>
      </c>
      <c r="I281" s="74">
        <v>4.7370351999999996E-13</v>
      </c>
      <c r="J281" s="74">
        <v>1.2875391E-9</v>
      </c>
      <c r="K281" s="74">
        <v>5.1757931000000001E-10</v>
      </c>
    </row>
    <row r="282" spans="1:11" x14ac:dyDescent="0.25">
      <c r="A282">
        <v>267</v>
      </c>
      <c r="B282" t="s">
        <v>544</v>
      </c>
      <c r="C282" t="s">
        <v>260</v>
      </c>
      <c r="D282" t="s">
        <v>192</v>
      </c>
      <c r="E282" s="74">
        <v>2.5551259000000001E-15</v>
      </c>
      <c r="F282">
        <v>0</v>
      </c>
      <c r="G282" s="74">
        <v>5.9696430000000003E-17</v>
      </c>
      <c r="H282" s="74">
        <v>7.6859675E-16</v>
      </c>
      <c r="I282" s="74">
        <v>4.8466866000000001E-19</v>
      </c>
      <c r="J282" s="74">
        <v>3.4225927E-16</v>
      </c>
      <c r="K282" s="74">
        <v>1.3840888E-15</v>
      </c>
    </row>
    <row r="283" spans="1:11" x14ac:dyDescent="0.25">
      <c r="A283">
        <v>268</v>
      </c>
      <c r="B283" t="s">
        <v>545</v>
      </c>
      <c r="C283" t="s">
        <v>260</v>
      </c>
      <c r="D283" t="s">
        <v>192</v>
      </c>
      <c r="E283" s="74">
        <v>1.0599172E-12</v>
      </c>
      <c r="F283">
        <v>0</v>
      </c>
      <c r="G283" s="74">
        <v>5.9708995000000003E-14</v>
      </c>
      <c r="H283" s="74">
        <v>3.5544864999999999E-13</v>
      </c>
      <c r="I283" s="74">
        <v>3.7703227000000002E-16</v>
      </c>
      <c r="J283" s="74">
        <v>2.4819471999999998E-13</v>
      </c>
      <c r="K283" s="74">
        <v>3.9618782000000001E-13</v>
      </c>
    </row>
    <row r="284" spans="1:11" x14ac:dyDescent="0.25">
      <c r="A284">
        <v>269</v>
      </c>
      <c r="B284" t="s">
        <v>546</v>
      </c>
      <c r="C284" t="s">
        <v>260</v>
      </c>
      <c r="D284" t="s">
        <v>192</v>
      </c>
      <c r="E284" s="74">
        <v>9.1357529999999994E-12</v>
      </c>
      <c r="F284">
        <v>0</v>
      </c>
      <c r="G284" s="74">
        <v>6.1011451999999996E-13</v>
      </c>
      <c r="H284" s="74">
        <v>1.9995834999999998E-12</v>
      </c>
      <c r="I284" s="74">
        <v>8.4092758E-15</v>
      </c>
      <c r="J284" s="74">
        <v>4.2595040999999997E-12</v>
      </c>
      <c r="K284" s="74">
        <v>2.2581415E-12</v>
      </c>
    </row>
    <row r="285" spans="1:11" x14ac:dyDescent="0.25">
      <c r="A285">
        <v>270</v>
      </c>
      <c r="B285" t="s">
        <v>547</v>
      </c>
      <c r="C285" t="s">
        <v>260</v>
      </c>
      <c r="D285" t="s">
        <v>192</v>
      </c>
      <c r="E285" s="74">
        <v>1.7264101E-7</v>
      </c>
      <c r="F285">
        <v>0</v>
      </c>
      <c r="G285" s="74">
        <v>1.3726791999999999E-8</v>
      </c>
      <c r="H285" s="74">
        <v>5.2223621999999997E-8</v>
      </c>
      <c r="I285" s="74">
        <v>3.8219262999999998E-10</v>
      </c>
      <c r="J285" s="74">
        <v>6.2237379000000002E-8</v>
      </c>
      <c r="K285" s="74">
        <v>4.4071025000000003E-8</v>
      </c>
    </row>
    <row r="286" spans="1:11" x14ac:dyDescent="0.25">
      <c r="A286">
        <v>271</v>
      </c>
      <c r="B286" t="s">
        <v>548</v>
      </c>
      <c r="C286" t="s">
        <v>260</v>
      </c>
      <c r="D286" t="s">
        <v>192</v>
      </c>
      <c r="E286" s="74">
        <v>3.1470174000000002E-12</v>
      </c>
      <c r="F286">
        <v>0</v>
      </c>
      <c r="G286" s="74">
        <v>1.0833054E-13</v>
      </c>
      <c r="H286" s="74">
        <v>6.4867176999999997E-13</v>
      </c>
      <c r="I286" s="74">
        <v>6.7742327999999997E-13</v>
      </c>
      <c r="J286" s="74">
        <v>9.7309500999999999E-13</v>
      </c>
      <c r="K286" s="74">
        <v>7.3949682999999996E-13</v>
      </c>
    </row>
    <row r="287" spans="1:11" x14ac:dyDescent="0.25">
      <c r="A287">
        <v>272</v>
      </c>
      <c r="B287" t="s">
        <v>549</v>
      </c>
      <c r="C287" t="s">
        <v>260</v>
      </c>
      <c r="D287" t="s">
        <v>192</v>
      </c>
      <c r="E287" s="74">
        <v>3.6399458999999998E-8</v>
      </c>
      <c r="F287">
        <v>0</v>
      </c>
      <c r="G287" s="74">
        <v>1.8736577E-9</v>
      </c>
      <c r="H287" s="74">
        <v>6.8997419000000002E-9</v>
      </c>
      <c r="I287" s="74">
        <v>1.1652758000000001E-10</v>
      </c>
      <c r="J287" s="74">
        <v>1.968206E-8</v>
      </c>
      <c r="K287" s="74">
        <v>7.8274717999999994E-9</v>
      </c>
    </row>
    <row r="288" spans="1:11" x14ac:dyDescent="0.25">
      <c r="A288">
        <v>273</v>
      </c>
      <c r="B288" t="s">
        <v>550</v>
      </c>
      <c r="C288" t="s">
        <v>260</v>
      </c>
      <c r="D288" t="s">
        <v>192</v>
      </c>
      <c r="E288" s="74">
        <v>3.6835485000000002E-10</v>
      </c>
      <c r="F288">
        <v>0</v>
      </c>
      <c r="G288" s="74">
        <v>4.0875070000000001E-12</v>
      </c>
      <c r="H288" s="74">
        <v>1.541672E-11</v>
      </c>
      <c r="I288" s="74">
        <v>2.2298404999999999E-10</v>
      </c>
      <c r="J288" s="74">
        <v>1.1349627999999999E-10</v>
      </c>
      <c r="K288" s="74">
        <v>1.237028E-11</v>
      </c>
    </row>
    <row r="289" spans="1:11" x14ac:dyDescent="0.25">
      <c r="A289">
        <v>274</v>
      </c>
      <c r="B289" t="s">
        <v>551</v>
      </c>
      <c r="C289" t="s">
        <v>260</v>
      </c>
      <c r="D289" t="s">
        <v>192</v>
      </c>
      <c r="E289" s="74">
        <v>4.9948457000000002E-12</v>
      </c>
      <c r="F289">
        <v>0</v>
      </c>
      <c r="G289" s="74">
        <v>6.3959611999999996E-13</v>
      </c>
      <c r="H289" s="74">
        <v>1.672111E-12</v>
      </c>
      <c r="I289" s="74">
        <v>3.3708439999999999E-16</v>
      </c>
      <c r="J289" s="74">
        <v>2.4484326999999998E-12</v>
      </c>
      <c r="K289" s="74">
        <v>2.343688E-13</v>
      </c>
    </row>
    <row r="290" spans="1:11" x14ac:dyDescent="0.25">
      <c r="A290">
        <v>275</v>
      </c>
      <c r="B290" t="s">
        <v>552</v>
      </c>
      <c r="C290" t="s">
        <v>260</v>
      </c>
      <c r="D290" t="s">
        <v>192</v>
      </c>
      <c r="E290" s="74">
        <v>2.9988266000000002E-16</v>
      </c>
      <c r="F290">
        <v>0</v>
      </c>
      <c r="G290" s="74">
        <v>2.6298994E-18</v>
      </c>
      <c r="H290" s="74">
        <v>7.2024061000000001E-17</v>
      </c>
      <c r="I290" s="74">
        <v>4.8185819000000001E-20</v>
      </c>
      <c r="J290" s="74">
        <v>5.6293383999999998E-17</v>
      </c>
      <c r="K290" s="74">
        <v>1.6888712999999999E-16</v>
      </c>
    </row>
    <row r="291" spans="1:11" x14ac:dyDescent="0.25">
      <c r="A291">
        <v>276</v>
      </c>
      <c r="B291" t="s">
        <v>553</v>
      </c>
      <c r="C291" t="s">
        <v>260</v>
      </c>
      <c r="D291" t="s">
        <v>192</v>
      </c>
      <c r="E291" s="74">
        <v>8.9400263999999998E-7</v>
      </c>
      <c r="F291">
        <v>0</v>
      </c>
      <c r="G291" s="74">
        <v>1.4917992999999999E-8</v>
      </c>
      <c r="H291" s="74">
        <v>1.2155938000000001E-7</v>
      </c>
      <c r="I291" s="74">
        <v>9.1710147E-11</v>
      </c>
      <c r="J291" s="74">
        <v>1.8969349999999999E-7</v>
      </c>
      <c r="K291" s="74">
        <v>5.6774006999999996E-7</v>
      </c>
    </row>
    <row r="292" spans="1:11" x14ac:dyDescent="0.25">
      <c r="A292">
        <v>277</v>
      </c>
      <c r="B292" t="s">
        <v>554</v>
      </c>
      <c r="C292" t="s">
        <v>260</v>
      </c>
      <c r="D292" t="s">
        <v>192</v>
      </c>
      <c r="E292" s="74">
        <v>2.0078976000000002E-12</v>
      </c>
      <c r="F292">
        <v>0</v>
      </c>
      <c r="G292" s="74">
        <v>2.1341842E-13</v>
      </c>
      <c r="H292" s="74">
        <v>5.6015966999999998E-13</v>
      </c>
      <c r="I292" s="74">
        <v>5.9649777000000004E-16</v>
      </c>
      <c r="J292" s="74">
        <v>8.7630923000000003E-13</v>
      </c>
      <c r="K292" s="74">
        <v>3.5741377999999999E-13</v>
      </c>
    </row>
    <row r="293" spans="1:11" x14ac:dyDescent="0.25">
      <c r="A293">
        <v>278</v>
      </c>
      <c r="B293" t="s">
        <v>555</v>
      </c>
      <c r="C293" t="s">
        <v>260</v>
      </c>
      <c r="D293" t="s">
        <v>192</v>
      </c>
      <c r="E293" s="74">
        <v>8.9777426999999999E-10</v>
      </c>
      <c r="F293">
        <v>0</v>
      </c>
      <c r="G293" s="74">
        <v>7.0379432000000002E-11</v>
      </c>
      <c r="H293" s="74">
        <v>2.9806223000000001E-10</v>
      </c>
      <c r="I293" s="74">
        <v>7.8078720000000005E-13</v>
      </c>
      <c r="J293" s="74">
        <v>2.7656199999999999E-10</v>
      </c>
      <c r="K293" s="74">
        <v>2.5198982E-10</v>
      </c>
    </row>
    <row r="294" spans="1:11" x14ac:dyDescent="0.25">
      <c r="A294">
        <v>279</v>
      </c>
      <c r="B294" t="s">
        <v>556</v>
      </c>
      <c r="C294" t="s">
        <v>260</v>
      </c>
      <c r="D294" t="s">
        <v>305</v>
      </c>
      <c r="E294" s="74">
        <v>7.1463275000000001E-9</v>
      </c>
      <c r="F294">
        <v>0</v>
      </c>
      <c r="G294" s="74">
        <v>2.0647913999999999E-11</v>
      </c>
      <c r="H294" s="74">
        <v>5.0243755000000002E-11</v>
      </c>
      <c r="I294" s="74">
        <v>4.5309793000000001E-13</v>
      </c>
      <c r="J294" s="74">
        <v>3.8317959000000001E-11</v>
      </c>
      <c r="K294" s="74">
        <v>7.0366647000000002E-9</v>
      </c>
    </row>
    <row r="295" spans="1:11" x14ac:dyDescent="0.25">
      <c r="A295">
        <v>280</v>
      </c>
      <c r="B295" t="s">
        <v>557</v>
      </c>
      <c r="C295" t="s">
        <v>260</v>
      </c>
      <c r="D295" t="s">
        <v>305</v>
      </c>
      <c r="E295" s="74">
        <v>1.6382046999999999E-8</v>
      </c>
      <c r="F295">
        <v>0</v>
      </c>
      <c r="G295" s="74">
        <v>4.7332717999999998E-11</v>
      </c>
      <c r="H295" s="74">
        <v>1.1517741999999999E-10</v>
      </c>
      <c r="I295" s="74">
        <v>1.0386693999999999E-12</v>
      </c>
      <c r="J295" s="74">
        <v>8.7839049999999998E-11</v>
      </c>
      <c r="K295" s="74">
        <v>1.6130659000000001E-8</v>
      </c>
    </row>
    <row r="296" spans="1:11" x14ac:dyDescent="0.25">
      <c r="A296">
        <v>281</v>
      </c>
      <c r="B296" t="s">
        <v>558</v>
      </c>
      <c r="C296" t="s">
        <v>260</v>
      </c>
      <c r="D296" t="s">
        <v>305</v>
      </c>
      <c r="E296">
        <v>0.68784009999999995</v>
      </c>
      <c r="F296">
        <v>0</v>
      </c>
      <c r="G296">
        <v>4.9014926E-2</v>
      </c>
      <c r="H296">
        <v>0.20149607999999999</v>
      </c>
      <c r="I296">
        <v>7.2845487999999997E-4</v>
      </c>
      <c r="J296">
        <v>0.25155298999999998</v>
      </c>
      <c r="K296">
        <v>0.18504765000000001</v>
      </c>
    </row>
    <row r="297" spans="1:11" x14ac:dyDescent="0.25">
      <c r="A297">
        <v>282</v>
      </c>
      <c r="B297" t="s">
        <v>559</v>
      </c>
      <c r="C297" t="s">
        <v>260</v>
      </c>
      <c r="D297" t="s">
        <v>192</v>
      </c>
      <c r="E297" s="74">
        <v>4.7217367999999999E-10</v>
      </c>
      <c r="F297">
        <v>0</v>
      </c>
      <c r="G297" s="74">
        <v>3.8993368999999999E-11</v>
      </c>
      <c r="H297" s="74">
        <v>1.2912971999999999E-10</v>
      </c>
      <c r="I297" s="74">
        <v>4.0995660999999998E-12</v>
      </c>
      <c r="J297" s="74">
        <v>2.0452627999999999E-10</v>
      </c>
      <c r="K297" s="74">
        <v>9.5424742000000002E-11</v>
      </c>
    </row>
    <row r="298" spans="1:11" x14ac:dyDescent="0.25">
      <c r="A298">
        <v>283</v>
      </c>
      <c r="B298" t="s">
        <v>560</v>
      </c>
      <c r="C298" t="s">
        <v>260</v>
      </c>
      <c r="D298" t="s">
        <v>192</v>
      </c>
      <c r="E298" s="74">
        <v>5.8348940999999998E-5</v>
      </c>
      <c r="F298">
        <v>0</v>
      </c>
      <c r="G298" s="74">
        <v>6.9128207000000002E-7</v>
      </c>
      <c r="H298" s="74">
        <v>5.4205641E-6</v>
      </c>
      <c r="I298" s="74">
        <v>6.0750797999999996E-9</v>
      </c>
      <c r="J298" s="74">
        <v>7.4242240999999998E-6</v>
      </c>
      <c r="K298" s="74">
        <v>4.4806794999999999E-5</v>
      </c>
    </row>
    <row r="299" spans="1:11" x14ac:dyDescent="0.25">
      <c r="A299">
        <v>284</v>
      </c>
      <c r="B299" t="s">
        <v>561</v>
      </c>
      <c r="C299" t="s">
        <v>260</v>
      </c>
      <c r="D299" t="s">
        <v>305</v>
      </c>
      <c r="E299">
        <v>0.12365677</v>
      </c>
      <c r="F299">
        <v>0</v>
      </c>
      <c r="G299">
        <v>9.2168831999999996E-3</v>
      </c>
      <c r="H299">
        <v>3.5813263999999997E-2</v>
      </c>
      <c r="I299">
        <v>1.3980009999999999E-4</v>
      </c>
      <c r="J299">
        <v>4.2444864999999998E-2</v>
      </c>
      <c r="K299">
        <v>3.6041960999999997E-2</v>
      </c>
    </row>
    <row r="300" spans="1:11" x14ac:dyDescent="0.25">
      <c r="A300">
        <v>285</v>
      </c>
      <c r="B300" t="s">
        <v>562</v>
      </c>
      <c r="C300" t="s">
        <v>260</v>
      </c>
      <c r="D300" t="s">
        <v>192</v>
      </c>
      <c r="E300" s="74">
        <v>5.4345268000000001E-9</v>
      </c>
      <c r="F300">
        <v>0</v>
      </c>
      <c r="G300" s="74">
        <v>9.3190843999999999E-11</v>
      </c>
      <c r="H300" s="74">
        <v>2.4871236999999999E-9</v>
      </c>
      <c r="I300" s="74">
        <v>9.874521E-13</v>
      </c>
      <c r="J300" s="74">
        <v>5.4702113999999995E-10</v>
      </c>
      <c r="K300" s="74">
        <v>2.3062037000000001E-9</v>
      </c>
    </row>
    <row r="301" spans="1:11" x14ac:dyDescent="0.25">
      <c r="A301">
        <v>286</v>
      </c>
      <c r="B301" t="s">
        <v>563</v>
      </c>
      <c r="C301" t="s">
        <v>260</v>
      </c>
      <c r="D301" t="s">
        <v>192</v>
      </c>
      <c r="E301" s="74">
        <v>3.7624689999999998E-5</v>
      </c>
      <c r="F301">
        <v>0</v>
      </c>
      <c r="G301" s="74">
        <v>8.9509519999999997E-7</v>
      </c>
      <c r="H301" s="74">
        <v>5.7613499000000004E-6</v>
      </c>
      <c r="I301" s="74">
        <v>9.7007012999999994E-9</v>
      </c>
      <c r="J301" s="74">
        <v>7.5937553000000001E-6</v>
      </c>
      <c r="K301" s="74">
        <v>2.3364789E-5</v>
      </c>
    </row>
    <row r="302" spans="1:11" x14ac:dyDescent="0.25">
      <c r="A302">
        <v>287</v>
      </c>
      <c r="B302" t="s">
        <v>564</v>
      </c>
      <c r="C302" t="s">
        <v>260</v>
      </c>
      <c r="D302" t="s">
        <v>192</v>
      </c>
      <c r="E302" s="74">
        <v>4.0123644000000004E-6</v>
      </c>
      <c r="F302">
        <v>0</v>
      </c>
      <c r="G302" s="74">
        <v>8.8251023999999995E-8</v>
      </c>
      <c r="H302" s="74">
        <v>7.0554526000000003E-7</v>
      </c>
      <c r="I302" s="74">
        <v>5.6857524000000001E-10</v>
      </c>
      <c r="J302" s="74">
        <v>2.9372448999999998E-6</v>
      </c>
      <c r="K302" s="74">
        <v>2.8075459999999998E-7</v>
      </c>
    </row>
    <row r="303" spans="1:11" x14ac:dyDescent="0.25">
      <c r="A303">
        <v>288</v>
      </c>
      <c r="B303" t="s">
        <v>565</v>
      </c>
      <c r="C303" t="s">
        <v>260</v>
      </c>
      <c r="D303" t="s">
        <v>192</v>
      </c>
      <c r="E303" s="74">
        <v>1.2446959E-12</v>
      </c>
      <c r="F303">
        <v>0</v>
      </c>
      <c r="G303" s="74">
        <v>7.0118247999999995E-14</v>
      </c>
      <c r="H303" s="74">
        <v>4.1741512000000002E-13</v>
      </c>
      <c r="I303" s="74">
        <v>4.4276145000000001E-16</v>
      </c>
      <c r="J303" s="74">
        <v>2.9146331000000002E-13</v>
      </c>
      <c r="K303" s="74">
        <v>4.6525643999999996E-13</v>
      </c>
    </row>
    <row r="304" spans="1:11" x14ac:dyDescent="0.25">
      <c r="A304">
        <v>289</v>
      </c>
      <c r="B304" t="s">
        <v>566</v>
      </c>
      <c r="C304" t="s">
        <v>260</v>
      </c>
      <c r="D304" t="s">
        <v>192</v>
      </c>
      <c r="E304" s="74">
        <v>4.1879317000000002E-7</v>
      </c>
      <c r="F304">
        <v>0</v>
      </c>
      <c r="G304" s="74">
        <v>3.0334911E-9</v>
      </c>
      <c r="H304" s="74">
        <v>1.4773596000000001E-8</v>
      </c>
      <c r="I304" s="74">
        <v>5.8515114000000005E-11</v>
      </c>
      <c r="J304" s="74">
        <v>3.0584959999999999E-8</v>
      </c>
      <c r="K304" s="74">
        <v>3.7034259999999997E-7</v>
      </c>
    </row>
    <row r="305" spans="1:11" x14ac:dyDescent="0.25">
      <c r="A305">
        <v>290</v>
      </c>
      <c r="B305" t="s">
        <v>567</v>
      </c>
      <c r="C305" t="s">
        <v>260</v>
      </c>
      <c r="D305" t="s">
        <v>192</v>
      </c>
      <c r="E305" s="74">
        <v>2.1142300000000001E-13</v>
      </c>
      <c r="F305">
        <v>0</v>
      </c>
      <c r="G305" s="74">
        <v>1.0218817999999999E-14</v>
      </c>
      <c r="H305" s="74">
        <v>8.1227279999999996E-14</v>
      </c>
      <c r="I305" s="74">
        <v>7.9530114999999999E-17</v>
      </c>
      <c r="J305" s="74">
        <v>4.3796983000000001E-14</v>
      </c>
      <c r="K305" s="74">
        <v>7.6100388999999998E-14</v>
      </c>
    </row>
    <row r="306" spans="1:11" x14ac:dyDescent="0.25">
      <c r="A306">
        <v>291</v>
      </c>
      <c r="B306" t="s">
        <v>568</v>
      </c>
      <c r="C306" t="s">
        <v>260</v>
      </c>
      <c r="D306" t="s">
        <v>192</v>
      </c>
      <c r="E306" s="74">
        <v>2.1449806000000001E-8</v>
      </c>
      <c r="F306">
        <v>0</v>
      </c>
      <c r="G306" s="74">
        <v>2.5970730000000001E-9</v>
      </c>
      <c r="H306" s="74">
        <v>7.8373795999999995E-9</v>
      </c>
      <c r="I306" s="74">
        <v>1.9141483999999998E-11</v>
      </c>
      <c r="J306" s="74">
        <v>1.0126757999999999E-8</v>
      </c>
      <c r="K306" s="74">
        <v>8.6945399999999996E-10</v>
      </c>
    </row>
    <row r="307" spans="1:11" x14ac:dyDescent="0.25">
      <c r="A307">
        <v>292</v>
      </c>
      <c r="B307" t="s">
        <v>569</v>
      </c>
      <c r="C307" t="s">
        <v>260</v>
      </c>
      <c r="D307" t="s">
        <v>305</v>
      </c>
      <c r="E307">
        <v>2.0353387000000001E-2</v>
      </c>
      <c r="F307">
        <v>0</v>
      </c>
      <c r="G307">
        <v>4.4697794999999998E-4</v>
      </c>
      <c r="H307">
        <v>1.1854287999999999E-3</v>
      </c>
      <c r="I307" s="74">
        <v>8.1206248999999999E-6</v>
      </c>
      <c r="J307">
        <v>9.0996798000000001E-4</v>
      </c>
      <c r="K307">
        <v>1.7802892000000001E-2</v>
      </c>
    </row>
    <row r="308" spans="1:11" x14ac:dyDescent="0.25">
      <c r="A308">
        <v>293</v>
      </c>
      <c r="B308" t="s">
        <v>570</v>
      </c>
      <c r="C308" t="s">
        <v>260</v>
      </c>
      <c r="D308" t="s">
        <v>192</v>
      </c>
      <c r="E308" s="74">
        <v>9.8162367999999999E-21</v>
      </c>
      <c r="F308">
        <v>0</v>
      </c>
      <c r="G308" s="74">
        <v>2.9521674000000001E-22</v>
      </c>
      <c r="H308" s="74">
        <v>3.3788657000000001E-21</v>
      </c>
      <c r="I308" s="74">
        <v>2.770799E-25</v>
      </c>
      <c r="J308" s="74">
        <v>5.9906013000000003E-21</v>
      </c>
      <c r="K308" s="74">
        <v>1.5127603E-22</v>
      </c>
    </row>
    <row r="309" spans="1:11" x14ac:dyDescent="0.25">
      <c r="A309">
        <v>294</v>
      </c>
      <c r="B309" t="s">
        <v>571</v>
      </c>
      <c r="C309" t="s">
        <v>260</v>
      </c>
      <c r="D309" t="s">
        <v>192</v>
      </c>
      <c r="E309" s="74">
        <v>2.9318372999999998E-12</v>
      </c>
      <c r="F309">
        <v>0</v>
      </c>
      <c r="G309" s="74">
        <v>1.6516108999999999E-13</v>
      </c>
      <c r="H309" s="74">
        <v>9.8320660999999995E-13</v>
      </c>
      <c r="I309" s="74">
        <v>1.0429105999999999E-15</v>
      </c>
      <c r="J309" s="74">
        <v>6.8653155999999998E-13</v>
      </c>
      <c r="K309" s="74">
        <v>1.0958951E-12</v>
      </c>
    </row>
    <row r="310" spans="1:11" x14ac:dyDescent="0.25">
      <c r="A310">
        <v>295</v>
      </c>
      <c r="B310" t="s">
        <v>572</v>
      </c>
      <c r="C310" t="s">
        <v>260</v>
      </c>
      <c r="D310" t="s">
        <v>192</v>
      </c>
      <c r="E310" s="74">
        <v>4.7678064E-13</v>
      </c>
      <c r="F310">
        <v>0</v>
      </c>
      <c r="G310" s="74">
        <v>3.1842033E-14</v>
      </c>
      <c r="H310" s="74">
        <v>1.0435303E-13</v>
      </c>
      <c r="I310" s="74">
        <v>4.3888564000000001E-16</v>
      </c>
      <c r="J310" s="74">
        <v>2.2230535000000001E-13</v>
      </c>
      <c r="K310" s="74">
        <v>1.1784133000000001E-13</v>
      </c>
    </row>
    <row r="311" spans="1:11" x14ac:dyDescent="0.25">
      <c r="A311">
        <v>296</v>
      </c>
      <c r="B311" t="s">
        <v>573</v>
      </c>
      <c r="C311" t="s">
        <v>260</v>
      </c>
      <c r="D311" t="s">
        <v>192</v>
      </c>
      <c r="E311" s="74">
        <v>3.9344672999999997E-13</v>
      </c>
      <c r="F311">
        <v>0</v>
      </c>
      <c r="G311" s="74">
        <v>2.2164286999999998E-14</v>
      </c>
      <c r="H311" s="74">
        <v>1.3194437E-13</v>
      </c>
      <c r="I311" s="74">
        <v>1.3995632000000001E-16</v>
      </c>
      <c r="J311" s="74">
        <v>9.2131156999999995E-14</v>
      </c>
      <c r="K311" s="74">
        <v>1.4706695999999999E-13</v>
      </c>
    </row>
    <row r="312" spans="1:11" x14ac:dyDescent="0.25">
      <c r="A312">
        <v>297</v>
      </c>
      <c r="B312" t="s">
        <v>574</v>
      </c>
      <c r="C312" t="s">
        <v>260</v>
      </c>
      <c r="D312" t="s">
        <v>305</v>
      </c>
      <c r="E312">
        <v>0.65679416000000002</v>
      </c>
      <c r="F312">
        <v>0</v>
      </c>
      <c r="G312">
        <v>1.4277481E-2</v>
      </c>
      <c r="H312">
        <v>5.2956831000000003E-2</v>
      </c>
      <c r="I312">
        <v>1.107251E-4</v>
      </c>
      <c r="J312">
        <v>6.0053400999999999E-2</v>
      </c>
      <c r="K312">
        <v>0.52939572999999995</v>
      </c>
    </row>
    <row r="313" spans="1:11" x14ac:dyDescent="0.25">
      <c r="A313">
        <v>298</v>
      </c>
      <c r="B313" t="s">
        <v>575</v>
      </c>
      <c r="C313" t="s">
        <v>260</v>
      </c>
      <c r="D313" t="s">
        <v>305</v>
      </c>
      <c r="E313">
        <v>0.48176228999999998</v>
      </c>
      <c r="F313">
        <v>0</v>
      </c>
      <c r="G313">
        <v>9.1054319000000005E-3</v>
      </c>
      <c r="H313">
        <v>3.3847457999999997E-2</v>
      </c>
      <c r="I313">
        <v>1.5626818999999999E-4</v>
      </c>
      <c r="J313">
        <v>4.3914631000000003E-2</v>
      </c>
      <c r="K313">
        <v>0.39473849999999999</v>
      </c>
    </row>
    <row r="314" spans="1:11" x14ac:dyDescent="0.25">
      <c r="A314">
        <v>299</v>
      </c>
      <c r="B314" t="s">
        <v>576</v>
      </c>
      <c r="C314" t="s">
        <v>260</v>
      </c>
      <c r="D314" t="s">
        <v>305</v>
      </c>
      <c r="E314">
        <v>0.22444702</v>
      </c>
      <c r="F314">
        <v>0</v>
      </c>
      <c r="G314">
        <v>8.7886322999999999E-3</v>
      </c>
      <c r="H314">
        <v>7.5056671000000005E-2</v>
      </c>
      <c r="I314" s="74">
        <v>4.9563742999999999E-5</v>
      </c>
      <c r="J314">
        <v>0.12679330999999999</v>
      </c>
      <c r="K314">
        <v>1.3758846999999999E-2</v>
      </c>
    </row>
    <row r="315" spans="1:11" x14ac:dyDescent="0.25">
      <c r="A315">
        <v>300</v>
      </c>
      <c r="B315" t="s">
        <v>577</v>
      </c>
      <c r="C315" t="s">
        <v>260</v>
      </c>
      <c r="D315" t="s">
        <v>305</v>
      </c>
      <c r="E315">
        <v>1.9099868</v>
      </c>
      <c r="F315">
        <v>0</v>
      </c>
      <c r="G315">
        <v>0.18401234999999999</v>
      </c>
      <c r="H315">
        <v>0.49939433</v>
      </c>
      <c r="I315">
        <v>3.2995404999999998E-3</v>
      </c>
      <c r="J315">
        <v>0.39760226999999998</v>
      </c>
      <c r="K315">
        <v>0.82567829000000004</v>
      </c>
    </row>
    <row r="316" spans="1:11" x14ac:dyDescent="0.25">
      <c r="A316">
        <v>301</v>
      </c>
      <c r="B316" t="s">
        <v>578</v>
      </c>
      <c r="C316" t="s">
        <v>260</v>
      </c>
      <c r="D316" t="s">
        <v>305</v>
      </c>
      <c r="E316">
        <v>1240481.1000000001</v>
      </c>
      <c r="F316">
        <v>0</v>
      </c>
      <c r="G316">
        <v>5988.1130000000003</v>
      </c>
      <c r="H316">
        <v>14309.879000000001</v>
      </c>
      <c r="I316">
        <v>137.02036000000001</v>
      </c>
      <c r="J316">
        <v>11007.200999999999</v>
      </c>
      <c r="K316">
        <v>1209038.8999999999</v>
      </c>
    </row>
    <row r="317" spans="1:11" x14ac:dyDescent="0.25">
      <c r="A317">
        <v>302</v>
      </c>
      <c r="B317" t="s">
        <v>579</v>
      </c>
      <c r="C317" t="s">
        <v>260</v>
      </c>
      <c r="D317" t="s">
        <v>305</v>
      </c>
      <c r="E317" s="74">
        <v>2.5476274000000003E-7</v>
      </c>
      <c r="F317">
        <v>0</v>
      </c>
      <c r="G317" s="74">
        <v>9.4149489000000009E-10</v>
      </c>
      <c r="H317" s="74">
        <v>2.3245227000000002E-9</v>
      </c>
      <c r="I317" s="74">
        <v>1.9682885000000002E-11</v>
      </c>
      <c r="J317" s="74">
        <v>1.7793988999999999E-9</v>
      </c>
      <c r="K317" s="74">
        <v>2.4969763999999998E-7</v>
      </c>
    </row>
    <row r="318" spans="1:11" x14ac:dyDescent="0.25">
      <c r="A318">
        <v>303</v>
      </c>
      <c r="B318" t="s">
        <v>580</v>
      </c>
      <c r="C318" t="s">
        <v>260</v>
      </c>
      <c r="D318" t="s">
        <v>192</v>
      </c>
      <c r="E318" s="74">
        <v>1.1708747000000001E-7</v>
      </c>
      <c r="F318">
        <v>0</v>
      </c>
      <c r="G318" s="74">
        <v>6.7743300999999997E-10</v>
      </c>
      <c r="H318" s="74">
        <v>2.6535018000000001E-9</v>
      </c>
      <c r="I318" s="74">
        <v>1.2767002E-11</v>
      </c>
      <c r="J318" s="74">
        <v>3.3771832999999999E-9</v>
      </c>
      <c r="K318" s="74">
        <v>1.1036659000000001E-7</v>
      </c>
    </row>
    <row r="319" spans="1:11" x14ac:dyDescent="0.25">
      <c r="A319">
        <v>304</v>
      </c>
      <c r="B319" t="s">
        <v>581</v>
      </c>
      <c r="C319" t="s">
        <v>260</v>
      </c>
      <c r="D319" t="s">
        <v>192</v>
      </c>
      <c r="E319" s="74">
        <v>2.6220509999999998E-7</v>
      </c>
      <c r="F319">
        <v>0</v>
      </c>
      <c r="G319" s="74">
        <v>2.0175067999999999E-8</v>
      </c>
      <c r="H319" s="74">
        <v>6.0975252000000003E-8</v>
      </c>
      <c r="I319" s="74">
        <v>1.5174210000000001E-10</v>
      </c>
      <c r="J319" s="74">
        <v>7.8300901000000006E-8</v>
      </c>
      <c r="K319" s="74">
        <v>1.0260214E-7</v>
      </c>
    </row>
    <row r="320" spans="1:11" x14ac:dyDescent="0.25">
      <c r="A320">
        <v>305</v>
      </c>
      <c r="B320" t="s">
        <v>582</v>
      </c>
      <c r="C320" t="s">
        <v>260</v>
      </c>
      <c r="D320" t="s">
        <v>192</v>
      </c>
      <c r="E320" s="74">
        <v>8.4686118E-13</v>
      </c>
      <c r="F320">
        <v>0</v>
      </c>
      <c r="G320" s="74">
        <v>4.7706773E-14</v>
      </c>
      <c r="H320" s="74">
        <v>2.8399922000000002E-13</v>
      </c>
      <c r="I320" s="74">
        <v>3.0124428000000001E-16</v>
      </c>
      <c r="J320" s="74">
        <v>1.9830460999999999E-13</v>
      </c>
      <c r="K320" s="74">
        <v>3.1654933000000001E-13</v>
      </c>
    </row>
    <row r="321" spans="1:11" x14ac:dyDescent="0.25">
      <c r="A321">
        <v>306</v>
      </c>
      <c r="B321" t="s">
        <v>583</v>
      </c>
      <c r="C321" t="s">
        <v>260</v>
      </c>
      <c r="D321" t="s">
        <v>192</v>
      </c>
      <c r="E321" s="74">
        <v>5.9310276000000001E-5</v>
      </c>
      <c r="F321">
        <v>0</v>
      </c>
      <c r="G321" s="74">
        <v>1.8595721E-6</v>
      </c>
      <c r="H321" s="74">
        <v>1.7649488000000002E-5</v>
      </c>
      <c r="I321" s="74">
        <v>4.7225513000000004E-9</v>
      </c>
      <c r="J321" s="74">
        <v>3.0995214000000003E-5</v>
      </c>
      <c r="K321" s="74">
        <v>8.8012790000000008E-6</v>
      </c>
    </row>
    <row r="322" spans="1:11" x14ac:dyDescent="0.25">
      <c r="A322">
        <v>307</v>
      </c>
      <c r="B322" t="s">
        <v>584</v>
      </c>
      <c r="C322" t="s">
        <v>260</v>
      </c>
      <c r="D322" t="s">
        <v>192</v>
      </c>
      <c r="E322" s="74">
        <v>3.4023468000000002E-9</v>
      </c>
      <c r="F322">
        <v>0</v>
      </c>
      <c r="G322" s="74">
        <v>2.5523166999999999E-11</v>
      </c>
      <c r="H322" s="74">
        <v>1.1106479E-10</v>
      </c>
      <c r="I322" s="74">
        <v>4.5555089999999997E-12</v>
      </c>
      <c r="J322" s="74">
        <v>3.2316980000000001E-9</v>
      </c>
      <c r="K322" s="74">
        <v>2.9505281E-11</v>
      </c>
    </row>
    <row r="323" spans="1:11" x14ac:dyDescent="0.25">
      <c r="A323">
        <v>308</v>
      </c>
      <c r="B323" t="s">
        <v>585</v>
      </c>
      <c r="C323" t="s">
        <v>260</v>
      </c>
      <c r="D323" t="s">
        <v>192</v>
      </c>
      <c r="E323" s="74">
        <v>4.8161983000000003E-9</v>
      </c>
      <c r="F323">
        <v>0</v>
      </c>
      <c r="G323" s="74">
        <v>2.7283474000000001E-11</v>
      </c>
      <c r="H323" s="74">
        <v>1.1164765E-10</v>
      </c>
      <c r="I323" s="74">
        <v>6.2039947000000002E-13</v>
      </c>
      <c r="J323" s="74">
        <v>6.5631866999999996E-11</v>
      </c>
      <c r="K323" s="74">
        <v>4.6110148999999997E-9</v>
      </c>
    </row>
    <row r="324" spans="1:11" x14ac:dyDescent="0.25">
      <c r="A324">
        <v>309</v>
      </c>
      <c r="B324" t="s">
        <v>586</v>
      </c>
      <c r="C324" t="s">
        <v>260</v>
      </c>
      <c r="D324" t="s">
        <v>305</v>
      </c>
      <c r="E324" s="74">
        <v>5.8633675999999998E-6</v>
      </c>
      <c r="F324">
        <v>0</v>
      </c>
      <c r="G324" s="74">
        <v>2.0391185E-8</v>
      </c>
      <c r="H324" s="74">
        <v>5.0627743000000003E-8</v>
      </c>
      <c r="I324" s="74">
        <v>4.2752111000000002E-10</v>
      </c>
      <c r="J324" s="74">
        <v>3.8416652999999998E-8</v>
      </c>
      <c r="K324" s="74">
        <v>5.7535044999999999E-6</v>
      </c>
    </row>
    <row r="325" spans="1:11" x14ac:dyDescent="0.25">
      <c r="A325">
        <v>310</v>
      </c>
      <c r="B325" t="s">
        <v>587</v>
      </c>
      <c r="C325" t="s">
        <v>260</v>
      </c>
      <c r="D325" t="s">
        <v>192</v>
      </c>
      <c r="E325" s="74">
        <v>7.7146651E-6</v>
      </c>
      <c r="F325">
        <v>0</v>
      </c>
      <c r="G325" s="74">
        <v>1.6676341E-7</v>
      </c>
      <c r="H325" s="74">
        <v>1.1788573E-6</v>
      </c>
      <c r="I325" s="74">
        <v>1.1378198E-9</v>
      </c>
      <c r="J325" s="74">
        <v>1.8279049000000001E-6</v>
      </c>
      <c r="K325" s="74">
        <v>4.5400017000000004E-6</v>
      </c>
    </row>
    <row r="326" spans="1:11" x14ac:dyDescent="0.25">
      <c r="A326">
        <v>311</v>
      </c>
      <c r="B326" t="s">
        <v>588</v>
      </c>
      <c r="C326" t="s">
        <v>260</v>
      </c>
      <c r="D326" t="s">
        <v>192</v>
      </c>
      <c r="E326" s="74">
        <v>2.6531684000000002E-7</v>
      </c>
      <c r="F326">
        <v>0</v>
      </c>
      <c r="G326" s="74">
        <v>2.3446028999999998E-10</v>
      </c>
      <c r="H326" s="74">
        <v>2.6147688999999998E-7</v>
      </c>
      <c r="I326" s="74">
        <v>4.7156795000000002E-10</v>
      </c>
      <c r="J326" s="74">
        <v>1.9301614999999999E-9</v>
      </c>
      <c r="K326" s="74">
        <v>1.2037665E-9</v>
      </c>
    </row>
    <row r="327" spans="1:11" x14ac:dyDescent="0.25">
      <c r="A327">
        <v>312</v>
      </c>
      <c r="B327" t="s">
        <v>589</v>
      </c>
      <c r="C327" t="s">
        <v>260</v>
      </c>
      <c r="D327" t="s">
        <v>192</v>
      </c>
      <c r="E327" s="74">
        <v>3.8529627999999998E-10</v>
      </c>
      <c r="F327">
        <v>0</v>
      </c>
      <c r="G327" s="74">
        <v>8.9892687000000006E-12</v>
      </c>
      <c r="H327" s="74">
        <v>3.3670304999999997E-10</v>
      </c>
      <c r="I327" s="74">
        <v>2.5801168999999999E-14</v>
      </c>
      <c r="J327" s="74">
        <v>3.5847078999999998E-11</v>
      </c>
      <c r="K327" s="74">
        <v>3.7310812000000002E-12</v>
      </c>
    </row>
    <row r="328" spans="1:11" x14ac:dyDescent="0.25">
      <c r="A328">
        <v>313</v>
      </c>
      <c r="B328" t="s">
        <v>590</v>
      </c>
      <c r="C328" t="s">
        <v>260</v>
      </c>
      <c r="D328" t="s">
        <v>192</v>
      </c>
      <c r="E328" s="74">
        <v>3.9420120000000001E-10</v>
      </c>
      <c r="F328">
        <v>0</v>
      </c>
      <c r="G328" s="74">
        <v>1.7359202E-11</v>
      </c>
      <c r="H328" s="74">
        <v>3.0335064999999999E-10</v>
      </c>
      <c r="I328" s="74">
        <v>1.1632768999999999E-13</v>
      </c>
      <c r="J328" s="74">
        <v>6.6221795000000001E-11</v>
      </c>
      <c r="K328" s="74">
        <v>7.1532195999999999E-12</v>
      </c>
    </row>
    <row r="329" spans="1:11" x14ac:dyDescent="0.25">
      <c r="A329">
        <v>314</v>
      </c>
      <c r="B329" t="s">
        <v>591</v>
      </c>
      <c r="C329" t="s">
        <v>260</v>
      </c>
      <c r="D329" t="s">
        <v>192</v>
      </c>
      <c r="E329" s="74">
        <v>1.6528814999999999E-8</v>
      </c>
      <c r="F329">
        <v>0</v>
      </c>
      <c r="G329" s="74">
        <v>2.2821034000000001E-9</v>
      </c>
      <c r="H329" s="74">
        <v>5.6648942E-9</v>
      </c>
      <c r="I329" s="74">
        <v>9.8688991000000008E-13</v>
      </c>
      <c r="J329" s="74">
        <v>8.5220226000000007E-9</v>
      </c>
      <c r="K329" s="74">
        <v>5.8807619000000004E-11</v>
      </c>
    </row>
    <row r="330" spans="1:11" x14ac:dyDescent="0.25">
      <c r="A330">
        <v>315</v>
      </c>
      <c r="B330" t="s">
        <v>592</v>
      </c>
      <c r="C330" t="s">
        <v>260</v>
      </c>
      <c r="D330" t="s">
        <v>192</v>
      </c>
      <c r="E330" s="74">
        <v>1.1006214000000001E-13</v>
      </c>
      <c r="F330">
        <v>0</v>
      </c>
      <c r="G330" s="74">
        <v>9.6521870999999997E-16</v>
      </c>
      <c r="H330" s="74">
        <v>2.6434080000000001E-14</v>
      </c>
      <c r="I330" s="74">
        <v>1.7685031E-17</v>
      </c>
      <c r="J330" s="74">
        <v>2.0660648000000001E-14</v>
      </c>
      <c r="K330" s="74">
        <v>6.1984504999999995E-14</v>
      </c>
    </row>
    <row r="331" spans="1:11" x14ac:dyDescent="0.25">
      <c r="A331">
        <v>316</v>
      </c>
      <c r="B331" t="s">
        <v>593</v>
      </c>
      <c r="C331" t="s">
        <v>260</v>
      </c>
      <c r="D331" t="s">
        <v>192</v>
      </c>
      <c r="E331" s="74">
        <v>9.6955193999999994E-7</v>
      </c>
      <c r="F331">
        <v>0</v>
      </c>
      <c r="G331" s="74">
        <v>4.2977011000000002E-8</v>
      </c>
      <c r="H331" s="74">
        <v>2.6795808E-7</v>
      </c>
      <c r="I331" s="74">
        <v>4.3922593000000001E-10</v>
      </c>
      <c r="J331" s="74">
        <v>4.1071571000000002E-7</v>
      </c>
      <c r="K331" s="74">
        <v>2.4746191000000001E-7</v>
      </c>
    </row>
    <row r="332" spans="1:11" x14ac:dyDescent="0.25">
      <c r="A332">
        <v>317</v>
      </c>
      <c r="B332" t="s">
        <v>594</v>
      </c>
      <c r="C332" t="s">
        <v>260</v>
      </c>
      <c r="D332" t="s">
        <v>192</v>
      </c>
      <c r="E332" s="74">
        <v>8.1421461000000003E-7</v>
      </c>
      <c r="F332">
        <v>0</v>
      </c>
      <c r="G332" s="74">
        <v>6.2310054000000004E-8</v>
      </c>
      <c r="H332" s="74">
        <v>2.5884595999999997E-7</v>
      </c>
      <c r="I332" s="74">
        <v>9.0113199000000004E-10</v>
      </c>
      <c r="J332" s="74">
        <v>4.4309266999999998E-7</v>
      </c>
      <c r="K332" s="74">
        <v>4.9064806999999998E-8</v>
      </c>
    </row>
    <row r="333" spans="1:11" x14ac:dyDescent="0.25">
      <c r="A333">
        <v>318</v>
      </c>
      <c r="B333" t="s">
        <v>595</v>
      </c>
      <c r="C333" t="s">
        <v>260</v>
      </c>
      <c r="D333" t="s">
        <v>192</v>
      </c>
      <c r="E333">
        <v>1.4920071000000001E-3</v>
      </c>
      <c r="F333">
        <v>0</v>
      </c>
      <c r="G333" s="74">
        <v>5.8742080000000005E-7</v>
      </c>
      <c r="H333">
        <v>1.4430011E-3</v>
      </c>
      <c r="I333" s="74">
        <v>1.8306390000000001E-7</v>
      </c>
      <c r="J333" s="74">
        <v>1.2176412E-5</v>
      </c>
      <c r="K333" s="74">
        <v>3.6059176000000003E-5</v>
      </c>
    </row>
    <row r="334" spans="1:11" x14ac:dyDescent="0.25">
      <c r="A334">
        <v>319</v>
      </c>
      <c r="B334" t="s">
        <v>596</v>
      </c>
      <c r="C334" t="s">
        <v>260</v>
      </c>
      <c r="D334" t="s">
        <v>192</v>
      </c>
      <c r="E334" s="74">
        <v>8.0980794999999995E-12</v>
      </c>
      <c r="F334">
        <v>0</v>
      </c>
      <c r="G334" s="74">
        <v>4.5619429999999996E-13</v>
      </c>
      <c r="H334" s="74">
        <v>2.7157322999999999E-12</v>
      </c>
      <c r="I334" s="74">
        <v>2.8806375999999998E-15</v>
      </c>
      <c r="J334" s="74">
        <v>1.8962807000000001E-12</v>
      </c>
      <c r="K334" s="74">
        <v>3.0269915999999999E-12</v>
      </c>
    </row>
    <row r="335" spans="1:11" x14ac:dyDescent="0.25">
      <c r="A335">
        <v>320</v>
      </c>
      <c r="B335" t="s">
        <v>597</v>
      </c>
      <c r="C335" t="s">
        <v>260</v>
      </c>
      <c r="D335" t="s">
        <v>192</v>
      </c>
      <c r="E335">
        <v>1.0448870000000001E-2</v>
      </c>
      <c r="F335">
        <v>0</v>
      </c>
      <c r="G335">
        <v>3.6825922E-4</v>
      </c>
      <c r="H335">
        <v>3.0332279999999998E-3</v>
      </c>
      <c r="I335" s="74">
        <v>4.2868536999999997E-6</v>
      </c>
      <c r="J335">
        <v>4.0297086000000001E-3</v>
      </c>
      <c r="K335">
        <v>3.0133876E-3</v>
      </c>
    </row>
    <row r="336" spans="1:11" x14ac:dyDescent="0.25">
      <c r="A336">
        <v>321</v>
      </c>
      <c r="B336" t="s">
        <v>598</v>
      </c>
      <c r="C336" t="s">
        <v>260</v>
      </c>
      <c r="D336" t="s">
        <v>192</v>
      </c>
      <c r="E336" s="74">
        <v>9.3896961000000001E-7</v>
      </c>
      <c r="F336">
        <v>0</v>
      </c>
      <c r="G336" s="74">
        <v>1.1942306E-8</v>
      </c>
      <c r="H336" s="74">
        <v>3.1158772999999998E-8</v>
      </c>
      <c r="I336" s="74">
        <v>2.2692901E-10</v>
      </c>
      <c r="J336" s="74">
        <v>2.3686988999999999E-8</v>
      </c>
      <c r="K336" s="74">
        <v>8.7195460999999996E-7</v>
      </c>
    </row>
    <row r="337" spans="1:11" x14ac:dyDescent="0.25">
      <c r="A337">
        <v>322</v>
      </c>
      <c r="B337" t="s">
        <v>599</v>
      </c>
      <c r="C337" t="s">
        <v>260</v>
      </c>
      <c r="D337" t="s">
        <v>192</v>
      </c>
      <c r="E337" s="74">
        <v>7.8384066999999994E-9</v>
      </c>
      <c r="F337">
        <v>0</v>
      </c>
      <c r="G337" s="74">
        <v>6.8953828000000005E-11</v>
      </c>
      <c r="H337" s="74">
        <v>7.3597262999999998E-9</v>
      </c>
      <c r="I337" s="74">
        <v>2.3847062000000001E-13</v>
      </c>
      <c r="J337" s="74">
        <v>2.7355839E-10</v>
      </c>
      <c r="K337" s="74">
        <v>1.3592966999999999E-10</v>
      </c>
    </row>
    <row r="338" spans="1:11" x14ac:dyDescent="0.25">
      <c r="A338">
        <v>323</v>
      </c>
      <c r="B338" t="s">
        <v>600</v>
      </c>
      <c r="C338" t="s">
        <v>260</v>
      </c>
      <c r="D338" t="s">
        <v>192</v>
      </c>
      <c r="E338" s="74">
        <v>1.2818295999999999E-10</v>
      </c>
      <c r="F338">
        <v>0</v>
      </c>
      <c r="G338" s="74">
        <v>1.1937556000000001E-11</v>
      </c>
      <c r="H338" s="74">
        <v>4.2813149000000001E-11</v>
      </c>
      <c r="I338" s="74">
        <v>1.1051938E-13</v>
      </c>
      <c r="J338" s="74">
        <v>4.8562649000000002E-11</v>
      </c>
      <c r="K338" s="74">
        <v>2.4759089000000001E-11</v>
      </c>
    </row>
    <row r="339" spans="1:11" x14ac:dyDescent="0.25">
      <c r="A339">
        <v>324</v>
      </c>
      <c r="B339" t="s">
        <v>601</v>
      </c>
      <c r="C339" t="s">
        <v>260</v>
      </c>
      <c r="D339" t="s">
        <v>192</v>
      </c>
      <c r="E339" s="74">
        <v>2.0239932000000001E-7</v>
      </c>
      <c r="F339">
        <v>0</v>
      </c>
      <c r="G339" s="74">
        <v>8.7534410000000006E-9</v>
      </c>
      <c r="H339" s="74">
        <v>1.5808824E-7</v>
      </c>
      <c r="I339" s="74">
        <v>5.9908054999999998E-11</v>
      </c>
      <c r="J339" s="74">
        <v>3.3282433000000002E-8</v>
      </c>
      <c r="K339" s="74">
        <v>2.2152902000000002E-9</v>
      </c>
    </row>
    <row r="340" spans="1:11" x14ac:dyDescent="0.25">
      <c r="A340">
        <v>325</v>
      </c>
      <c r="B340" t="s">
        <v>602</v>
      </c>
      <c r="C340" t="s">
        <v>260</v>
      </c>
      <c r="D340" t="s">
        <v>192</v>
      </c>
      <c r="E340" s="74">
        <v>1.2032141E-8</v>
      </c>
      <c r="F340">
        <v>0</v>
      </c>
      <c r="G340" s="74">
        <v>3.9806996000000004E-9</v>
      </c>
      <c r="H340" s="74">
        <v>5.1925365000000001E-9</v>
      </c>
      <c r="I340" s="74">
        <v>2.1201699999999998E-12</v>
      </c>
      <c r="J340" s="74">
        <v>1.5402083999999999E-9</v>
      </c>
      <c r="K340" s="74">
        <v>1.3165762E-9</v>
      </c>
    </row>
    <row r="341" spans="1:11" x14ac:dyDescent="0.25">
      <c r="A341">
        <v>326</v>
      </c>
      <c r="B341" t="s">
        <v>603</v>
      </c>
      <c r="C341" t="s">
        <v>260</v>
      </c>
      <c r="D341" t="s">
        <v>192</v>
      </c>
      <c r="E341" s="74">
        <v>6.7753965E-12</v>
      </c>
      <c r="F341">
        <v>0</v>
      </c>
      <c r="G341" s="74">
        <v>3.2031680999999997E-14</v>
      </c>
      <c r="H341" s="74">
        <v>6.4057333000000003E-12</v>
      </c>
      <c r="I341" s="74">
        <v>2.2352354999999998E-16</v>
      </c>
      <c r="J341" s="74">
        <v>1.6677350000000001E-13</v>
      </c>
      <c r="K341" s="74">
        <v>1.7063444000000001E-13</v>
      </c>
    </row>
    <row r="342" spans="1:11" x14ac:dyDescent="0.25">
      <c r="A342">
        <v>327</v>
      </c>
      <c r="B342" t="s">
        <v>604</v>
      </c>
      <c r="C342" t="s">
        <v>260</v>
      </c>
      <c r="D342" t="s">
        <v>192</v>
      </c>
      <c r="E342" s="74">
        <v>2.6157213000000001E-20</v>
      </c>
      <c r="F342">
        <v>0</v>
      </c>
      <c r="G342" s="74">
        <v>7.8666061999999996E-22</v>
      </c>
      <c r="H342" s="74">
        <v>9.0036244000000002E-21</v>
      </c>
      <c r="I342" s="74">
        <v>7.3833159999999998E-25</v>
      </c>
      <c r="J342" s="74">
        <v>1.5963085999999999E-20</v>
      </c>
      <c r="K342" s="74">
        <v>4.0310349999999998E-22</v>
      </c>
    </row>
    <row r="343" spans="1:11" x14ac:dyDescent="0.25">
      <c r="A343">
        <v>328</v>
      </c>
      <c r="B343" t="s">
        <v>605</v>
      </c>
      <c r="C343" t="s">
        <v>260</v>
      </c>
      <c r="D343" t="s">
        <v>192</v>
      </c>
      <c r="E343" s="74">
        <v>1.7596342E-17</v>
      </c>
      <c r="F343">
        <v>0</v>
      </c>
      <c r="G343" s="74">
        <v>2.4026654000000002E-18</v>
      </c>
      <c r="H343" s="74">
        <v>5.969452E-18</v>
      </c>
      <c r="I343" s="74">
        <v>1.0466762000000001E-19</v>
      </c>
      <c r="J343" s="74">
        <v>9.0292938000000007E-18</v>
      </c>
      <c r="K343" s="74">
        <v>9.0263309000000001E-20</v>
      </c>
    </row>
    <row r="344" spans="1:11" x14ac:dyDescent="0.25">
      <c r="A344">
        <v>329</v>
      </c>
      <c r="B344" t="s">
        <v>606</v>
      </c>
      <c r="C344" t="s">
        <v>260</v>
      </c>
      <c r="D344" t="s">
        <v>192</v>
      </c>
      <c r="E344" s="74">
        <v>1.8089073999999999E-9</v>
      </c>
      <c r="F344">
        <v>0</v>
      </c>
      <c r="G344" s="74">
        <v>9.1435308999999996E-11</v>
      </c>
      <c r="H344" s="74">
        <v>5.6942500999999997E-10</v>
      </c>
      <c r="I344" s="74">
        <v>6.7856433E-13</v>
      </c>
      <c r="J344" s="74">
        <v>4.5466900999999998E-10</v>
      </c>
      <c r="K344" s="74">
        <v>6.9269952000000003E-10</v>
      </c>
    </row>
    <row r="345" spans="1:11" x14ac:dyDescent="0.25">
      <c r="A345">
        <v>330</v>
      </c>
      <c r="B345" t="s">
        <v>607</v>
      </c>
      <c r="C345" t="s">
        <v>260</v>
      </c>
      <c r="D345" t="s">
        <v>192</v>
      </c>
      <c r="E345" s="74">
        <v>3.9758684E-12</v>
      </c>
      <c r="F345">
        <v>0</v>
      </c>
      <c r="G345" s="74">
        <v>3.4867417999999998E-14</v>
      </c>
      <c r="H345" s="74">
        <v>9.5490077999999999E-13</v>
      </c>
      <c r="I345" s="74">
        <v>6.3885144999999995E-16</v>
      </c>
      <c r="J345" s="74">
        <v>7.4634220999999997E-13</v>
      </c>
      <c r="K345" s="74">
        <v>2.2391191000000001E-12</v>
      </c>
    </row>
    <row r="346" spans="1:11" x14ac:dyDescent="0.25">
      <c r="A346">
        <v>331</v>
      </c>
      <c r="B346" t="s">
        <v>608</v>
      </c>
      <c r="C346" t="s">
        <v>260</v>
      </c>
      <c r="D346" t="s">
        <v>192</v>
      </c>
      <c r="E346" s="74">
        <v>5.2850428000000003E-9</v>
      </c>
      <c r="F346">
        <v>0</v>
      </c>
      <c r="G346" s="74">
        <v>1.8537819000000001E-10</v>
      </c>
      <c r="H346" s="74">
        <v>1.7523449000000001E-9</v>
      </c>
      <c r="I346" s="74">
        <v>5.9954057999999996E-13</v>
      </c>
      <c r="J346" s="74">
        <v>3.0945911000000001E-9</v>
      </c>
      <c r="K346" s="74">
        <v>2.5212905999999999E-10</v>
      </c>
    </row>
    <row r="347" spans="1:11" x14ac:dyDescent="0.25">
      <c r="A347">
        <v>332</v>
      </c>
      <c r="B347" t="s">
        <v>609</v>
      </c>
      <c r="C347" t="s">
        <v>260</v>
      </c>
      <c r="D347" t="s">
        <v>192</v>
      </c>
      <c r="E347" s="74">
        <v>1.1541753999999999E-13</v>
      </c>
      <c r="F347">
        <v>0</v>
      </c>
      <c r="G347" s="74">
        <v>6.5018903000000004E-15</v>
      </c>
      <c r="H347" s="74">
        <v>3.8705862E-14</v>
      </c>
      <c r="I347" s="74">
        <v>4.1056166999999998E-17</v>
      </c>
      <c r="J347" s="74">
        <v>2.7026662000000001E-14</v>
      </c>
      <c r="K347" s="74">
        <v>4.3142070999999999E-14</v>
      </c>
    </row>
    <row r="348" spans="1:11" x14ac:dyDescent="0.25">
      <c r="A348">
        <v>333</v>
      </c>
      <c r="B348" t="s">
        <v>610</v>
      </c>
      <c r="C348" t="s">
        <v>260</v>
      </c>
      <c r="D348" t="s">
        <v>192</v>
      </c>
      <c r="E348" s="74">
        <v>4.1132328000000002E-13</v>
      </c>
      <c r="F348">
        <v>0</v>
      </c>
      <c r="G348" s="74">
        <v>2.3171338E-14</v>
      </c>
      <c r="H348" s="74">
        <v>1.3793936000000001E-13</v>
      </c>
      <c r="I348" s="74">
        <v>1.4631535E-16</v>
      </c>
      <c r="J348" s="74">
        <v>9.6317207000000004E-14</v>
      </c>
      <c r="K348" s="74">
        <v>1.5374905999999999E-13</v>
      </c>
    </row>
    <row r="349" spans="1:11" x14ac:dyDescent="0.25">
      <c r="A349">
        <v>334</v>
      </c>
      <c r="B349" t="s">
        <v>611</v>
      </c>
      <c r="C349" t="s">
        <v>260</v>
      </c>
      <c r="D349" t="s">
        <v>192</v>
      </c>
      <c r="E349" s="74">
        <v>5.9842649000000001E-9</v>
      </c>
      <c r="F349">
        <v>0</v>
      </c>
      <c r="G349" s="74">
        <v>1.9751842E-10</v>
      </c>
      <c r="H349" s="74">
        <v>2.0312436E-9</v>
      </c>
      <c r="I349" s="74">
        <v>4.0149034999999999E-13</v>
      </c>
      <c r="J349" s="74">
        <v>3.5703121000000001E-9</v>
      </c>
      <c r="K349" s="74">
        <v>1.847893E-10</v>
      </c>
    </row>
    <row r="350" spans="1:11" x14ac:dyDescent="0.25">
      <c r="A350">
        <v>335</v>
      </c>
      <c r="B350" t="s">
        <v>612</v>
      </c>
      <c r="C350" t="s">
        <v>260</v>
      </c>
      <c r="D350" t="s">
        <v>305</v>
      </c>
      <c r="E350">
        <v>2.8225284999999999E-2</v>
      </c>
      <c r="F350">
        <v>0</v>
      </c>
      <c r="G350">
        <v>1.7039073E-3</v>
      </c>
      <c r="H350">
        <v>8.9799482000000007E-3</v>
      </c>
      <c r="I350" s="74">
        <v>2.114158E-5</v>
      </c>
      <c r="J350">
        <v>1.2839998E-2</v>
      </c>
      <c r="K350">
        <v>4.6802896999999996E-3</v>
      </c>
    </row>
    <row r="351" spans="1:11" x14ac:dyDescent="0.25">
      <c r="A351">
        <v>336</v>
      </c>
      <c r="B351" t="s">
        <v>613</v>
      </c>
      <c r="C351" t="s">
        <v>260</v>
      </c>
      <c r="D351" t="s">
        <v>305</v>
      </c>
      <c r="E351">
        <v>4.5015863000000003E-2</v>
      </c>
      <c r="F351">
        <v>0</v>
      </c>
      <c r="G351">
        <v>5.8022485999999999E-4</v>
      </c>
      <c r="H351">
        <v>1.5742499999999999E-3</v>
      </c>
      <c r="I351" s="74">
        <v>1.6482092000000001E-5</v>
      </c>
      <c r="J351">
        <v>5.4472397000000002E-3</v>
      </c>
      <c r="K351">
        <v>3.7397666000000003E-2</v>
      </c>
    </row>
    <row r="352" spans="1:11" x14ac:dyDescent="0.25">
      <c r="A352">
        <v>337</v>
      </c>
      <c r="B352" t="s">
        <v>614</v>
      </c>
      <c r="C352" t="s">
        <v>260</v>
      </c>
      <c r="D352" t="s">
        <v>305</v>
      </c>
      <c r="E352">
        <v>2.6087534999999999E-2</v>
      </c>
      <c r="F352">
        <v>0</v>
      </c>
      <c r="G352">
        <v>2.0124377E-3</v>
      </c>
      <c r="H352">
        <v>8.2622944999999996E-3</v>
      </c>
      <c r="I352" s="74">
        <v>2.9954037999999999E-5</v>
      </c>
      <c r="J352">
        <v>1.0288201E-2</v>
      </c>
      <c r="K352">
        <v>5.4946478000000003E-3</v>
      </c>
    </row>
    <row r="353" spans="1:11" x14ac:dyDescent="0.25">
      <c r="A353">
        <v>338</v>
      </c>
      <c r="B353" t="s">
        <v>615</v>
      </c>
      <c r="C353" t="s">
        <v>260</v>
      </c>
      <c r="D353" t="s">
        <v>305</v>
      </c>
      <c r="E353">
        <v>2.0361150000000001E-2</v>
      </c>
      <c r="F353">
        <v>0</v>
      </c>
      <c r="G353">
        <v>4.4702236999999998E-4</v>
      </c>
      <c r="H353">
        <v>1.1855343999999999E-3</v>
      </c>
      <c r="I353" s="74">
        <v>8.1216514999999995E-6</v>
      </c>
      <c r="J353">
        <v>9.1004938000000001E-4</v>
      </c>
      <c r="K353">
        <v>1.7810422999999999E-2</v>
      </c>
    </row>
    <row r="354" spans="1:11" x14ac:dyDescent="0.25">
      <c r="A354">
        <v>339</v>
      </c>
      <c r="B354" t="s">
        <v>616</v>
      </c>
      <c r="C354" t="s">
        <v>260</v>
      </c>
      <c r="D354" t="s">
        <v>192</v>
      </c>
      <c r="E354" s="74">
        <v>2.9676681999999998E-7</v>
      </c>
      <c r="F354">
        <v>0</v>
      </c>
      <c r="G354" s="74">
        <v>3.1080599E-8</v>
      </c>
      <c r="H354" s="74">
        <v>1.0010264999999999E-7</v>
      </c>
      <c r="I354" s="74">
        <v>5.6287105999999997E-11</v>
      </c>
      <c r="J354" s="74">
        <v>1.3058266000000001E-7</v>
      </c>
      <c r="K354" s="74">
        <v>3.4944621000000001E-8</v>
      </c>
    </row>
    <row r="355" spans="1:11" x14ac:dyDescent="0.25">
      <c r="A355">
        <v>340</v>
      </c>
      <c r="B355" t="s">
        <v>617</v>
      </c>
      <c r="C355" t="s">
        <v>260</v>
      </c>
      <c r="D355" t="s">
        <v>192</v>
      </c>
      <c r="E355" s="74">
        <v>3.3665653999999999E-6</v>
      </c>
      <c r="F355">
        <v>0</v>
      </c>
      <c r="G355" s="74">
        <v>5.9861345000000003E-8</v>
      </c>
      <c r="H355" s="74">
        <v>4.7015118999999999E-7</v>
      </c>
      <c r="I355" s="74">
        <v>3.8594643000000002E-10</v>
      </c>
      <c r="J355" s="74">
        <v>7.8302892999999997E-7</v>
      </c>
      <c r="K355" s="74">
        <v>2.0531380000000001E-6</v>
      </c>
    </row>
    <row r="356" spans="1:11" x14ac:dyDescent="0.25">
      <c r="A356">
        <v>341</v>
      </c>
      <c r="B356" t="s">
        <v>618</v>
      </c>
      <c r="C356" t="s">
        <v>260</v>
      </c>
      <c r="D356" t="s">
        <v>192</v>
      </c>
      <c r="E356">
        <v>1.2197824000000001E-4</v>
      </c>
      <c r="F356">
        <v>0</v>
      </c>
      <c r="G356" s="74">
        <v>4.9408473000000005E-7</v>
      </c>
      <c r="H356" s="74">
        <v>2.4706255999999998E-6</v>
      </c>
      <c r="I356" s="74">
        <v>6.2883094E-9</v>
      </c>
      <c r="J356" s="74">
        <v>2.9727773999999999E-6</v>
      </c>
      <c r="K356">
        <v>1.1603446E-4</v>
      </c>
    </row>
    <row r="357" spans="1:11" x14ac:dyDescent="0.25">
      <c r="A357">
        <v>342</v>
      </c>
      <c r="B357" t="s">
        <v>619</v>
      </c>
      <c r="C357" t="s">
        <v>260</v>
      </c>
      <c r="D357" t="s">
        <v>192</v>
      </c>
      <c r="E357" s="74">
        <v>2.7860838E-11</v>
      </c>
      <c r="F357">
        <v>0</v>
      </c>
      <c r="G357" s="74">
        <v>4.6313832999999999E-12</v>
      </c>
      <c r="H357" s="74">
        <v>1.0877656E-11</v>
      </c>
      <c r="I357" s="74">
        <v>1.2031594000000001E-13</v>
      </c>
      <c r="J357" s="74">
        <v>8.3391114999999997E-12</v>
      </c>
      <c r="K357" s="74">
        <v>3.8923712000000002E-12</v>
      </c>
    </row>
    <row r="358" spans="1:11" x14ac:dyDescent="0.25">
      <c r="A358">
        <v>343</v>
      </c>
      <c r="B358" t="s">
        <v>620</v>
      </c>
      <c r="C358" t="s">
        <v>260</v>
      </c>
      <c r="D358" t="s">
        <v>192</v>
      </c>
      <c r="E358" s="74">
        <v>7.3846448999999998E-14</v>
      </c>
      <c r="F358">
        <v>0</v>
      </c>
      <c r="G358" s="74">
        <v>4.1600386999999999E-15</v>
      </c>
      <c r="H358" s="74">
        <v>2.4764784E-14</v>
      </c>
      <c r="I358" s="74">
        <v>2.6268548E-17</v>
      </c>
      <c r="J358" s="74">
        <v>1.7292207000000002E-14</v>
      </c>
      <c r="K358" s="74">
        <v>2.7603150000000001E-14</v>
      </c>
    </row>
    <row r="359" spans="1:11" x14ac:dyDescent="0.25">
      <c r="A359">
        <v>344</v>
      </c>
      <c r="B359" t="s">
        <v>621</v>
      </c>
      <c r="C359" t="s">
        <v>260</v>
      </c>
      <c r="D359" t="s">
        <v>192</v>
      </c>
      <c r="E359" s="74">
        <v>1.1663639999999999E-10</v>
      </c>
      <c r="F359">
        <v>0</v>
      </c>
      <c r="G359" s="74">
        <v>6.5705528999999998E-12</v>
      </c>
      <c r="H359" s="74">
        <v>3.9114611E-11</v>
      </c>
      <c r="I359" s="74">
        <v>4.1489736999999999E-14</v>
      </c>
      <c r="J359" s="74">
        <v>2.7312073999999999E-11</v>
      </c>
      <c r="K359" s="74">
        <v>4.3597669000000002E-11</v>
      </c>
    </row>
    <row r="360" spans="1:11" x14ac:dyDescent="0.25">
      <c r="A360">
        <v>345</v>
      </c>
      <c r="B360" t="s">
        <v>622</v>
      </c>
      <c r="C360" t="s">
        <v>260</v>
      </c>
      <c r="D360" t="s">
        <v>192</v>
      </c>
      <c r="E360" s="74">
        <v>1.3334883999999999E-13</v>
      </c>
      <c r="F360">
        <v>0</v>
      </c>
      <c r="G360" s="74">
        <v>7.3318189999999995E-15</v>
      </c>
      <c r="H360" s="74">
        <v>4.5146896999999999E-14</v>
      </c>
      <c r="I360" s="74">
        <v>5.2875843999999997E-17</v>
      </c>
      <c r="J360" s="74">
        <v>3.4476739000000002E-14</v>
      </c>
      <c r="K360" s="74">
        <v>4.6340506999999998E-14</v>
      </c>
    </row>
    <row r="361" spans="1:11" x14ac:dyDescent="0.25">
      <c r="A361">
        <v>346</v>
      </c>
      <c r="B361" t="s">
        <v>623</v>
      </c>
      <c r="C361" t="s">
        <v>260</v>
      </c>
      <c r="D361" t="s">
        <v>192</v>
      </c>
      <c r="E361" s="74">
        <v>1.2781577000000001E-8</v>
      </c>
      <c r="F361">
        <v>0</v>
      </c>
      <c r="G361" s="74">
        <v>6.1691973000000004E-11</v>
      </c>
      <c r="H361" s="74">
        <v>1.4741226999999999E-10</v>
      </c>
      <c r="I361" s="74">
        <v>1.4116683E-12</v>
      </c>
      <c r="J361" s="74">
        <v>1.1335203E-10</v>
      </c>
      <c r="K361" s="74">
        <v>1.2457709E-8</v>
      </c>
    </row>
    <row r="362" spans="1:11" x14ac:dyDescent="0.25">
      <c r="A362">
        <v>347</v>
      </c>
      <c r="B362" t="s">
        <v>624</v>
      </c>
      <c r="C362" t="s">
        <v>260</v>
      </c>
      <c r="D362" t="s">
        <v>192</v>
      </c>
      <c r="E362" s="74">
        <v>7.9611866999999992E-9</v>
      </c>
      <c r="F362">
        <v>0</v>
      </c>
      <c r="G362" s="74">
        <v>2.6290404999999999E-10</v>
      </c>
      <c r="H362" s="74">
        <v>2.7044316E-9</v>
      </c>
      <c r="I362" s="74">
        <v>5.3205551999999996E-13</v>
      </c>
      <c r="J362" s="74">
        <v>4.7522880000000001E-9</v>
      </c>
      <c r="K362" s="74">
        <v>2.4103105000000002E-10</v>
      </c>
    </row>
    <row r="363" spans="1:11" x14ac:dyDescent="0.25">
      <c r="A363">
        <v>348</v>
      </c>
      <c r="B363" t="s">
        <v>625</v>
      </c>
      <c r="C363" t="s">
        <v>260</v>
      </c>
      <c r="D363" t="s">
        <v>305</v>
      </c>
      <c r="E363">
        <v>0.12951657999999999</v>
      </c>
      <c r="F363">
        <v>0</v>
      </c>
      <c r="G363">
        <v>1.3227033E-3</v>
      </c>
      <c r="H363">
        <v>3.4610302E-3</v>
      </c>
      <c r="I363" s="74">
        <v>3.1450147000000001E-5</v>
      </c>
      <c r="J363">
        <v>6.8966260999999999E-3</v>
      </c>
      <c r="K363">
        <v>0.11780477</v>
      </c>
    </row>
    <row r="364" spans="1:11" x14ac:dyDescent="0.25">
      <c r="A364">
        <v>349</v>
      </c>
      <c r="B364" t="s">
        <v>626</v>
      </c>
      <c r="C364" t="s">
        <v>260</v>
      </c>
      <c r="D364" t="s">
        <v>305</v>
      </c>
      <c r="E364">
        <v>5.5203802999999997E-3</v>
      </c>
      <c r="F364">
        <v>0</v>
      </c>
      <c r="G364" s="74">
        <v>2.6644845999999999E-5</v>
      </c>
      <c r="H364" s="74">
        <v>6.3667558000000005E-5</v>
      </c>
      <c r="I364" s="74">
        <v>6.0970142000000003E-7</v>
      </c>
      <c r="J364" s="74">
        <v>4.8956891000000001E-5</v>
      </c>
      <c r="K364">
        <v>5.3805012999999999E-3</v>
      </c>
    </row>
    <row r="365" spans="1:11" x14ac:dyDescent="0.25">
      <c r="A365">
        <v>350</v>
      </c>
      <c r="B365" t="s">
        <v>627</v>
      </c>
      <c r="C365" t="s">
        <v>260</v>
      </c>
      <c r="D365" t="s">
        <v>305</v>
      </c>
      <c r="E365">
        <v>0.19565637</v>
      </c>
      <c r="F365">
        <v>0</v>
      </c>
      <c r="G365">
        <v>6.8168062999999996E-3</v>
      </c>
      <c r="H365">
        <v>2.6444357000000002E-2</v>
      </c>
      <c r="I365">
        <v>1.1182883E-4</v>
      </c>
      <c r="J365">
        <v>3.5698313000000002E-2</v>
      </c>
      <c r="K365">
        <v>0.12658506</v>
      </c>
    </row>
    <row r="366" spans="1:11" x14ac:dyDescent="0.25">
      <c r="A366">
        <v>351</v>
      </c>
      <c r="B366" t="s">
        <v>628</v>
      </c>
      <c r="C366" t="s">
        <v>260</v>
      </c>
      <c r="D366" t="s">
        <v>305</v>
      </c>
      <c r="E366">
        <v>0.63380077000000001</v>
      </c>
      <c r="F366">
        <v>0</v>
      </c>
      <c r="G366">
        <v>3.0634950999999999E-3</v>
      </c>
      <c r="H366">
        <v>7.3199060000000002E-3</v>
      </c>
      <c r="I366" s="74">
        <v>7.0106574000000006E-5</v>
      </c>
      <c r="J366">
        <v>5.6287068999999997E-3</v>
      </c>
      <c r="K366">
        <v>0.61771854999999998</v>
      </c>
    </row>
    <row r="367" spans="1:11" x14ac:dyDescent="0.25">
      <c r="A367">
        <v>352</v>
      </c>
      <c r="B367" t="s">
        <v>629</v>
      </c>
      <c r="C367" t="s">
        <v>260</v>
      </c>
      <c r="D367" t="s">
        <v>192</v>
      </c>
      <c r="E367" s="74">
        <v>2.4769701000000001E-6</v>
      </c>
      <c r="F367">
        <v>0</v>
      </c>
      <c r="G367" s="74">
        <v>8.9687621999999994E-8</v>
      </c>
      <c r="H367" s="74">
        <v>3.4159151999999999E-7</v>
      </c>
      <c r="I367" s="74">
        <v>1.0481058999999999E-9</v>
      </c>
      <c r="J367" s="74">
        <v>4.0002245E-7</v>
      </c>
      <c r="K367" s="74">
        <v>1.6446204E-6</v>
      </c>
    </row>
    <row r="368" spans="1:11" x14ac:dyDescent="0.25">
      <c r="A368">
        <v>353</v>
      </c>
      <c r="B368" t="s">
        <v>630</v>
      </c>
      <c r="C368" t="s">
        <v>260</v>
      </c>
      <c r="D368" t="s">
        <v>192</v>
      </c>
      <c r="E368" s="74">
        <v>1.6050678E-14</v>
      </c>
      <c r="F368">
        <v>0</v>
      </c>
      <c r="G368" s="74">
        <v>2.0251424E-15</v>
      </c>
      <c r="H368" s="74">
        <v>5.9012792999999997E-15</v>
      </c>
      <c r="I368" s="74">
        <v>3.9479771999999998E-18</v>
      </c>
      <c r="J368" s="74">
        <v>7.3775422999999999E-15</v>
      </c>
      <c r="K368" s="74">
        <v>7.4276617000000004E-16</v>
      </c>
    </row>
    <row r="369" spans="1:11" x14ac:dyDescent="0.25">
      <c r="A369">
        <v>354</v>
      </c>
      <c r="B369" t="s">
        <v>631</v>
      </c>
      <c r="C369" t="s">
        <v>260</v>
      </c>
      <c r="D369" t="s">
        <v>632</v>
      </c>
      <c r="E369">
        <v>7.2516864E-2</v>
      </c>
      <c r="F369">
        <v>0</v>
      </c>
      <c r="G369">
        <v>1.3976705999999999E-3</v>
      </c>
      <c r="H369">
        <v>1.3370533E-2</v>
      </c>
      <c r="I369" s="74">
        <v>1.8263291000000001E-5</v>
      </c>
      <c r="J369">
        <v>2.0282148999999999E-2</v>
      </c>
      <c r="K369">
        <v>3.7448248000000003E-2</v>
      </c>
    </row>
    <row r="370" spans="1:11" x14ac:dyDescent="0.25">
      <c r="A370">
        <v>355</v>
      </c>
      <c r="B370" t="s">
        <v>633</v>
      </c>
      <c r="C370" t="s">
        <v>260</v>
      </c>
      <c r="D370" t="s">
        <v>305</v>
      </c>
      <c r="E370">
        <v>20.608431</v>
      </c>
      <c r="F370">
        <v>0</v>
      </c>
      <c r="G370">
        <v>7.9141524000000005E-2</v>
      </c>
      <c r="H370">
        <v>0.19445551</v>
      </c>
      <c r="I370">
        <v>1.6757071000000001E-3</v>
      </c>
      <c r="J370">
        <v>0.14902109999999999</v>
      </c>
      <c r="K370">
        <v>20.184137</v>
      </c>
    </row>
    <row r="371" spans="1:11" x14ac:dyDescent="0.25">
      <c r="A371">
        <v>356</v>
      </c>
      <c r="B371" t="s">
        <v>634</v>
      </c>
      <c r="C371" t="s">
        <v>260</v>
      </c>
      <c r="D371" t="s">
        <v>305</v>
      </c>
      <c r="E371">
        <v>1400.5335</v>
      </c>
      <c r="F371">
        <v>0</v>
      </c>
      <c r="G371">
        <v>5.0119286000000001</v>
      </c>
      <c r="H371">
        <v>12.402695</v>
      </c>
      <c r="I371">
        <v>0.10560229</v>
      </c>
      <c r="J371">
        <v>9.4334799999999994</v>
      </c>
      <c r="K371">
        <v>1373.5798</v>
      </c>
    </row>
    <row r="372" spans="1:11" x14ac:dyDescent="0.25">
      <c r="A372">
        <v>357</v>
      </c>
      <c r="B372" t="s">
        <v>635</v>
      </c>
      <c r="C372" t="s">
        <v>260</v>
      </c>
      <c r="D372" t="s">
        <v>305</v>
      </c>
      <c r="E372">
        <v>0.70943484999999995</v>
      </c>
      <c r="F372">
        <v>0</v>
      </c>
      <c r="G372">
        <v>3.2153885000000002E-3</v>
      </c>
      <c r="H372">
        <v>7.751038E-3</v>
      </c>
      <c r="I372" s="74">
        <v>7.1436823999999999E-5</v>
      </c>
      <c r="J372">
        <v>5.9666607000000002E-3</v>
      </c>
      <c r="K372">
        <v>0.69243032000000004</v>
      </c>
    </row>
    <row r="373" spans="1:11" x14ac:dyDescent="0.25">
      <c r="A373">
        <v>358</v>
      </c>
      <c r="B373" t="s">
        <v>636</v>
      </c>
      <c r="C373" t="s">
        <v>260</v>
      </c>
      <c r="D373" t="s">
        <v>305</v>
      </c>
      <c r="E373">
        <v>479.40906000000001</v>
      </c>
      <c r="F373">
        <v>0</v>
      </c>
      <c r="G373">
        <v>1.7301991000000001</v>
      </c>
      <c r="H373">
        <v>4.2784946000000001</v>
      </c>
      <c r="I373">
        <v>3.6422830000000003E-2</v>
      </c>
      <c r="J373">
        <v>3.2586723000000002</v>
      </c>
      <c r="K373">
        <v>470.10527999999999</v>
      </c>
    </row>
    <row r="374" spans="1:11" x14ac:dyDescent="0.25">
      <c r="A374">
        <v>359</v>
      </c>
      <c r="B374" t="s">
        <v>637</v>
      </c>
      <c r="C374" t="s">
        <v>260</v>
      </c>
      <c r="D374" t="s">
        <v>305</v>
      </c>
      <c r="E374">
        <v>190.81461999999999</v>
      </c>
      <c r="F374">
        <v>0</v>
      </c>
      <c r="G374">
        <v>0.71851715999999999</v>
      </c>
      <c r="H374">
        <v>1.7697778</v>
      </c>
      <c r="I374">
        <v>1.5116108E-2</v>
      </c>
      <c r="J374">
        <v>1.3554964</v>
      </c>
      <c r="K374">
        <v>186.95571000000001</v>
      </c>
    </row>
    <row r="375" spans="1:11" x14ac:dyDescent="0.25">
      <c r="A375">
        <v>360</v>
      </c>
      <c r="B375" t="s">
        <v>638</v>
      </c>
      <c r="C375" t="s">
        <v>260</v>
      </c>
      <c r="D375" t="s">
        <v>305</v>
      </c>
      <c r="E375">
        <v>6.0527436000000003</v>
      </c>
      <c r="F375">
        <v>0</v>
      </c>
      <c r="G375">
        <v>2.2456363999999999E-2</v>
      </c>
      <c r="H375">
        <v>5.5416272000000003E-2</v>
      </c>
      <c r="I375">
        <v>4.7009751000000002E-4</v>
      </c>
      <c r="J375">
        <v>4.2425541999999997E-2</v>
      </c>
      <c r="K375">
        <v>5.9319753000000004</v>
      </c>
    </row>
    <row r="376" spans="1:11" x14ac:dyDescent="0.25">
      <c r="A376">
        <v>361</v>
      </c>
      <c r="B376" t="s">
        <v>639</v>
      </c>
      <c r="C376" t="s">
        <v>260</v>
      </c>
      <c r="D376" t="s">
        <v>305</v>
      </c>
      <c r="E376">
        <v>45.085946</v>
      </c>
      <c r="F376">
        <v>0</v>
      </c>
      <c r="G376">
        <v>0.16799082000000001</v>
      </c>
      <c r="H376">
        <v>0.41433048</v>
      </c>
      <c r="I376">
        <v>3.5217611E-3</v>
      </c>
      <c r="J376">
        <v>0.31724287000000001</v>
      </c>
      <c r="K376">
        <v>44.182859999999998</v>
      </c>
    </row>
    <row r="377" spans="1:11" x14ac:dyDescent="0.25">
      <c r="A377">
        <v>362</v>
      </c>
      <c r="B377" t="s">
        <v>640</v>
      </c>
      <c r="C377" t="s">
        <v>260</v>
      </c>
      <c r="D377" t="s">
        <v>192</v>
      </c>
      <c r="E377" s="74">
        <v>7.2827490000000006E-5</v>
      </c>
      <c r="F377">
        <v>0</v>
      </c>
      <c r="G377" s="74">
        <v>5.4502748000000002E-7</v>
      </c>
      <c r="H377" s="74">
        <v>1.8767082000000001E-6</v>
      </c>
      <c r="I377" s="74">
        <v>8.0946835000000007E-9</v>
      </c>
      <c r="J377" s="74">
        <v>2.1513843000000001E-6</v>
      </c>
      <c r="K377" s="74">
        <v>6.8246274999999996E-5</v>
      </c>
    </row>
    <row r="378" spans="1:11" x14ac:dyDescent="0.25">
      <c r="A378">
        <v>363</v>
      </c>
      <c r="B378" t="s">
        <v>641</v>
      </c>
      <c r="C378" t="s">
        <v>260</v>
      </c>
      <c r="D378" t="s">
        <v>192</v>
      </c>
      <c r="E378" s="74">
        <v>4.8624229999999997E-13</v>
      </c>
      <c r="F378">
        <v>0</v>
      </c>
      <c r="G378" s="74">
        <v>2.7391798999999999E-14</v>
      </c>
      <c r="H378" s="74">
        <v>1.6306384E-13</v>
      </c>
      <c r="I378" s="74">
        <v>1.7296544000000001E-16</v>
      </c>
      <c r="J378" s="74">
        <v>1.1386056000000001E-13</v>
      </c>
      <c r="K378" s="74">
        <v>1.8175314E-13</v>
      </c>
    </row>
    <row r="379" spans="1:11" x14ac:dyDescent="0.25">
      <c r="A379">
        <v>364</v>
      </c>
      <c r="B379" t="s">
        <v>642</v>
      </c>
      <c r="C379" t="s">
        <v>260</v>
      </c>
      <c r="D379" t="s">
        <v>192</v>
      </c>
      <c r="E379" s="74">
        <v>9.5290329000000001E-6</v>
      </c>
      <c r="F379">
        <v>0</v>
      </c>
      <c r="G379" s="74">
        <v>3.8642097000000001E-7</v>
      </c>
      <c r="H379" s="74">
        <v>6.4595585999999997E-6</v>
      </c>
      <c r="I379" s="74">
        <v>5.1677349000000002E-9</v>
      </c>
      <c r="J379" s="74">
        <v>1.5643641E-6</v>
      </c>
      <c r="K379" s="74">
        <v>1.1135215000000001E-6</v>
      </c>
    </row>
    <row r="380" spans="1:11" x14ac:dyDescent="0.25">
      <c r="A380">
        <v>365</v>
      </c>
      <c r="B380" t="s">
        <v>643</v>
      </c>
      <c r="C380" t="s">
        <v>260</v>
      </c>
      <c r="D380" t="s">
        <v>305</v>
      </c>
      <c r="E380" s="74">
        <v>4.8774525E-5</v>
      </c>
      <c r="F380">
        <v>0</v>
      </c>
      <c r="G380" s="74">
        <v>1.8024993E-7</v>
      </c>
      <c r="H380" s="74">
        <v>4.4503166999999998E-7</v>
      </c>
      <c r="I380" s="74">
        <v>3.7683036000000002E-9</v>
      </c>
      <c r="J380" s="74">
        <v>3.4066729999999999E-7</v>
      </c>
      <c r="K380" s="74">
        <v>4.7804808000000002E-5</v>
      </c>
    </row>
    <row r="381" spans="1:11" x14ac:dyDescent="0.25">
      <c r="A381">
        <v>366</v>
      </c>
      <c r="B381" t="s">
        <v>644</v>
      </c>
      <c r="C381" t="s">
        <v>260</v>
      </c>
      <c r="D381" t="s">
        <v>192</v>
      </c>
      <c r="E381" s="74">
        <v>5.3708851999999996E-12</v>
      </c>
      <c r="F381">
        <v>0</v>
      </c>
      <c r="G381" s="74">
        <v>2.8353864000000001E-13</v>
      </c>
      <c r="H381" s="74">
        <v>9.9664711999999991E-13</v>
      </c>
      <c r="I381" s="74">
        <v>1.5384124999999999E-14</v>
      </c>
      <c r="J381" s="74">
        <v>2.7899499999999998E-12</v>
      </c>
      <c r="K381" s="74">
        <v>1.2853652999999999E-12</v>
      </c>
    </row>
    <row r="382" spans="1:11" x14ac:dyDescent="0.25">
      <c r="A382">
        <v>367</v>
      </c>
      <c r="B382" t="s">
        <v>645</v>
      </c>
      <c r="C382" t="s">
        <v>260</v>
      </c>
      <c r="D382" t="s">
        <v>305</v>
      </c>
      <c r="E382">
        <v>1.0932502E-4</v>
      </c>
      <c r="F382">
        <v>0</v>
      </c>
      <c r="G382" s="74">
        <v>3.8043105000000002E-7</v>
      </c>
      <c r="H382" s="74">
        <v>9.4448997999999999E-7</v>
      </c>
      <c r="I382" s="74">
        <v>7.9758759999999999E-9</v>
      </c>
      <c r="J382" s="74">
        <v>7.1674900000000003E-7</v>
      </c>
      <c r="K382">
        <v>1.0727537E-4</v>
      </c>
    </row>
  </sheetData>
  <mergeCells count="3">
    <mergeCell ref="R9:AB10"/>
    <mergeCell ref="Q12:R12"/>
    <mergeCell ref="Q13:R1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8a1f16-ab89-4986-a04c-6930bc53bc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FBFC257585C4DA87604427DF6D2E6" ma:contentTypeVersion="12" ma:contentTypeDescription="Create a new document." ma:contentTypeScope="" ma:versionID="9c5828f0ac2db9b5bd39db437331bb93">
  <xsd:schema xmlns:xsd="http://www.w3.org/2001/XMLSchema" xmlns:xs="http://www.w3.org/2001/XMLSchema" xmlns:p="http://schemas.microsoft.com/office/2006/metadata/properties" xmlns:ns3="558a1f16-ab89-4986-a04c-6930bc53bcad" xmlns:ns4="32e21cb9-00ad-4c09-92c0-f1ed113fb6c4" targetNamespace="http://schemas.microsoft.com/office/2006/metadata/properties" ma:root="true" ma:fieldsID="6c1ad9d04091ff75b8a75f1d2d6b032b" ns3:_="" ns4:_="">
    <xsd:import namespace="558a1f16-ab89-4986-a04c-6930bc53bcad"/>
    <xsd:import namespace="32e21cb9-00ad-4c09-92c0-f1ed113fb6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a1f16-ab89-4986-a04c-6930bc53b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1cb9-00ad-4c09-92c0-f1ed113fb6c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9C0412-F1C4-425F-8E04-87D0BD0709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45E0DB-1EF3-42F8-AEAD-3CB008CB9EC1}">
  <ds:schemaRefs>
    <ds:schemaRef ds:uri="http://purl.org/dc/terms/"/>
    <ds:schemaRef ds:uri="32e21cb9-00ad-4c09-92c0-f1ed113fb6c4"/>
    <ds:schemaRef ds:uri="558a1f16-ab89-4986-a04c-6930bc53bc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FB3671-D707-483C-B92C-2C50ADC0C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8a1f16-ab89-4986-a04c-6930bc53bcad"/>
    <ds:schemaRef ds:uri="32e21cb9-00ad-4c09-92c0-f1ed113fb6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Material Balances</vt:lpstr>
      <vt:lpstr>Sheet3</vt:lpstr>
      <vt:lpstr>Anti_solvent</vt:lpstr>
      <vt:lpstr>Cost_data</vt:lpstr>
      <vt:lpstr>Anti_Cost_Anal</vt:lpstr>
      <vt:lpstr>Sensitivity</vt:lpstr>
      <vt:lpstr> LCA_Calc</vt:lpstr>
      <vt:lpstr>Damage Assessment(end)</vt:lpstr>
      <vt:lpstr>AIR</vt:lpstr>
      <vt:lpstr>WATER</vt:lpstr>
      <vt:lpstr>Impact Assessment</vt:lpstr>
      <vt:lpstr>LCI</vt:lpstr>
      <vt:lpstr>Sheet5</vt:lpstr>
      <vt:lpstr>Anti_solvent (2)</vt:lpstr>
      <vt:lpstr>Anti_Cost_Anal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Barnabas Gao</dc:creator>
  <cp:lastModifiedBy>Gao, Barnabas</cp:lastModifiedBy>
  <dcterms:created xsi:type="dcterms:W3CDTF">2023-03-22T03:26:36Z</dcterms:created>
  <dcterms:modified xsi:type="dcterms:W3CDTF">2023-10-18T17:48:08Z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0x010100583FBFC257585C4DA87604427DF6D2E6</vt:lpwstr>
  </property>
</Properties>
</file>