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Metadata+xml" PartName="/xl/metadata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ms-excel.person+xml" PartName="/xl/persons/person.xml"/>
  <Override ContentType="application/vnd.ms-excel.threadedcomments+xml" PartName="/xl/threadedComments/threadedComment1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Shared drives\Solvent Recovery Clinic\GUI - Alpha Version\"/>
    </mc:Choice>
  </mc:AlternateContent>
  <bookViews>
    <workbookView xWindow="28680" yWindow="-120" windowWidth="29040" windowHeight="15840" tabRatio="859" activeTab="8"/>
  </bookViews>
  <sheets>
    <sheet name="Chem_Database" sheetId="49" r:id="rId1"/>
    <sheet name="Super Structure" sheetId="1" r:id="rId2"/>
    <sheet name="Outlet_Spec" sheetId="42" r:id="rId3"/>
    <sheet name="Chem_Props" sheetId="25" r:id="rId4"/>
    <sheet name="Sol_Props" sheetId="39" r:id="rId5"/>
    <sheet name="Solid_Props" sheetId="40" r:id="rId6"/>
    <sheet name="ConFac_Units" sheetId="41" r:id="rId7"/>
    <sheet name="mat_data" sheetId="2" r:id="rId8"/>
    <sheet name="ADS" sheetId="29" r:id="rId9"/>
    <sheet name="SDM" sheetId="31" r:id="rId10"/>
    <sheet name="PRC" sheetId="33" r:id="rId11"/>
    <sheet name="CNF" sheetId="34" r:id="rId12"/>
    <sheet name="DST" sheetId="37" r:id="rId13"/>
    <sheet name="FLT" sheetId="32" r:id="rId14"/>
    <sheet name="MF" sheetId="30" r:id="rId15"/>
    <sheet name="PVP" sheetId="28" r:id="rId16"/>
    <sheet name="UF" sheetId="35" r:id="rId17"/>
    <sheet name="NF" sheetId="36" r:id="rId18"/>
    <sheet name="Con_mat" sheetId="14" r:id="rId19"/>
    <sheet name="CMSTR_mat" sheetId="47" r:id="rId20"/>
    <sheet name="CMUNT_mat" sheetId="16" r:id="rId21"/>
    <sheet name="Lbr_data" sheetId="50" r:id="rId22"/>
    <sheet name="Index" sheetId="26" r:id="rId23"/>
    <sheet name="range_list" sheetId="27" r:id="rId24"/>
  </sheets>
  <calcPr calcId="162913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tc={EE26AA29-177D-4CED-A8FC-99D0D1FBA7C7}</author>
  </authors>
  <commentList>
    <comment ref="B33" author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This is what I want you guys to do if the temperature is out of range. It will make everything easier later on when making CSV/ GDX files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<sst xmlns="http://schemas.openxmlformats.org/spreadsheetml/2006/main" count="1899" uniqueCount="1163">
  <si>
    <t>Qf</t>
  </si>
  <si>
    <t>Chemical</t>
  </si>
  <si>
    <t>ACT</t>
  </si>
  <si>
    <t>Property</t>
  </si>
  <si>
    <t>Value</t>
  </si>
  <si>
    <t>Units</t>
  </si>
  <si>
    <t>kg/hr</t>
  </si>
  <si>
    <t>g</t>
  </si>
  <si>
    <t>m/s2</t>
  </si>
  <si>
    <t>Den_PET</t>
  </si>
  <si>
    <t>kg/m3</t>
  </si>
  <si>
    <t>pi</t>
  </si>
  <si>
    <t>Den_EB</t>
  </si>
  <si>
    <t>C_lbr</t>
  </si>
  <si>
    <t>$/hr</t>
  </si>
  <si>
    <t>Den_ADD</t>
  </si>
  <si>
    <t>Tann</t>
  </si>
  <si>
    <t>hrs</t>
  </si>
  <si>
    <t>Den_ACT</t>
  </si>
  <si>
    <t>CRF</t>
  </si>
  <si>
    <t>MW_PET</t>
  </si>
  <si>
    <t>g/mol</t>
  </si>
  <si>
    <t>BMC_mult</t>
  </si>
  <si>
    <t>MW_EB</t>
  </si>
  <si>
    <t>Rep_time</t>
  </si>
  <si>
    <t>MW_ADD</t>
  </si>
  <si>
    <t>Cp_water</t>
  </si>
  <si>
    <t>kJ/kg*C</t>
  </si>
  <si>
    <t>H_vap_PET</t>
  </si>
  <si>
    <t>kJ/kg</t>
  </si>
  <si>
    <t>C_stm</t>
  </si>
  <si>
    <t>$/kg</t>
  </si>
  <si>
    <t>H_vap_EB</t>
  </si>
  <si>
    <t>C_cwt</t>
  </si>
  <si>
    <t>H_vap_ACT</t>
  </si>
  <si>
    <t>C_elec</t>
  </si>
  <si>
    <t>$/KWh</t>
  </si>
  <si>
    <t>MW_ACT</t>
  </si>
  <si>
    <t>C_water</t>
  </si>
  <si>
    <t>Cp_PET</t>
  </si>
  <si>
    <t>Tcw_in</t>
  </si>
  <si>
    <t>Cp_EB</t>
  </si>
  <si>
    <t>Tcw_out</t>
  </si>
  <si>
    <t>Cp_ADD</t>
  </si>
  <si>
    <t>LH_stm</t>
  </si>
  <si>
    <t>Cp_ACT</t>
  </si>
  <si>
    <t>DeltaH_vap_stm</t>
  </si>
  <si>
    <t>PET_frac</t>
  </si>
  <si>
    <t>mass.frac</t>
  </si>
  <si>
    <t>EB_frac</t>
  </si>
  <si>
    <t>ADD_frac</t>
  </si>
  <si>
    <t>ACT_frac</t>
  </si>
  <si>
    <t>mass frac sum</t>
  </si>
  <si>
    <t>Technology</t>
  </si>
  <si>
    <t>Eff_ADS</t>
  </si>
  <si>
    <t>Res_time</t>
  </si>
  <si>
    <t>Rep_time_ADS</t>
  </si>
  <si>
    <t>GAC_con</t>
  </si>
  <si>
    <t>void</t>
  </si>
  <si>
    <t>Den_GAC</t>
  </si>
  <si>
    <t>EBCT</t>
  </si>
  <si>
    <t>bth</t>
  </si>
  <si>
    <t>ADS1</t>
  </si>
  <si>
    <t>ADS2</t>
  </si>
  <si>
    <t>tT_SDM</t>
  </si>
  <si>
    <t>Eff_SDM</t>
  </si>
  <si>
    <t>Pur_SDM</t>
  </si>
  <si>
    <t>DpS_SDM</t>
  </si>
  <si>
    <t>muL_SDM</t>
  </si>
  <si>
    <t>SDM</t>
  </si>
  <si>
    <t>Den_ASOL_PRC</t>
  </si>
  <si>
    <t>phi_ASOL_PRC</t>
  </si>
  <si>
    <t>pi_ASOL_PRC</t>
  </si>
  <si>
    <t>PRC</t>
  </si>
  <si>
    <t>Eff_CNF</t>
  </si>
  <si>
    <t>Tcw_in_CNF</t>
  </si>
  <si>
    <t>Tcw_out_CNF</t>
  </si>
  <si>
    <t>CNF</t>
  </si>
  <si>
    <t>qf_DST</t>
  </si>
  <si>
    <t>u_vap_DST</t>
  </si>
  <si>
    <t>Eff_stg_DST</t>
  </si>
  <si>
    <t>H_stg_DST</t>
  </si>
  <si>
    <t>Ref_ct_DST</t>
  </si>
  <si>
    <t>Hvap_W_DST</t>
  </si>
  <si>
    <t>MW_St_DST</t>
  </si>
  <si>
    <t>Cpw_DST</t>
  </si>
  <si>
    <t>Tsat_DST</t>
  </si>
  <si>
    <t>Tamb_DST</t>
  </si>
  <si>
    <t>DST</t>
  </si>
  <si>
    <t>Zeta_FLT</t>
  </si>
  <si>
    <t>CPM_FLT</t>
  </si>
  <si>
    <t>Rep_time_FLT</t>
  </si>
  <si>
    <t>FLT1</t>
  </si>
  <si>
    <t>Zeta_MF</t>
  </si>
  <si>
    <t>CP_MF</t>
  </si>
  <si>
    <t>MF1</t>
  </si>
  <si>
    <t>MF2</t>
  </si>
  <si>
    <t>Zeta_PVP</t>
  </si>
  <si>
    <t>CP_PVP</t>
  </si>
  <si>
    <t>PVP1</t>
  </si>
  <si>
    <t>PVP2</t>
  </si>
  <si>
    <t>PVP3</t>
  </si>
  <si>
    <t>Zeta_UF</t>
  </si>
  <si>
    <t>CP_UF</t>
  </si>
  <si>
    <t>UF1</t>
  </si>
  <si>
    <t>UF2</t>
  </si>
  <si>
    <t>Zeta_NF</t>
  </si>
  <si>
    <t>Rep_time_NF</t>
  </si>
  <si>
    <t>CP_NF</t>
  </si>
  <si>
    <t>NF</t>
  </si>
  <si>
    <t>Stream</t>
  </si>
  <si>
    <t>split1</t>
  </si>
  <si>
    <t>BYP1</t>
  </si>
  <si>
    <t>mix1</t>
  </si>
  <si>
    <t>split2</t>
  </si>
  <si>
    <t>BYP2</t>
  </si>
  <si>
    <t>mix2</t>
  </si>
  <si>
    <t>split3</t>
  </si>
  <si>
    <t>BYP3</t>
  </si>
  <si>
    <t>mix3</t>
  </si>
  <si>
    <t>split4</t>
  </si>
  <si>
    <t>BYP4</t>
  </si>
  <si>
    <t>mix4</t>
  </si>
  <si>
    <t>Split1</t>
  </si>
  <si>
    <t>Mix1</t>
  </si>
  <si>
    <t>Split2</t>
  </si>
  <si>
    <t>Mix2</t>
  </si>
  <si>
    <t>Split3</t>
  </si>
  <si>
    <t>Mix3</t>
  </si>
  <si>
    <t>Split4</t>
  </si>
  <si>
    <t>Mix4</t>
  </si>
  <si>
    <t>Data Type</t>
  </si>
  <si>
    <t>Name</t>
  </si>
  <si>
    <t>Range</t>
  </si>
  <si>
    <t>Dim</t>
  </si>
  <si>
    <t>dim input gams</t>
  </si>
  <si>
    <t>Cdim</t>
  </si>
  <si>
    <t>Rdim</t>
  </si>
  <si>
    <t>cdim gams input</t>
  </si>
  <si>
    <t>rdim gams input</t>
  </si>
  <si>
    <t>ignoreRows</t>
  </si>
  <si>
    <t>ignoreColumns</t>
  </si>
  <si>
    <t>ignore rows gams input</t>
  </si>
  <si>
    <t>Gams input</t>
  </si>
  <si>
    <t>set</t>
  </si>
  <si>
    <t>Chem_prop</t>
  </si>
  <si>
    <t>ADS_tech</t>
  </si>
  <si>
    <t>ADS!A2:A7</t>
  </si>
  <si>
    <t>SDM_tech</t>
  </si>
  <si>
    <t>SDM!A2:A7</t>
  </si>
  <si>
    <t>PRC_tech</t>
  </si>
  <si>
    <t>PRC!A2:A7</t>
  </si>
  <si>
    <t>CNF_tech</t>
  </si>
  <si>
    <t>CNF!A2:A7</t>
  </si>
  <si>
    <t>DST_tech</t>
  </si>
  <si>
    <t>DST!A2:A7</t>
  </si>
  <si>
    <t>FLT_tech</t>
  </si>
  <si>
    <t>FLT!A2:A7</t>
  </si>
  <si>
    <t>PVP_tech</t>
  </si>
  <si>
    <t>PVP!A2:A7</t>
  </si>
  <si>
    <t>MF_tech</t>
  </si>
  <si>
    <t>MF!A2:A7</t>
  </si>
  <si>
    <t>UF_tech</t>
  </si>
  <si>
    <t>UF!A2:A7</t>
  </si>
  <si>
    <t>NF_tech</t>
  </si>
  <si>
    <t>NF!A2:A7</t>
  </si>
  <si>
    <t>ADS_prop</t>
  </si>
  <si>
    <t>ADS!B1:Z1</t>
  </si>
  <si>
    <t>SDM_prop</t>
  </si>
  <si>
    <t>SDM!B1:Z1</t>
  </si>
  <si>
    <t>PRC_prop</t>
  </si>
  <si>
    <t>PRC!B1:Z1</t>
  </si>
  <si>
    <t>CNF_prop</t>
  </si>
  <si>
    <t>CNF!B1:Z1</t>
  </si>
  <si>
    <t>DST_prop</t>
  </si>
  <si>
    <t>DST!B1:Z1</t>
  </si>
  <si>
    <t>FLT_prop</t>
  </si>
  <si>
    <t>FLT!B1:Z1</t>
  </si>
  <si>
    <t>PVP_prop</t>
  </si>
  <si>
    <t>PVP!B1:Z1</t>
  </si>
  <si>
    <t>MF_prop</t>
  </si>
  <si>
    <t>MF!B1:Z1</t>
  </si>
  <si>
    <t>UF_prop</t>
  </si>
  <si>
    <t>NF!B1:Z1</t>
  </si>
  <si>
    <t>NF_prop</t>
  </si>
  <si>
    <t>par</t>
  </si>
  <si>
    <t>P1</t>
  </si>
  <si>
    <t>mat_data!a1:b80</t>
  </si>
  <si>
    <t>ADS_T</t>
  </si>
  <si>
    <t>ADS!A1:I3</t>
  </si>
  <si>
    <t>SDM_T</t>
  </si>
  <si>
    <t>PRC_T</t>
  </si>
  <si>
    <t>PRC!A1:D2</t>
  </si>
  <si>
    <t>CNF_T</t>
  </si>
  <si>
    <t>CNF!A1:D2</t>
  </si>
  <si>
    <t>DST_T</t>
  </si>
  <si>
    <t>DST!A1:K2</t>
  </si>
  <si>
    <t>FLT_T</t>
  </si>
  <si>
    <t>FLT!A1:D2</t>
  </si>
  <si>
    <t>PVP_T</t>
  </si>
  <si>
    <t>PVP!A1:C4</t>
  </si>
  <si>
    <t>MF_T</t>
  </si>
  <si>
    <t>MF!A1:C3</t>
  </si>
  <si>
    <t>UF_T</t>
  </si>
  <si>
    <t>UF!A1:C3</t>
  </si>
  <si>
    <t>NF_T</t>
  </si>
  <si>
    <t>NF!A1:D2</t>
  </si>
  <si>
    <t>Chem_T</t>
  </si>
  <si>
    <t>Flow</t>
  </si>
  <si>
    <t>Chem_Props!A1:B1</t>
  </si>
  <si>
    <t>Lbr</t>
  </si>
  <si>
    <t>Lbr_data!a1:f40</t>
  </si>
  <si>
    <t>Con_mat</t>
  </si>
  <si>
    <t>Con_mat!a1:aq80</t>
  </si>
  <si>
    <t>CMSTR</t>
  </si>
  <si>
    <t>CMUNT</t>
  </si>
  <si>
    <t>i</t>
  </si>
  <si>
    <t>Con_mat!B1:AB1</t>
  </si>
  <si>
    <t>i1</t>
  </si>
  <si>
    <t>i3</t>
  </si>
  <si>
    <t>ibv</t>
  </si>
  <si>
    <t>B,I,J,P,Q,V,W,AB</t>
  </si>
  <si>
    <t>Nstg</t>
  </si>
  <si>
    <t>istg1</t>
  </si>
  <si>
    <t>Con_mat!C1:H1</t>
  </si>
  <si>
    <t>G</t>
  </si>
  <si>
    <t>istg2</t>
  </si>
  <si>
    <t>Con_mat!K1:O1</t>
  </si>
  <si>
    <t>N</t>
  </si>
  <si>
    <t>istg3</t>
  </si>
  <si>
    <t>Con_mat!R1:T1</t>
  </si>
  <si>
    <t>istg4</t>
  </si>
  <si>
    <t>Con_mat!X1:AA1</t>
  </si>
  <si>
    <t>Z</t>
  </si>
  <si>
    <t>j</t>
  </si>
  <si>
    <t>Con_mat!A2:A60</t>
  </si>
  <si>
    <t>jsplit1</t>
  </si>
  <si>
    <t>Con_mat!A2:A15</t>
  </si>
  <si>
    <t>4,5,7,8,10,11,13,14</t>
  </si>
  <si>
    <t>jsplit1F</t>
  </si>
  <si>
    <t>Con_mat!A2:A2</t>
  </si>
  <si>
    <t>jsplit1E</t>
  </si>
  <si>
    <t>Con_mat!A3:A15</t>
  </si>
  <si>
    <t>jSDM</t>
  </si>
  <si>
    <t>Con_mat!A3:A5</t>
  </si>
  <si>
    <t>jSDMF</t>
  </si>
  <si>
    <t>Con_mat!A3:A3</t>
  </si>
  <si>
    <t>jSDMS</t>
  </si>
  <si>
    <t>Con_mat!A4:A4</t>
  </si>
  <si>
    <t>jSDME</t>
  </si>
  <si>
    <t>Con_mat!A5:A5</t>
  </si>
  <si>
    <t>Con_mat!A6:A8</t>
  </si>
  <si>
    <t>Con_mat!A6:A6</t>
  </si>
  <si>
    <t>Con_mat!A7:A7</t>
  </si>
  <si>
    <t>Con_mat!A8:A8</t>
  </si>
  <si>
    <t>jADS1</t>
  </si>
  <si>
    <t>Con_mat!A9:A11</t>
  </si>
  <si>
    <t>jADS1F</t>
  </si>
  <si>
    <t>Con_mat!A9:A9</t>
  </si>
  <si>
    <t>Con_mat!A10:A10</t>
  </si>
  <si>
    <t>jADS1E</t>
  </si>
  <si>
    <t>Con_mat!A11:A11</t>
  </si>
  <si>
    <t>jPRC</t>
  </si>
  <si>
    <t>Con_mat!A12:A14</t>
  </si>
  <si>
    <t>jPRCF</t>
  </si>
  <si>
    <t>Con_mat!A12:A12</t>
  </si>
  <si>
    <t>Con_mat!A13:A13</t>
  </si>
  <si>
    <t>jPRCE</t>
  </si>
  <si>
    <t>Con_mat!A14:A14</t>
  </si>
  <si>
    <t>jCNF</t>
  </si>
  <si>
    <t>Con_mat!A15:A17</t>
  </si>
  <si>
    <t>jCNFF</t>
  </si>
  <si>
    <t>Con_mat!A15:A15</t>
  </si>
  <si>
    <t>Con_mat!A16:A16</t>
  </si>
  <si>
    <t>Con_mat!A17:A17</t>
  </si>
  <si>
    <t>jmix1</t>
  </si>
  <si>
    <t>Con_mat!A5:A18</t>
  </si>
  <si>
    <t>6,7,9,10,12,13,15,16</t>
  </si>
  <si>
    <t>jmix1F</t>
  </si>
  <si>
    <t>Con_mat!A5:A17</t>
  </si>
  <si>
    <t>6,7,9,10,12,13,15,17</t>
  </si>
  <si>
    <t>jmix1E</t>
  </si>
  <si>
    <t>Con_mat!A18:A18</t>
  </si>
  <si>
    <t>jsplit2</t>
  </si>
  <si>
    <t>Con_mat!A18:A28</t>
  </si>
  <si>
    <t>20,21,23,24,26,27</t>
  </si>
  <si>
    <t>jsplit2F</t>
  </si>
  <si>
    <t>jsplit2E</t>
  </si>
  <si>
    <t>Con_mat!A19:A28</t>
  </si>
  <si>
    <t>jDST</t>
  </si>
  <si>
    <t>Con_mat!A19:A21</t>
  </si>
  <si>
    <t>jDSTF</t>
  </si>
  <si>
    <t>Con_mat!A19:A19</t>
  </si>
  <si>
    <t>Con_mat!A20:A20</t>
  </si>
  <si>
    <t>Con_mat!A21:A21</t>
  </si>
  <si>
    <t>jPVP1</t>
  </si>
  <si>
    <t>Con_mat!A22:A24</t>
  </si>
  <si>
    <t>jPVP1F</t>
  </si>
  <si>
    <t>Con_mat!A22:A22</t>
  </si>
  <si>
    <t>Con_mat!A23:A23</t>
  </si>
  <si>
    <t>jPVP1E</t>
  </si>
  <si>
    <t>Con_mat!A24:A24</t>
  </si>
  <si>
    <t>jADS2</t>
  </si>
  <si>
    <t>Con_mat!A25:A27</t>
  </si>
  <si>
    <t>jADS2F</t>
  </si>
  <si>
    <t>Con_mat!A25:A25</t>
  </si>
  <si>
    <t>Con_mat!A26:A26</t>
  </si>
  <si>
    <t>jADS2E</t>
  </si>
  <si>
    <t>Con_mat!A27:A27</t>
  </si>
  <si>
    <t>jMF1</t>
  </si>
  <si>
    <t>Con_mat!A28:A30</t>
  </si>
  <si>
    <t>jMF1F</t>
  </si>
  <si>
    <t>Con_mat!A28:A28</t>
  </si>
  <si>
    <t>jMF1S</t>
  </si>
  <si>
    <t>Con_mat!A29:A29</t>
  </si>
  <si>
    <t>jMF1E</t>
  </si>
  <si>
    <t>Con_mat!A30:A30</t>
  </si>
  <si>
    <t>jmix2</t>
  </si>
  <si>
    <t>Con_mat!A21:A31</t>
  </si>
  <si>
    <t>22,23,25,26,28,29</t>
  </si>
  <si>
    <t>jmix2F</t>
  </si>
  <si>
    <t>Con_mat!A21:A30</t>
  </si>
  <si>
    <t>22,23,25,26,28,30</t>
  </si>
  <si>
    <t>jmix2E</t>
  </si>
  <si>
    <t>Con_mat!A31:A31</t>
  </si>
  <si>
    <t>jsplit3</t>
  </si>
  <si>
    <t>Con_mat!A31:A38</t>
  </si>
  <si>
    <t>33,34,36,37</t>
  </si>
  <si>
    <t>jsplit3F</t>
  </si>
  <si>
    <t>jsplit3E</t>
  </si>
  <si>
    <t>Con_mat!A32:A38</t>
  </si>
  <si>
    <t>jMF2</t>
  </si>
  <si>
    <t>Con_mat!A32:A34</t>
  </si>
  <si>
    <t>jMF2F</t>
  </si>
  <si>
    <t>Con_mat!A32:A32</t>
  </si>
  <si>
    <t>jMF2S</t>
  </si>
  <si>
    <t>Con_mat!A33:A33</t>
  </si>
  <si>
    <t>jMF2E</t>
  </si>
  <si>
    <t>Con_mat!A34:A34</t>
  </si>
  <si>
    <t>jUF1</t>
  </si>
  <si>
    <t>Con_mat!A35:A37</t>
  </si>
  <si>
    <t>jUF1F</t>
  </si>
  <si>
    <t>Con_mat!A35:A35</t>
  </si>
  <si>
    <t>jUF1S</t>
  </si>
  <si>
    <t>Con_mat!A36:A36</t>
  </si>
  <si>
    <t>jUF1E</t>
  </si>
  <si>
    <t>Con_mat!A37:A37</t>
  </si>
  <si>
    <t>jPVP2</t>
  </si>
  <si>
    <t>Con_mat!A38:A40</t>
  </si>
  <si>
    <t>jPVP2F</t>
  </si>
  <si>
    <t>Con_mat!A38:A38</t>
  </si>
  <si>
    <t>jPVP2S</t>
  </si>
  <si>
    <t>Con_mat!A39:A39</t>
  </si>
  <si>
    <t>Con_mat!A40:A40</t>
  </si>
  <si>
    <t>jmix3</t>
  </si>
  <si>
    <t>Con_mat!A34:A41</t>
  </si>
  <si>
    <t>35,36,38,39</t>
  </si>
  <si>
    <t>jmix3F</t>
  </si>
  <si>
    <t>Con_mat!A31:A40</t>
  </si>
  <si>
    <t>35,36,38,40</t>
  </si>
  <si>
    <t>jmix3E</t>
  </si>
  <si>
    <t>Con_mat!A41:A41</t>
  </si>
  <si>
    <t>jsplit4</t>
  </si>
  <si>
    <t>Con_mat!A41:A48</t>
  </si>
  <si>
    <t>43,44,46,47</t>
  </si>
  <si>
    <t>jsplit4F</t>
  </si>
  <si>
    <t>jsplit4E</t>
  </si>
  <si>
    <t>Con_mat!A22:A48</t>
  </si>
  <si>
    <t>jUF2</t>
  </si>
  <si>
    <t>Con_mat!A42:A44</t>
  </si>
  <si>
    <t>jUF2F</t>
  </si>
  <si>
    <t>Con_mat!A42:A42</t>
  </si>
  <si>
    <t>jUF2S</t>
  </si>
  <si>
    <t>Con_mat!A43:A43</t>
  </si>
  <si>
    <t>jUF2E</t>
  </si>
  <si>
    <t>Con_mat!A44:A44</t>
  </si>
  <si>
    <t>jNF</t>
  </si>
  <si>
    <t>Con_mat!A45:A47</t>
  </si>
  <si>
    <t>jNFF</t>
  </si>
  <si>
    <t>Con_mat!A45:A45</t>
  </si>
  <si>
    <t>jNFS</t>
  </si>
  <si>
    <t>Con_mat!A46:A46</t>
  </si>
  <si>
    <t>jNFE</t>
  </si>
  <si>
    <t>Con_mat!A47:A47</t>
  </si>
  <si>
    <t>jPVP3</t>
  </si>
  <si>
    <t>Con_mat!A48:A50</t>
  </si>
  <si>
    <t>jPVP3F</t>
  </si>
  <si>
    <t>Con_mat!A48:A48</t>
  </si>
  <si>
    <t>jPVP3S</t>
  </si>
  <si>
    <t>Con_mat!A49:A49</t>
  </si>
  <si>
    <t>jPVP3E</t>
  </si>
  <si>
    <t>Con_mat!A50:A50</t>
  </si>
  <si>
    <t>jBYP1</t>
  </si>
  <si>
    <t>Con_mat!A51:A52</t>
  </si>
  <si>
    <t>jBYP1F</t>
  </si>
  <si>
    <t>Con_mat!A51:A51</t>
  </si>
  <si>
    <t>jBYP1E</t>
  </si>
  <si>
    <t>Con_mat!A52:A52</t>
  </si>
  <si>
    <t>jBYP2</t>
  </si>
  <si>
    <t>Con_mat!A53:A54</t>
  </si>
  <si>
    <t>jBYP2F</t>
  </si>
  <si>
    <t>Con_mat!A53:A53</t>
  </si>
  <si>
    <t>jBYP2E</t>
  </si>
  <si>
    <t>Con_mat!A54:A54</t>
  </si>
  <si>
    <t>jBYP3</t>
  </si>
  <si>
    <t>Con_mat!A55:A56</t>
  </si>
  <si>
    <t>jBYP3F</t>
  </si>
  <si>
    <t>Con_mat!A55:A55</t>
  </si>
  <si>
    <t>jBYP3E</t>
  </si>
  <si>
    <t>Con_mat!A56:A56</t>
  </si>
  <si>
    <t>jBYP4</t>
  </si>
  <si>
    <t>Con_mat!A57:A58</t>
  </si>
  <si>
    <t>jBYP4F</t>
  </si>
  <si>
    <t>Con_mat!A57:A57</t>
  </si>
  <si>
    <t>jBYP4E</t>
  </si>
  <si>
    <t>Con_mat!A58:A58</t>
  </si>
  <si>
    <t>k</t>
  </si>
  <si>
    <t>Chem_Props!A3:A10</t>
  </si>
  <si>
    <t>k1</t>
  </si>
  <si>
    <t>kSld</t>
  </si>
  <si>
    <t>kSol</t>
  </si>
  <si>
    <t>Par</t>
  </si>
  <si>
    <t>H_vap</t>
  </si>
  <si>
    <t>Matlab_Imports!a3:g30</t>
  </si>
  <si>
    <t>B,C,E,F,G</t>
  </si>
  <si>
    <t>Cp</t>
  </si>
  <si>
    <t>B,C,D,F,G</t>
  </si>
  <si>
    <t>Boil_P</t>
  </si>
  <si>
    <t>B,C,D,E,G</t>
  </si>
  <si>
    <t>Melt_P</t>
  </si>
  <si>
    <t>B,C,D,E,F</t>
  </si>
  <si>
    <t>All Streams</t>
  </si>
  <si>
    <t>In</t>
  </si>
  <si>
    <t>in no comma</t>
  </si>
  <si>
    <t>out</t>
  </si>
  <si>
    <t>out no comma</t>
  </si>
  <si>
    <t>Paste Values here**</t>
  </si>
  <si>
    <t>2,4,5,7,8,10,11,13,14,16,17,18,19,20,21,22,23,24,25,26,27,28,29,30,31,32,33,34,35,36,37,38,39,40,41,42,43,44,45,46,47,48,49,50,52,53,54,55,56,57,58,59</t>
  </si>
  <si>
    <t>2,3,6,7,8,9,10,11,12,13,14,15,16,17,18,19,20,21,22,23,24,25,26,27,28,29,30,31,32,33,34,35,36,37,38,39,40,41,42,43,44,45,46,47,48,49,50,51,52,53,54,55,56,57,58,59</t>
  </si>
  <si>
    <t>2,3,4,5,6,9,10,11,12,13,14,15,16,17,18,19,20,21,22,23,24,25,26,27,28,29,30,31,32,33,34,35,36,37,38,39,40,41,42,43,44,45,46,47,48,49,50,51,52,53,54,55,56,57,58,59</t>
  </si>
  <si>
    <t>2,3,4,5,6,7,8,9,12,13,14,15,16,17,18,19,20,21,22,23,24,25,26,27,28,29,30,31,32,33,34,35,36,37,38,39,40,41,42,43,44,45,46,47,48,49,50,51,52,53,54,55,56,57,58,59</t>
  </si>
  <si>
    <t>2,3,4,5,6,7,8,9,10,11,12,15,16,17,18,19,20,21,22,23,24,25,26,27,28,29,30,31,32,33,34,35,36,37,38,39,40,41,42,43,44,45,46,47,48,49,50,51,52,53,54,55,56,57,58,59</t>
  </si>
  <si>
    <t>2,3,4,5,6,7,8,9,10,11,12,13,14,15,16,17,18,19,20,21,22,23,24,25,26,27,28,29,30,31,32,33,34,35,36,37,38,39,40,41,42,43,44,45,46,47,48,49,50,51,53,54,55,56,57,58,59</t>
  </si>
  <si>
    <t>2,3,4,5,6,7,8,9,10,11,12,13,14,15,18,19,20,21,22,23,24,25,26,27,28,29,30,31,32,33,34,35,36,37,38,39,40,41,42,43,44,45,46,47,48,49,50,51,52,53,54,55,56,57,58,59</t>
  </si>
  <si>
    <t>2,3,4,5,6,7,8,9,10,11,12,13,14,15,16,17,19,20,21,22,23,24,25,26,27,28,29,30,31,32,33,34,35,36,37,38,39,40,41,42,43,44,45,46,47,48,49,50,51,52,53,54,55,56,57,58,59</t>
  </si>
  <si>
    <t>2,3,4,5,6,7,8,9,10,11,12,13,14,15,16,17,18,20,21,23,24,26,27,29,30,31,32,33,34,35,36,37,38,39,40,41,42,43,44,45,46,47,48,49,50,51,52,54,55,56,57,58,59</t>
  </si>
  <si>
    <t>2,3,4,5,6,7,8,9,10,11,12,13,14,15,16,17,18,19,22,23,24,25,26,27,28,29,30,31,32,33,34,35,36,37,38,39,40,41,42,43,44,45,46,47,48,49,50,51,52,53,54,55,56,57,58,59</t>
  </si>
  <si>
    <t>2,3,4,5,6,7,8,9,10,11,12,13,14,15,16,17,18,19,20,21,22,25,26,27,28,29,30,31,32,33,34,35,36,37,38,39,40,41,42,43,44,45,46,47,48,49,50,51,52,53,54,55,56,57,58,59</t>
  </si>
  <si>
    <t>2,3,4,5,6,7,8,9,10,11,12,13,14,15,16,17,18,19,20,21,22,23,24,25,28,29,30,31,32,33,34,35,36,37,38,39,40,41,42,43,44,45,46,47,48,49,50,51,52,53,54,55,56,57,58,59</t>
  </si>
  <si>
    <t>2,3,4,5,6,7,8,9,10,11,12,13,14,15,16,17,18,19,20,21,22,23,24,25,26,27,28,29,30,31,32,33,34,35,36,37,38,39,40,41,42,43,44,45,46,47,48,49,50,51,52,53,55,56,57,58,59</t>
  </si>
  <si>
    <t>2,3,4,5,6,7,8,9,10,11,12,13,14,15,16,17,18,19,20,21,22,23,24,25,26,27,28,31,32,33,34,35,36,37,38,39,40,41,42,43,44,45,46,47,48,49,50,51,52,53,54,55,56,57,58,59</t>
  </si>
  <si>
    <t>2,3,4,5,6,7,8,9,10,11,12,13,14,15,16,17,18,19,20,21,22,23,24,25,26,27,28,29,30,32,33,34,35,36,37,38,39,40,41,42,43,44,45,46,47,48,49,50,51,52,53,54,55,56,57,58,59</t>
  </si>
  <si>
    <t>2,3,4,5,6,7,8,9,10,11,12,13,14,15,16,17,18,19,20,21,22,23,24,25,26,27,28,29,30,31,33,34,36,37,39,40,41,42,43,44,45,46,47,48,49,50,51,52,53,54,56,57,58,59</t>
  </si>
  <si>
    <t>2,3,4,5,6,7,8,9,10,11,12,13,14,15,16,17,18,19,20,21,22,23,24,25,26,27,28,29,30,31,32,35,36,37,38,39,40,41,42,43,44,45,46,47,48,49,50,51,52,53,54,55,56,57,58,59</t>
  </si>
  <si>
    <t>2,3,4,5,6,7,8,9,10,11,12,13,14,15,16,17,18,19,20,21,22,23,24,25,26,27,28,29,30,31,32,33,34,35,38,39,40,41,42,43,44,45,46,47,48,49,50,51,52,53,54,55,56,57,58,59</t>
  </si>
  <si>
    <t>2,3,4,5,6,7,8,9,10,11,12,13,14,15,16,17,18,19,20,21,22,23,24,25,26,27,28,29,30,31,32,33,34,35,36,37,38,41,42,43,44,45,46,47,48,49,50,51,52,53,54,55,56,57,58,59</t>
  </si>
  <si>
    <t>2,3,4,5,6,7,8,9,10,11,12,13,14,15,16,17,18,19,20,21,22,23,24,25,26,27,28,29,30,31,32,33,34,35,36,37,38,39,40,41,42,43,44,45,46,47,48,49,50,51,52,53,54,55,57,58,59</t>
  </si>
  <si>
    <t>2,3,4,5,6,7,8,9,10,11,12,13,14,15,16,17,18,19,20,21,22,23,24,25,26,27,28,29,30,31,32,33,34,35,36,37,38,39,40,42,43,44,45,46,47,48,49,50,51,52,53,54,55,56,57,58,59</t>
  </si>
  <si>
    <t>2,3,4,5,6,7,8,9,10,11,12,13,14,15,16,17,18,19,20,21,22,23,24,25,26,27,28,29,30,31,32,33,34,35,36,37,38,39,40,41,43,44,46,47,49,50,51,52,53,54,55,56,58,59</t>
  </si>
  <si>
    <t>2,3,4,5,6,7,8,9,10,11,12,13,14,15,16,17,18,19,20,21,22,23,24,25,26,27,28,29,30,31,32,33,34,35,36,37,38,39,40,41,42,45,46,47,48,49,50,51,52,53,54,55,56,57,58,59</t>
  </si>
  <si>
    <t>2,3,4,5,6,7,8,9,10,11,12,13,14,15,16,17,18,19,20,21,22,23,24,25,26,27,28,29,30,31,32,33,34,35,36,37,38,39,40,41,42,43,44,45,48,49,50,51,52,53,54,55,56,57,58,59</t>
  </si>
  <si>
    <t>2,3,4,5,6,7,8,9,10,11,12,13,14,15,16,17,18,19,20,21,22,23,24,25,26,27,28,29,30,31,32,33,34,35,36,37,38,39,40,41,42,43,44,45,46,47,48,49,50,51,52,53,54,55,56,57,59</t>
  </si>
  <si>
    <t>2,3,4,5,6,7,8,9,10,11,12,13,14,15,16,17,18,19,20,21,22,23,24,25,26,27,28,29,30,31,32,33,34,35,36,37,38,39,40,41,42,43,44,45,46,47,48,51,52,53,54,55,56,57,58,59</t>
  </si>
  <si>
    <t>2,3,4,5,6,7,8,9,10,11,12,13,14,15,16,17,18,19,20,21,22,23,24,25,26,27,28,29,30,31,32,33,34,35,36,37,38,39,40,41,42,43,44,45,46,47,48,49,50,51,52,53,54,55,56,57,58</t>
  </si>
  <si>
    <t>Ignore All non-included Streams</t>
  </si>
  <si>
    <t>inlet streams</t>
  </si>
  <si>
    <t>Outlet Streams</t>
  </si>
  <si>
    <t>4,5,7,8,10,11,13,14,16,17,18,19,20,21,22,23,24,25,26,27,28,29,30,31,32,33,34,35,36,37,38,39,40,41,42,43,44,45,46,47,48,49,50,52,53,54,55,56,57,58,59</t>
  </si>
  <si>
    <t>3,4,5,6,7,8,9,10,11,12,13,14,15,16,17,18,19,20,21,22,23,24,25,26,27,28,29,30,31,32,33,34,35,36,37,38,39,40,41,42,43,44,45,46,47,48,49,50,51,52,53,54,55,56,57,58,59</t>
  </si>
  <si>
    <t>2,6,7,8,9,10,11,12,13,14,15,16,17,18,19,20,21,22,23,24,25,26,27,28,29,30,31,32,33,34,35,36,37,38,39,40,41,42,43,44,45,46,47,48,49,50,51,52,53,54,55,56,57,58,59</t>
  </si>
  <si>
    <t>2,4,5,6,7,8,9,10,11,12,13,14,15,16,17,18,19,20,21,22,23,24,25,26,27,28,29,30,31,32,33,34,35,36,37,38,39,40,41,42,43,44,45,46,47,48,49,50,51,52,53,54,55,56,57,58,59</t>
  </si>
  <si>
    <t>2,3,4,5,9,10,11,12,13,14,15,16,17,18,19,20,21,22,23,24,25,26,27,28,29,30,31,32,33,34,35,36,37,38,39,40,41,42,43,44,45,46,47,48,49,50,51,52,53,54,55,56,57,58,59</t>
  </si>
  <si>
    <t>2,3,4,5,7,8,9,10,11,12,13,14,15,16,17,18,19,20,21,22,23,24,25,26,27,28,29,30,31,32,33,34,35,36,37,38,39,40,41,42,43,44,45,46,47,48,49,50,51,52,53,54,55,56,57,58,59</t>
  </si>
  <si>
    <t>2,3,4,5,6,7,8,12,13,14,15,16,17,18,19,20,21,22,23,24,25,26,27,28,29,30,31,32,33,34,35,36,37,38,39,40,41,42,43,44,45,46,47,48,49,50,51,52,53,54,55,56,57,58,59</t>
  </si>
  <si>
    <t>2,3,4,5,6,7,8,10,11,12,13,14,15,16,17,18,19,20,21,22,23,24,25,26,27,28,29,30,31,32,33,34,35,36,37,38,39,40,41,42,43,44,45,46,47,48,49,50,51,52,53,54,55,56,57,58,59</t>
  </si>
  <si>
    <t>2,3,4,5,6,7,8,9,10,11,15,16,17,18,19,20,21,22,23,24,25,26,27,28,29,30,31,32,33,34,35,36,37,38,39,40,41,42,43,44,45,46,47,48,49,50,51,52,53,54,55,56,57,58,59</t>
  </si>
  <si>
    <t>2,3,4,5,6,7,8,9,10,11,13,14,15,16,17,18,19,20,21,22,23,24,25,26,27,28,29,30,31,32,33,34,35,36,37,38,39,40,41,42,43,44,45,46,47,48,49,50,51,52,53,54,55,56,57,58,59</t>
  </si>
  <si>
    <t>2,3,4,5,6,7,8,9,10,11,12,13,14,15,16,17,18,19,20,21,22,23,24,25,26,27,28,29,30,31,32,33,34,35,36,37,38,39,40,41,42,43,44,45,46,47,48,49,50,53,54,55,56,57,58,59</t>
  </si>
  <si>
    <t>2,3,4,5,6,7,8,9,10,11,12,13,14,15,16,17,18,19,20,21,22,23,24,25,26,27,28,29,30,31,32,33,34,35,36,37,38,39,40,41,42,43,44,45,46,47,48,49,50,52,53,54,55,56,57,58,59</t>
  </si>
  <si>
    <t>2,3,4,5,6,7,8,9,10,11,12,13,14,18,19,20,21,22,23,24,25,26,27,28,29,30,31,32,33,34,35,36,37,38,39,40,41,42,43,44,45,46,47,48,49,50,51,52,53,54,55,56,57,58,59</t>
  </si>
  <si>
    <t>2,3,4,5,6,7,8,9,10,11,12,13,14,16,17,18,19,20,21,22,23,24,25,26,27,28,29,30,31,32,33,34,35,36,37,38,39,40,41,42,43,44,45,46,47,48,49,50,51,52,53,54,55,56,57,58,59</t>
  </si>
  <si>
    <t>2,3,4,6,7,9,10,12,13,15,16,19,20,21,22,23,24,25,26,27,28,29,30,31,32,33,34,35,36,37,38,39,40,41,42,43,44,45,46,47,48,49,50,51,53,54,55,56,57,58,59</t>
  </si>
  <si>
    <t>2,3,4,6,7,9,10,12,13,15,16,18,19,20,21,22,23,24,25,26,27,28,29,30,31,32,33,34,35,36,37,38,39,40,41,42,43,44,45,46,47,48,49,50,51,53,54,55,56,57,58,59</t>
  </si>
  <si>
    <t>2,3,4,5,6,7,8,9,10,11,12,13,14,15,16,17,20,21,23,24,26,27,29,30,31,32,33,34,35,36,37,38,39,40,41,42,43,44,45,46,47,48,49,50,51,52,54,55,56,57,58,59</t>
  </si>
  <si>
    <t>2,3,4,5,6,7,8,9,10,11,12,13,14,15,16,17,18,22,23,24,25,26,27,28,29,30,31,32,33,34,35,36,37,38,39,40,41,42,43,44,45,46,47,48,49,50,51,52,53,54,55,56,57,58,59</t>
  </si>
  <si>
    <t>2,3,4,5,6,7,8,9,10,11,12,13,14,15,16,17,18,20,21,22,23,24,25,26,27,28,29,30,31,32,33,34,35,36,37,38,39,40,41,42,43,44,45,46,47,48,49,50,51,52,53,54,55,56,57,58,59</t>
  </si>
  <si>
    <t>2,3,4,5,6,7,8,9,10,11,12,13,14,15,16,17,18,19,20,21,25,26,27,28,29,30,31,32,33,34,35,36,37,38,39,40,41,42,43,44,45,46,47,48,49,50,51,52,53,54,55,56,57,58,59</t>
  </si>
  <si>
    <t>2,3,4,5,6,7,8,9,10,11,12,13,14,15,16,17,18,19,20,21,23,24,25,26,27,28,29,30,31,32,33,34,35,36,37,38,39,40,41,42,43,44,45,46,47,48,49,50,51,52,53,54,55,56,57,58,59</t>
  </si>
  <si>
    <t>2,3,4,5,6,7,8,9,10,11,12,13,14,15,16,17,18,19,20,21,22,23,24,28,29,30,31,32,33,34,35,36,37,38,39,40,41,42,43,44,45,46,47,48,49,50,51,52,53,54,55,56,57,58,59</t>
  </si>
  <si>
    <t>2,3,4,5,6,7,8,9,10,11,12,13,14,15,16,17,18,19,20,21,22,23,24,26,27,28,29,30,31,32,33,34,35,36,37,38,39,40,41,42,43,44,45,46,47,48,49,50,51,52,53,54,55,56,57,58,59</t>
  </si>
  <si>
    <t>2,3,4,5,6,7,8,9,10,11,12,13,14,15,16,17,18,19,20,21,22,23,24,25,26,27,28,29,30,31,32,33,34,35,36,37,38,39,40,41,42,43,44,45,46,47,48,49,50,51,52,55,56,57,58,59</t>
  </si>
  <si>
    <t>2,3,4,5,6,7,8,9,10,11,12,13,14,15,16,17,18,19,20,21,22,23,24,25,26,27,28,29,30,31,32,33,34,35,36,37,38,39,40,41,42,43,44,45,46,47,48,49,50,51,52,54,55,56,57,58,59</t>
  </si>
  <si>
    <t>2,3,4,5,6,7,8,9,10,11,12,13,14,15,16,17,18,19,20,21,22,23,24,25,26,27,31,32,33,34,35,36,37,38,39,40,41,42,43,44,45,46,47,48,49,50,51,52,53,54,55,56,57,58,59</t>
  </si>
  <si>
    <t>2,3,4,5,6,7,8,9,10,11,12,13,14,15,16,17,18,19,20,21,22,23,24,25,26,27,29,30,31,32,33,34,35,36,37,38,39,40,41,42,43,44,45,46,47,48,49,50,51,52,53,54,55,56,57,58,59</t>
  </si>
  <si>
    <t>2,3,4,5,6,7,8,9,10,11,12,13,14,15,16,17,18,19,20,22,23,25,26,28,29,32,33,34,35,36,37,38,39,40,41,42,43,44,45,46,47,48,49,50,51,52,53,55,56,57,58,59</t>
  </si>
  <si>
    <t>2,3,4,5,6,7,8,9,10,11,12,13,14,15,16,17,18,19,20,22,23,25,26,28,29,31,32,33,34,35,36,37,38,39,40,41,42,43,44,45,46,47,48,49,50,51,52,53,55,56,57,58,59</t>
  </si>
  <si>
    <t>2,3,4,5,6,7,8,9,10,11,12,13,14,15,16,17,18,19,20,21,22,23,24,25,26,27,28,29,30,33,34,36,37,39,40,41,42,43,44,45,46,47,48,49,50,51,52,53,54,56,57,58,59</t>
  </si>
  <si>
    <t>2,3,4,5,6,7,8,9,10,11,12,13,14,15,16,17,18,19,20,21,22,23,24,25,26,27,28,29,30,31,35,36,37,38,39,40,41,42,43,44,45,46,47,48,49,50,51,52,53,54,55,56,57,58,59</t>
  </si>
  <si>
    <t>2,3,4,5,6,7,8,9,10,11,12,13,14,15,16,17,18,19,20,21,22,23,24,25,26,27,28,29,30,31,33,34,35,36,37,38,39,40,41,42,43,44,45,46,47,48,49,50,51,52,53,54,55,56,57,58,59</t>
  </si>
  <si>
    <t>2,3,4,5,6,7,8,9,10,11,12,13,14,15,16,17,18,19,20,21,22,23,24,25,26,27,28,29,30,31,32,33,34,38,39,40,41,42,43,44,45,46,47,48,49,50,51,52,53,54,55,56,57,58,59</t>
  </si>
  <si>
    <t>2,3,4,5,6,7,8,9,10,11,12,13,14,15,16,17,18,19,20,21,22,23,24,25,26,27,28,29,30,31,32,33,34,36,37,38,39,40,41,42,43,44,45,46,47,48,49,50,51,52,53,54,55,56,57,58,59</t>
  </si>
  <si>
    <t>2,3,4,5,6,7,8,9,10,11,12,13,14,15,16,17,18,19,20,21,22,23,24,25,26,27,28,29,30,31,32,33,34,35,36,37,41,42,43,44,45,46,47,48,49,50,51,52,53,54,55,56,57,58,59</t>
  </si>
  <si>
    <t>2,3,4,5,6,7,8,9,10,11,12,13,14,15,16,17,18,19,20,21,22,23,24,25,26,27,28,29,30,31,32,33,34,35,36,37,39,40,41,42,43,44,45,46,47,48,49,50,51,52,53,54,55,56,57,58,59</t>
  </si>
  <si>
    <t>2,3,4,5,6,7,8,9,10,11,12,13,14,15,16,17,18,19,20,21,22,23,24,25,26,27,28,29,30,31,32,33,34,35,36,37,38,39,40,41,42,43,44,45,46,47,48,49,50,51,52,53,54,57,58,59</t>
  </si>
  <si>
    <t>2,3,4,5,6,7,8,9,10,11,12,13,14,15,16,17,18,19,20,21,22,23,24,25,26,27,28,29,30,31,32,33,34,35,36,37,38,39,40,41,42,43,44,45,46,47,48,49,50,51,52,53,54,56,57,58,59</t>
  </si>
  <si>
    <t>2,3,4,5,6,7,8,9,10,11,12,13,14,15,16,17,18,19,20,21,22,23,24,25,26,27,28,29,30,31,32,33,35,36,38,39,42,43,44,45,46,47,48,49,50,51,52,53,54,55,57,58,59</t>
  </si>
  <si>
    <t>2,3,4,5,6,7,8,9,10,11,12,13,14,15,16,17,18,19,20,21,22,23,24,25,26,27,28,29,30,31,32,33,35,36,38,39,41,42,43,44,45,46,47,48,49,50,51,52,53,54,55,57,58,59</t>
  </si>
  <si>
    <t>2,3,4,5,6,7,8,9,10,11,12,13,14,15,16,17,18,19,20,21,22,23,24,25,26,27,28,29,30,31,32,33,34,35,36,37,38,39,40,43,44,46,47,49,50,51,52,53,54,55,56,58,59</t>
  </si>
  <si>
    <t>2,3,4,5,6,7,8,9,10,11,12,13,14,15,16,17,18,19,20,21,22,23,24,25,26,27,28,29,30,31,32,33,34,35,36,37,38,39,40,41,45,46,47,48,49,50,51,52,53,54,55,56,57,58,59</t>
  </si>
  <si>
    <t>2,3,4,5,6,7,8,9,10,11,12,13,14,15,16,17,18,19,20,21,22,23,24,25,26,27,28,29,30,31,32,33,34,35,36,37,38,39,40,41,43,44,45,46,47,48,49,50,51,52,53,54,55,56,57,58,59</t>
  </si>
  <si>
    <t>2,3,4,5,6,7,8,9,10,11,12,13,14,15,16,17,18,19,20,21,22,23,24,25,26,27,28,29,30,31,32,33,34,35,36,37,38,39,40,41,42,43,44,48,49,50,51,52,53,54,55,56,57,58,59</t>
  </si>
  <si>
    <t>2,3,4,5,6,7,8,9,10,11,12,13,14,15,16,17,18,19,20,21,22,23,24,25,26,27,28,29,30,31,32,33,34,35,36,37,38,39,40,41,42,43,44,46,47,48,49,50,51,52,53,54,55,56,57,58,59</t>
  </si>
  <si>
    <t>2,3,4,5,6,7,8,9,10,11,12,13,14,15,16,17,18,19,20,21,22,23,24,25,26,27,28,29,30,31,32,33,34,35,36,37,38,39,40,41,42,43,44,45,46,47,48,49,50,51,52,53,54,55,56,59</t>
  </si>
  <si>
    <t>2,3,4,5,6,7,8,9,10,11,12,13,14,15,16,17,18,19,20,21,22,23,24,25,26,27,28,29,30,31,32,33,34,35,36,37,38,39,40,41,42,43,44,45,46,47,48,49,50,51,52,53,54,55,56,58,59</t>
  </si>
  <si>
    <t>2,3,4,5,6,7,8,9,10,11,12,13,14,15,16,17,18,19,20,21,22,23,24,25,26,27,28,29,30,31,32,33,34,35,36,37,38,39,40,41,42,43,44,45,46,47,51,52,53,54,55,56,57,58,59</t>
  </si>
  <si>
    <t>2,3,4,5,6,7,8,9,10,11,12,13,14,15,16,17,18,19,20,21,22,23,24,25,26,27,28,29,30,31,32,33,34,35,36,37,38,39,40,41,42,43,44,45,46,47,49,50,51,52,53,54,55,56,57,58,59</t>
  </si>
  <si>
    <t>2,3,4,5,6,7,8,9,10,11,12,13,14,15,16,17,18,19,20,21,22,23,24,25,26,27,28,29,30,31,32,33,34,35,36,37,38,39,40,41,42,43,45,46,48,49,51,52,53,54,55,56,57</t>
  </si>
  <si>
    <t>2,3,4,5,6,7,8,9,10,11,12,13,14,15,16,17,18,19,20,21,22,23,24,25,26,27,28,29,30,31,32,33,34,35,36,37,38,39,40,41,42,43,45,46,48,49,51,52,53,54,55,56,57,59</t>
  </si>
  <si>
    <t>ignore colums gams input</t>
  </si>
  <si>
    <t>Values=No Data [Y/N]</t>
  </si>
  <si>
    <t>Values gams input</t>
  </si>
  <si>
    <t>i2</t>
  </si>
  <si>
    <t>i4</t>
  </si>
  <si>
    <t>i5</t>
  </si>
  <si>
    <t>jFLT1E</t>
  </si>
  <si>
    <t>jFLT1S</t>
  </si>
  <si>
    <t>jFLT1F</t>
  </si>
  <si>
    <t>C,D,E,F,H,K,L,M,O,R,S,T,X,Y,AA</t>
  </si>
  <si>
    <t>s1</t>
  </si>
  <si>
    <t>s2</t>
  </si>
  <si>
    <t>s3</t>
  </si>
  <si>
    <t>s4</t>
  </si>
  <si>
    <t>mat_data!J1:M1</t>
  </si>
  <si>
    <t>Chem_T_sld</t>
  </si>
  <si>
    <t>Chem_T_sol</t>
  </si>
  <si>
    <t>Solid_Props!A2:W6</t>
  </si>
  <si>
    <t>Sol_Props!A2:W6</t>
  </si>
  <si>
    <t>Solid_Props!A3:A10</t>
  </si>
  <si>
    <t>Sol_Props!A3:A10</t>
  </si>
  <si>
    <t xml:space="preserve">Adsorption Efficiency </t>
  </si>
  <si>
    <t>Residence Time</t>
  </si>
  <si>
    <t>Repair Time</t>
  </si>
  <si>
    <t>Density of Granulated Activated Carbon</t>
  </si>
  <si>
    <t>void fraction</t>
  </si>
  <si>
    <t>Description</t>
  </si>
  <si>
    <t>Sedimentation Efficiency</t>
  </si>
  <si>
    <t>Liquid Viscosity</t>
  </si>
  <si>
    <t>Density of Anti-solvent</t>
  </si>
  <si>
    <t xml:space="preserve">Centrifugation Efficiency </t>
  </si>
  <si>
    <t xml:space="preserve">Inlet Cold Water Temperature </t>
  </si>
  <si>
    <t xml:space="preserve">Outlet Cold Water Temperature </t>
  </si>
  <si>
    <t>Particle Diameter</t>
  </si>
  <si>
    <t>m</t>
  </si>
  <si>
    <t>rho_s</t>
  </si>
  <si>
    <t>rho_l</t>
  </si>
  <si>
    <t>Row of max MF:</t>
  </si>
  <si>
    <t>Den for SDM:</t>
  </si>
  <si>
    <t>SDM!A1:H2</t>
  </si>
  <si>
    <t>Density of Densest Solid</t>
  </si>
  <si>
    <t>Density of Liquid with highest Mass fraction</t>
  </si>
  <si>
    <t>JADS1S</t>
  </si>
  <si>
    <t>JADS2S</t>
  </si>
  <si>
    <t>jFLT1</t>
  </si>
  <si>
    <t xml:space="preserve">jPRCS </t>
  </si>
  <si>
    <t xml:space="preserve">jCNFE </t>
  </si>
  <si>
    <t xml:space="preserve">jCNFS </t>
  </si>
  <si>
    <t xml:space="preserve">jDSTE </t>
  </si>
  <si>
    <t xml:space="preserve">jDSTS </t>
  </si>
  <si>
    <t xml:space="preserve">jPVP1S </t>
  </si>
  <si>
    <t xml:space="preserve">jPVP2E </t>
  </si>
  <si>
    <t>UF!B1:Z1</t>
  </si>
  <si>
    <t>drop down</t>
  </si>
  <si>
    <t>pet</t>
  </si>
  <si>
    <t>add</t>
  </si>
  <si>
    <t>recovery</t>
  </si>
  <si>
    <t>solvent recovery -- 58</t>
  </si>
  <si>
    <t>stage 1 output (3,6,9,12,etc)</t>
  </si>
  <si>
    <t>Removal Factors (% that leaves system)</t>
  </si>
  <si>
    <t xml:space="preserve">EB </t>
  </si>
  <si>
    <t>recovery/ purity</t>
  </si>
  <si>
    <t>field of choice</t>
  </si>
  <si>
    <t>purity</t>
  </si>
  <si>
    <t xml:space="preserve">recovery </t>
  </si>
  <si>
    <t>desired?</t>
  </si>
  <si>
    <t>check box</t>
  </si>
  <si>
    <t>desired</t>
  </si>
  <si>
    <t>y</t>
  </si>
  <si>
    <t>n</t>
  </si>
  <si>
    <t>mix5</t>
  </si>
  <si>
    <t>LB</t>
  </si>
  <si>
    <t>UB</t>
  </si>
  <si>
    <t>CF_Bounds</t>
  </si>
  <si>
    <t>i6</t>
  </si>
  <si>
    <t>ConFac_Units!A2:A12</t>
  </si>
  <si>
    <t>CF_bounds</t>
  </si>
  <si>
    <t>ConFac_Units!B1:C1</t>
  </si>
  <si>
    <t>CF_T_bounds</t>
  </si>
  <si>
    <t>ConFac_Units!A1:C12</t>
  </si>
  <si>
    <t>PVP</t>
  </si>
  <si>
    <t>UF</t>
  </si>
  <si>
    <t>MF</t>
  </si>
  <si>
    <t>FLT</t>
  </si>
  <si>
    <t>Outlet_Spec!B1:C1</t>
  </si>
  <si>
    <t>jmix5</t>
  </si>
  <si>
    <t>2,3,5,6,8,9,11,12,14,15,17,18,19,21,22,24,25,27,28,30,31,32,34,35,37,38,40,41,42,44,45,47,48,50,51,52,53,54,55,56,57,58</t>
  </si>
  <si>
    <t>2,3,4,5,6,7,8,9,10,11,12,13,14,15,16,17,18,19,20,21,22,23,24,25,26,27,28,29,30,31,32,33,34,35,36,37,38,39,40,41,42,43,44,45,46,47,48,49,50,51,52,53,54,55,56,57,58,59</t>
  </si>
  <si>
    <t>2,3,5,6,8,9,11,12,14,15,17,18,19,21,22,24,25,27,28,30,31,32,34,35,37,38,40,41,42,44,45,47,48,50,51,52,53,54,55,56,57,58,60</t>
  </si>
  <si>
    <t>Con_mat!A60:A60</t>
  </si>
  <si>
    <t>Mix5</t>
  </si>
  <si>
    <t>dkS</t>
  </si>
  <si>
    <t>dkO</t>
  </si>
  <si>
    <t>Outlet_Spec!A2:A10</t>
  </si>
  <si>
    <t>Outlet_Spec!F2:F5</t>
  </si>
  <si>
    <t>dkS_Targets</t>
  </si>
  <si>
    <t>dkO_Targets</t>
  </si>
  <si>
    <t>Outlet_Spec!G1:H1</t>
  </si>
  <si>
    <t>dkS_Constr_T</t>
  </si>
  <si>
    <t>dkO_Constr_T</t>
  </si>
  <si>
    <t>Outlet_Spec!A1:C5</t>
  </si>
  <si>
    <t>Outlet_Spec!F1:H7</t>
  </si>
  <si>
    <t>jmix5F</t>
  </si>
  <si>
    <t>jmix5E</t>
  </si>
  <si>
    <t>Con_mat!B1:AC1</t>
  </si>
  <si>
    <t>B,G,I,J,N,P,Q,U,V,W,Z,AB,AC</t>
  </si>
  <si>
    <t>B,C,E,F,G,H,I,J,K,M,N,P,Q,U,V,W,Z,AB,AC</t>
  </si>
  <si>
    <t>B,C,F,G,H,I,J,K,N,P,Q,U,V,W,Z,AB,AC</t>
  </si>
  <si>
    <t>B,C,D,E,G,H,I,J,K,L,M,N,O,P,Q,R,S,T,U,V,W,X,Y,Z,AA,AB,AC</t>
  </si>
  <si>
    <t>2,3,5,6,8,9,11,12,14,15,17,18,19,21,22,24,25,27,28,30,31,32,34,35,37,38,40,41,42,44,45,47,48,50,51,52,53,54,55,56,57,58,59</t>
  </si>
  <si>
    <t>2,3,5,6,8,9,11,12,14,15,17,18,19,21,22,24,25,27,28,30,31,32,34,35,37,38,40,41,42,44,45,47,48,50,51,52,53,54,55,56,57,58,59,60</t>
  </si>
  <si>
    <t>API C</t>
  </si>
  <si>
    <t>intrest rate</t>
  </si>
  <si>
    <t>plant life</t>
  </si>
  <si>
    <t>unitless</t>
  </si>
  <si>
    <t>hours</t>
  </si>
  <si>
    <t>bed to height ratio</t>
  </si>
  <si>
    <t>m/m</t>
  </si>
  <si>
    <r>
      <t>kg/m</t>
    </r>
    <r>
      <rPr>
        <vertAlign val="superscript"/>
        <sz val="11"/>
        <color theme="1"/>
        <rFont val="Calibri"/>
        <family val="2"/>
        <scheme val="minor"/>
      </rPr>
      <t>3</t>
    </r>
  </si>
  <si>
    <t>Unitless</t>
  </si>
  <si>
    <r>
      <rPr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</t>
    </r>
  </si>
  <si>
    <t>stage efficiency</t>
  </si>
  <si>
    <t>Height of stage</t>
  </si>
  <si>
    <t>Ambient Temperature</t>
  </si>
  <si>
    <t>720??</t>
  </si>
  <si>
    <t>empty bed contact time (60 seconds/3600 seconds)</t>
  </si>
  <si>
    <r>
      <t>Density [kg/m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0"/>
        <color rgb="FF000000"/>
        <rFont val="Arial"/>
        <family val="2"/>
      </rPr>
      <t>]</t>
    </r>
  </si>
  <si>
    <t>Molecular Weight [g/mol]</t>
  </si>
  <si>
    <t>Heat of Vaporization [KJ/Kg]</t>
  </si>
  <si>
    <t>Heat Capacity [KJ/Kg*C]</t>
  </si>
  <si>
    <r>
      <t>Boiling Point [</t>
    </r>
    <r>
      <rPr>
        <vertAlign val="superscript"/>
        <sz val="11"/>
        <color theme="1"/>
        <rFont val="Calibri"/>
        <family val="2"/>
        <scheme val="minor"/>
      </rPr>
      <t>o</t>
    </r>
    <r>
      <rPr>
        <sz val="10"/>
        <color rgb="FF000000"/>
        <rFont val="Arial"/>
        <family val="2"/>
      </rPr>
      <t>C]</t>
    </r>
  </si>
  <si>
    <r>
      <t>Melting Point [</t>
    </r>
    <r>
      <rPr>
        <vertAlign val="superscript"/>
        <sz val="11"/>
        <color theme="1"/>
        <rFont val="Calibri"/>
        <family val="2"/>
        <scheme val="minor"/>
      </rPr>
      <t>o</t>
    </r>
    <r>
      <rPr>
        <sz val="10"/>
        <color rgb="FF000000"/>
        <rFont val="Arial"/>
        <family val="2"/>
      </rPr>
      <t>C]</t>
    </r>
  </si>
  <si>
    <r>
      <t>Viscosity [Pa*s</t>
    </r>
    <r>
      <rPr>
        <sz val="10"/>
        <color rgb="FF000000"/>
        <rFont val="Arial"/>
        <family val="2"/>
      </rPr>
      <t>]</t>
    </r>
  </si>
  <si>
    <r>
      <t>Molar Diameter[nm</t>
    </r>
    <r>
      <rPr>
        <sz val="10"/>
        <color rgb="FF000000"/>
        <rFont val="Arial"/>
        <family val="2"/>
      </rPr>
      <t>]</t>
    </r>
  </si>
  <si>
    <r>
      <rPr>
        <sz val="11"/>
        <color theme="1"/>
        <rFont val="Calibri"/>
        <family val="2"/>
      </rPr>
      <t>δp</t>
    </r>
    <r>
      <rPr>
        <sz val="11"/>
        <color theme="1"/>
        <rFont val="Calibri"/>
        <family val="2"/>
        <scheme val="minor"/>
      </rPr>
      <t>[Pa</t>
    </r>
    <r>
      <rPr>
        <vertAlign val="superscript"/>
        <sz val="11"/>
        <color theme="1"/>
        <rFont val="Calibri"/>
        <family val="2"/>
        <scheme val="minor"/>
      </rPr>
      <t>0.5</t>
    </r>
    <r>
      <rPr>
        <sz val="10"/>
        <color rgb="FF000000"/>
        <rFont val="Arial"/>
        <family val="2"/>
      </rPr>
      <t>]</t>
    </r>
  </si>
  <si>
    <t>Special Case</t>
  </si>
  <si>
    <t xml:space="preserve">Reasoning </t>
  </si>
  <si>
    <t>1,1,2,2-TETRACHLOROETHANE</t>
  </si>
  <si>
    <t>MD: Formula [kg/kmol]</t>
  </si>
  <si>
    <r>
      <t>For all temp dependant properties T = 25</t>
    </r>
    <r>
      <rPr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</t>
    </r>
  </si>
  <si>
    <t>1,2,4-TRIMETHYLBENZENE</t>
  </si>
  <si>
    <t xml:space="preserve">Do not Fill out the chemicals that are highlighted red they can be ignored. Each chemical needs the properties listed at the top put in. </t>
  </si>
  <si>
    <t>1,2-DIBROMOETHANE</t>
  </si>
  <si>
    <t>1,2-DICHLOROETHANE</t>
  </si>
  <si>
    <t>1,3-BUTADIENE</t>
  </si>
  <si>
    <t>Book, Only found for Polybutadiene, [MPa ^ 1/2], MD: Formula [kg/kmol]</t>
  </si>
  <si>
    <t>1,3-PHENYLENEDIAMINE</t>
  </si>
  <si>
    <t>Yes</t>
  </si>
  <si>
    <r>
      <t>Taken at T</t>
    </r>
    <r>
      <rPr>
        <vertAlign val="subscript"/>
        <sz val="11"/>
        <color theme="1"/>
        <rFont val="Calibri"/>
        <family val="2"/>
        <scheme val="minor"/>
      </rPr>
      <t>melt</t>
    </r>
    <r>
      <rPr>
        <sz val="11"/>
        <color theme="1"/>
        <rFont val="Calibri"/>
        <family val="2"/>
        <scheme val="minor"/>
      </rPr>
      <t xml:space="preserve"> out of range at T = 25 </t>
    </r>
    <r>
      <rPr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, MD: Formula [kg/kmol]</t>
    </r>
  </si>
  <si>
    <t>1,4-DICHLOROBENZENE</t>
  </si>
  <si>
    <t>1,4-DIOXANE</t>
  </si>
  <si>
    <t xml:space="preserve">https://doi.org/10.1016/j.molliq.2008.09.009 || Book </t>
  </si>
  <si>
    <t>1-BROMOPROPANE</t>
  </si>
  <si>
    <t>δd: Book, MD: Formula [kg/kmol]</t>
  </si>
  <si>
    <t>Heat Capacities are all liquids</t>
  </si>
  <si>
    <t>1-CHLORO-1,1-DIFLUOROETHANE</t>
  </si>
  <si>
    <t>2,4-DIMETHYLPHENOL</t>
  </si>
  <si>
    <t>Out of Range at 25C</t>
  </si>
  <si>
    <t>2-CHLORO-1,1,1,2-TETRAFLUOROETHANE</t>
  </si>
  <si>
    <t>2-MERCAPTOBENZOTHIAZOLE</t>
  </si>
  <si>
    <r>
      <t>Taken at T</t>
    </r>
    <r>
      <rPr>
        <vertAlign val="subscript"/>
        <sz val="11"/>
        <color theme="1"/>
        <rFont val="Calibri"/>
        <family val="2"/>
        <scheme val="minor"/>
      </rPr>
      <t>melt</t>
    </r>
    <r>
      <rPr>
        <sz val="11"/>
        <color theme="1"/>
        <rFont val="Calibri"/>
        <family val="2"/>
        <scheme val="minor"/>
      </rPr>
      <t xml:space="preserve"> out of range at T = 25 </t>
    </r>
    <r>
      <rPr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, δd: Book</t>
    </r>
    <r>
      <rPr>
        <sz val="11"/>
        <color theme="1"/>
        <rFont val="Calibri"/>
        <family val="2"/>
        <scheme val="minor"/>
      </rPr>
      <t>, MD: Formula [kg/kmol]</t>
    </r>
  </si>
  <si>
    <t>2-PHENYLPHENOL</t>
  </si>
  <si>
    <t>N/A</t>
  </si>
  <si>
    <t>Cannot Find on DIPPR</t>
  </si>
  <si>
    <t>3-CHLORO-2-METHYL-1-PROPENE</t>
  </si>
  <si>
    <t>3-IODO-2-PROPYNYL BUTYLCARBAMATE</t>
  </si>
  <si>
    <t>4,4'-DIAMINODIPHENYL ETHER</t>
  </si>
  <si>
    <t>4,4'-ISOPROPYLIDENEDIPHENOL</t>
  </si>
  <si>
    <t>4,4'-METHYLENEBIS(2-CHLOROANILINE)</t>
  </si>
  <si>
    <t>ACETALDEHYDE</t>
  </si>
  <si>
    <t>δp: Book, MD: Formula [kg/kmol]</t>
  </si>
  <si>
    <t>ACETONITRILE</t>
  </si>
  <si>
    <t>δp:Book, MD: Formula [kg/kmol]</t>
  </si>
  <si>
    <t>ACETOPHENONE</t>
  </si>
  <si>
    <t>ACIFLUORFEN, SODIUM SALT</t>
  </si>
  <si>
    <t>ACROLEIN</t>
  </si>
  <si>
    <t>ACRYLAMIDE</t>
  </si>
  <si>
    <t>ACRYLIC ACID</t>
  </si>
  <si>
    <t>δp: Book, [MPa ^ 1/2], Experimental Value, MD: Formula [kg/kmol]</t>
  </si>
  <si>
    <t>ACRYLONITRILE</t>
  </si>
  <si>
    <t>ALLYL CHLORIDE</t>
  </si>
  <si>
    <t>ALUMINUM (FUME OR DUST)</t>
  </si>
  <si>
    <t>AMMONIA</t>
  </si>
  <si>
    <t>δp:Book, [MPa ^1/2], MD: Formula [kg/kmol]</t>
  </si>
  <si>
    <t>ANILINE</t>
  </si>
  <si>
    <t>ANTHRACENE</t>
  </si>
  <si>
    <t>ANTIMONY (ANTIMONY TRICHLORIDE)</t>
  </si>
  <si>
    <t>ANTIMONY COMPOUNDS</t>
  </si>
  <si>
    <t>ARSENIC</t>
  </si>
  <si>
    <r>
      <t>Taken at T</t>
    </r>
    <r>
      <rPr>
        <vertAlign val="subscript"/>
        <sz val="11"/>
        <color theme="1"/>
        <rFont val="Calibri"/>
        <family val="2"/>
        <scheme val="minor"/>
      </rPr>
      <t>melt</t>
    </r>
    <r>
      <rPr>
        <sz val="11"/>
        <color theme="1"/>
        <rFont val="Calibri"/>
        <family val="2"/>
        <scheme val="minor"/>
      </rPr>
      <t xml:space="preserve"> out of range at T = 25 </t>
    </r>
    <r>
      <rPr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 &amp; No known Boiling Point, MD: Formula [kg/kmol]</t>
    </r>
  </si>
  <si>
    <t>ARSENIC COMPOUNDS</t>
  </si>
  <si>
    <t>ASBESTOS (FRIABLE)</t>
  </si>
  <si>
    <t>BARIUM</t>
  </si>
  <si>
    <t>BARIUM COMPOUNDS</t>
  </si>
  <si>
    <t>BENZAL CHLORIDE</t>
  </si>
  <si>
    <r>
      <t>Heat Capacity Taken at T</t>
    </r>
    <r>
      <rPr>
        <vertAlign val="subscript"/>
        <sz val="11"/>
        <color theme="1"/>
        <rFont val="Calibri"/>
        <family val="2"/>
        <scheme val="minor"/>
      </rPr>
      <t>melt</t>
    </r>
    <r>
      <rPr>
        <sz val="11"/>
        <color theme="1"/>
        <rFont val="Calibri"/>
        <family val="2"/>
        <scheme val="minor"/>
      </rPr>
      <t xml:space="preserve"> out of range at T = 25 </t>
    </r>
    <r>
      <rPr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C, MD: Formula [kg/kmol]</t>
    </r>
  </si>
  <si>
    <t>BENZENE</t>
  </si>
  <si>
    <t>BENZO(G,H,I)PERYLENE</t>
  </si>
  <si>
    <t>BENZOYL CHLORIDE</t>
  </si>
  <si>
    <t>BENZOYL PEROXIDE</t>
  </si>
  <si>
    <t>BENZYL CHLORIDE</t>
  </si>
  <si>
    <t>BERYLLIUM</t>
  </si>
  <si>
    <t>BIFENTHRIN</t>
  </si>
  <si>
    <t>BIPHENYL</t>
  </si>
  <si>
    <r>
      <t>Taken at T</t>
    </r>
    <r>
      <rPr>
        <vertAlign val="subscript"/>
        <sz val="11"/>
        <color theme="1"/>
        <rFont val="Calibri"/>
        <family val="2"/>
        <scheme val="minor"/>
      </rPr>
      <t>melt</t>
    </r>
    <r>
      <rPr>
        <sz val="11"/>
        <color theme="1"/>
        <rFont val="Calibri"/>
        <family val="2"/>
        <scheme val="minor"/>
      </rPr>
      <t xml:space="preserve"> out of range at T = 25 </t>
    </r>
    <r>
      <rPr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, δp: Book</t>
    </r>
    <r>
      <rPr>
        <sz val="11"/>
        <color theme="1"/>
        <rFont val="Calibri"/>
        <family val="2"/>
        <scheme val="minor"/>
      </rPr>
      <t>, MD: Formula [kg/kmol]</t>
    </r>
  </si>
  <si>
    <t>BUTYL ACRYLATE</t>
  </si>
  <si>
    <t>CADMIUM</t>
  </si>
  <si>
    <t>CADMIUM COMPOUNDS</t>
  </si>
  <si>
    <t>CARBON DISULFIDE</t>
  </si>
  <si>
    <t>CARBON TETRACHLORIDE</t>
  </si>
  <si>
    <t>CARBONYL SULFIDE</t>
  </si>
  <si>
    <t>CATECHOL</t>
  </si>
  <si>
    <t>CERTAIN GLYCOL ETHERS</t>
  </si>
  <si>
    <t>CHLORIMURON ETHYL</t>
  </si>
  <si>
    <t>CHLORINE</t>
  </si>
  <si>
    <r>
      <t>Heat Capacity Taken at T</t>
    </r>
    <r>
      <rPr>
        <vertAlign val="subscript"/>
        <sz val="11"/>
        <color theme="1"/>
        <rFont val="Calibri"/>
        <family val="2"/>
        <scheme val="minor"/>
      </rPr>
      <t>melt</t>
    </r>
    <r>
      <rPr>
        <sz val="11"/>
        <color theme="1"/>
        <rFont val="Calibri"/>
        <family val="2"/>
        <scheme val="minor"/>
      </rPr>
      <t xml:space="preserve"> out of range at T = 25 </t>
    </r>
    <r>
      <rPr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C, δp: Book, [Mpa^1/2], MD: Formula [kg/kmol]</t>
    </r>
  </si>
  <si>
    <t>CHLORINE DIOXIDE</t>
  </si>
  <si>
    <r>
      <t>Density Taken at T</t>
    </r>
    <r>
      <rPr>
        <vertAlign val="subscript"/>
        <sz val="11"/>
        <color theme="1"/>
        <rFont val="Calibri"/>
        <family val="2"/>
        <scheme val="minor"/>
      </rPr>
      <t xml:space="preserve">melt  </t>
    </r>
    <r>
      <rPr>
        <sz val="11"/>
        <color theme="1"/>
        <rFont val="Calibri"/>
        <family val="2"/>
        <scheme val="minor"/>
      </rPr>
      <t xml:space="preserve">out of range at T = 25 </t>
    </r>
    <r>
      <rPr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C, no Heat Capacity data, MD: Formula [kg/kmol]</t>
    </r>
  </si>
  <si>
    <t>CHLOROACETIC ACID</t>
  </si>
  <si>
    <t>CHLOROBENZENE</t>
  </si>
  <si>
    <t>δp; Book, [MPa ^1/2], MD: Formula [kg/kmol]</t>
  </si>
  <si>
    <t>CHLORODIFLUOROMETHANE</t>
  </si>
  <si>
    <t>CHLOROETHANE</t>
  </si>
  <si>
    <t>CHLOROFORM</t>
  </si>
  <si>
    <t>δp; Book, MD: Formula [kg/kmol]</t>
  </si>
  <si>
    <t>CHLOROMETHANE</t>
  </si>
  <si>
    <t>CHLORSULFURON</t>
  </si>
  <si>
    <t>CHROMIUM</t>
  </si>
  <si>
    <t>CHROMIUM COMPOUNDS(EXCEPT CHROMITE ORE MINED IN THE TRANSVAAL REGION)</t>
  </si>
  <si>
    <t>COBALT</t>
  </si>
  <si>
    <t>COBALT COMPOUNDS</t>
  </si>
  <si>
    <t>COPPER</t>
  </si>
  <si>
    <t>COPPER COMPOUNDS</t>
  </si>
  <si>
    <t>CRESOL (MIXED ISOMERS)</t>
  </si>
  <si>
    <t>CUMENE</t>
  </si>
  <si>
    <t>CUMENE HYDROPEROXIDE</t>
  </si>
  <si>
    <t>CYANIDE COMPOUNDS</t>
  </si>
  <si>
    <t>CYCLOHEXANE</t>
  </si>
  <si>
    <t>CYCLOHEXANOL</t>
  </si>
  <si>
    <t>DI(2-ETHYLHEXYL) PHTHALATE</t>
  </si>
  <si>
    <t>DIAMINOTOLUENE (MIXED ISOMERS)</t>
  </si>
  <si>
    <t>yes</t>
  </si>
  <si>
    <t>DIBROMOTETRAFLUOROETHANE</t>
  </si>
  <si>
    <t>DIBUTYL PHTHALATE</t>
  </si>
  <si>
    <t>DICHLORODIFLUOROMETHANE</t>
  </si>
  <si>
    <t>DICHLOROMETHANE</t>
  </si>
  <si>
    <t>δp [Mpa^1/2}, MD: Formula [kg/kmol]</t>
  </si>
  <si>
    <t>DICYCLOPENTADIENE</t>
  </si>
  <si>
    <t>Taken at Tmelt out of range at T = 25, MD: Formula [kg/kmol]</t>
  </si>
  <si>
    <t>DIETHANOLAMINE</t>
  </si>
  <si>
    <t>DIETHYL SULFATE</t>
  </si>
  <si>
    <t>Heat Capacity Taken at Tmelt out of range at T = 25 oC, δp: Book, MD: Formula [kg/kmol]</t>
  </si>
  <si>
    <t>DIGLYCIDYL RESORCINOL ETHER</t>
  </si>
  <si>
    <t>none</t>
  </si>
  <si>
    <t>DIISOCYANATES</t>
  </si>
  <si>
    <t>DIMETHYL PHTHALATE</t>
  </si>
  <si>
    <t>DIMETHYL SULFATE</t>
  </si>
  <si>
    <t>Heat Capacity Taken at Tmelt out of range at T = 25 oC, MD: Formula [kg/kmol]</t>
  </si>
  <si>
    <t>DIMETHYLAMINE</t>
  </si>
  <si>
    <t>DIOXIN AND DIOXIN-LIKE COMPOUNDS</t>
  </si>
  <si>
    <t>DIPHENYLAMINE</t>
  </si>
  <si>
    <t>Taken at Tmelt, MD: Formula [kg/kmol]</t>
  </si>
  <si>
    <t>DIURON</t>
  </si>
  <si>
    <t>EPICHLOROHYDRIN</t>
  </si>
  <si>
    <t>ETHYL ACRYLATE</t>
  </si>
  <si>
    <t>ETHYLBENZENE</t>
  </si>
  <si>
    <t>ETHYLENE</t>
  </si>
  <si>
    <t>Taken at Tmelt, δp [Mpa^1/2],, MD: Formula [kg/kmol]</t>
  </si>
  <si>
    <t>ETHYLENE GLYCOL</t>
  </si>
  <si>
    <t>ETHYLENE OXIDE</t>
  </si>
  <si>
    <t>Heat Capacity Taken at Tmelt out of range at T = 25 oC</t>
  </si>
  <si>
    <t>ETHYLIDENE DICHLORIDE</t>
  </si>
  <si>
    <t>FLUORINE</t>
  </si>
  <si>
    <t>yES</t>
  </si>
  <si>
    <t>FORMALDEHYDE</t>
  </si>
  <si>
    <t>FORMIC ACID</t>
  </si>
  <si>
    <t>δp: Book</t>
  </si>
  <si>
    <t>HEXABROMOCYCLODODECANE</t>
  </si>
  <si>
    <t>HEXACHLOROBENZENE</t>
  </si>
  <si>
    <t>Taken at Tmely</t>
  </si>
  <si>
    <t>HEXACHLOROETHANE</t>
  </si>
  <si>
    <t>HYDRAZINE</t>
  </si>
  <si>
    <t>HYDROCHLORIC ACID (1995 AND AFTER "ACID AEROSOLS" ONLY)</t>
  </si>
  <si>
    <t>HYDROGEN CYANIDE</t>
  </si>
  <si>
    <t>HYDROGEN FLUORIDE</t>
  </si>
  <si>
    <t>HYDROGEN SULFIDE</t>
  </si>
  <si>
    <t>δp [Mpa^1/2]</t>
  </si>
  <si>
    <t>HYDROQUINONE</t>
  </si>
  <si>
    <t>Taken at Tmelt</t>
  </si>
  <si>
    <t>LEAD</t>
  </si>
  <si>
    <t>LEAD COMPOUNDS</t>
  </si>
  <si>
    <t>LITHIUM CARBONATE</t>
  </si>
  <si>
    <t>M-CRESOL</t>
  </si>
  <si>
    <t>M-XYLENE</t>
  </si>
  <si>
    <t>δp: Book, [Mpa^1/2]</t>
  </si>
  <si>
    <t>MALEIC ANHYDRIDE</t>
  </si>
  <si>
    <t>MANGANESE</t>
  </si>
  <si>
    <t>MANGANESE COMPOUNDS</t>
  </si>
  <si>
    <t>MERCURY</t>
  </si>
  <si>
    <t>MERCURY COMPOUNDS</t>
  </si>
  <si>
    <t>METHANOL</t>
  </si>
  <si>
    <t>METHYL ACRYLATE</t>
  </si>
  <si>
    <t>METHYL ISOBUTYL KETONE</t>
  </si>
  <si>
    <t>METHYL METHACRYLATE</t>
  </si>
  <si>
    <t>METHYL TERT-BUTYL ETHER</t>
  </si>
  <si>
    <t>MIXTURE</t>
  </si>
  <si>
    <t>MOLYBDENUM TRIOXIDE</t>
  </si>
  <si>
    <t>N,N-DIMETHYLANILINE</t>
  </si>
  <si>
    <t>N,N-DIMETHYLFORMAMIDE</t>
  </si>
  <si>
    <t>N-BUTYL ALCOHOL</t>
  </si>
  <si>
    <t>N-HEXANE</t>
  </si>
  <si>
    <t>N-METHYL-2-PYRROLIDONE</t>
  </si>
  <si>
    <t>Heat Capacity Taken at Tmelt out of range at T = 25 oC, δp: Book, [Mpa^1/2]</t>
  </si>
  <si>
    <t>N-METHYLOLACRYLAMIDE</t>
  </si>
  <si>
    <t>NAPHTHALENE</t>
  </si>
  <si>
    <t>NICKEL</t>
  </si>
  <si>
    <t>NICKEL COMPOUNDS</t>
  </si>
  <si>
    <t>NICOTINE AND SALTS</t>
  </si>
  <si>
    <t>NITRATE COMPOUNDS</t>
  </si>
  <si>
    <t>NITRIC ACID</t>
  </si>
  <si>
    <t>1509..9</t>
  </si>
  <si>
    <t>NITROBENZENE</t>
  </si>
  <si>
    <t>NITROGLYCERIN</t>
  </si>
  <si>
    <t>NITROMETHANE</t>
  </si>
  <si>
    <t>NONYLPHENOL</t>
  </si>
  <si>
    <t>No melting point given, heat capacity Taken at Tmelt</t>
  </si>
  <si>
    <t>NONYLPHENOL ETHOXYLATES</t>
  </si>
  <si>
    <t>O-CRESOL</t>
  </si>
  <si>
    <t>O-TOLUIDINE</t>
  </si>
  <si>
    <t>δp: Book, [MPa^1/2]</t>
  </si>
  <si>
    <t>O-XYLENE</t>
  </si>
  <si>
    <t>δp: Book, {Mpa^1/2]</t>
  </si>
  <si>
    <t>OZONE</t>
  </si>
  <si>
    <t>P-CRESOL</t>
  </si>
  <si>
    <t>P-PHENYLENEDIAMINE</t>
  </si>
  <si>
    <t>PENTOBARBITAL SODIUM</t>
  </si>
  <si>
    <t>PERACETIC ACID</t>
  </si>
  <si>
    <t>PERMETHRIN</t>
  </si>
  <si>
    <t>PHENANTHRENE</t>
  </si>
  <si>
    <t>PHENOL</t>
  </si>
  <si>
    <t>Taken at Tmelt, δp: Book, [Mpa^1/2]</t>
  </si>
  <si>
    <t>PHENOLPHTHALEIN</t>
  </si>
  <si>
    <t>PHOSGENE</t>
  </si>
  <si>
    <t>Heat Capacity Out of range, taken at Tmelt</t>
  </si>
  <si>
    <r>
      <t xml:space="preserve">PHOSPHORUS (YELLOW OR </t>
    </r>
    <r>
      <rPr>
        <u/>
        <sz val="11"/>
        <color theme="1"/>
        <rFont val="Calibri"/>
        <family val="2"/>
        <scheme val="minor"/>
      </rPr>
      <t>WHITE</t>
    </r>
    <r>
      <rPr>
        <sz val="11"/>
        <color theme="1"/>
        <rFont val="Calibri"/>
        <family val="2"/>
        <scheme val="minor"/>
      </rPr>
      <t>)</t>
    </r>
  </si>
  <si>
    <t>Heat Capacity and density Taken at Tmelt out of range at T = 25 oC</t>
  </si>
  <si>
    <t>PHTHALIC ANHYDRIDE</t>
  </si>
  <si>
    <t>PIPERONYL BUTOXIDE</t>
  </si>
  <si>
    <t>POLYCHLORINATED BIPHENYLS</t>
  </si>
  <si>
    <t>POLYCYCLIC AROMATIC COMPOUNDS</t>
  </si>
  <si>
    <t>POTASSIUM BROMATE</t>
  </si>
  <si>
    <t>PROPARGYL ALCOHOL</t>
  </si>
  <si>
    <t>PROPIONALDEHYDE</t>
  </si>
  <si>
    <t>PROPYLENE</t>
  </si>
  <si>
    <t>PROPYLENE OXIDE</t>
  </si>
  <si>
    <t>PYRIDINE</t>
  </si>
  <si>
    <t>SEC-BUTYL ALCOHOL</t>
  </si>
  <si>
    <t>SELENIUM</t>
  </si>
  <si>
    <t>SILVER</t>
  </si>
  <si>
    <t>SILVER COMPOUNDS</t>
  </si>
  <si>
    <t>SODIUM NITRITE</t>
  </si>
  <si>
    <t>No Data</t>
  </si>
  <si>
    <t>No data for Heat Capacity and Heat of Vaporization, density out of range</t>
  </si>
  <si>
    <t>STYRENE</t>
  </si>
  <si>
    <t>SULFURIC ACID (1994 AND AFTER "ACID AEROSOLS" ONLY)</t>
  </si>
  <si>
    <t>One data point for heat of vaporization (T=336.85 C)</t>
  </si>
  <si>
    <t>SULFURYL FLUORIDE</t>
  </si>
  <si>
    <t>TERT-BUTYL ALCOHOL</t>
  </si>
  <si>
    <t>Out of range, taken at Tmelt</t>
  </si>
  <si>
    <t>TETRABROMOBISPHENOL A</t>
  </si>
  <si>
    <t>TETRACHLOROETHYLENE</t>
  </si>
  <si>
    <t>TETRAFLUOROETHYLENE</t>
  </si>
  <si>
    <t>Heat Capacity aout of range, taken at Tmelt</t>
  </si>
  <si>
    <t>THIOUREA</t>
  </si>
  <si>
    <t>THIRAM</t>
  </si>
  <si>
    <t>TITANIUM TETRACHLORIDE</t>
  </si>
  <si>
    <t>TOLUENE</t>
  </si>
  <si>
    <t>TOLUENE DIISOCYANATE (MIXED ISOMERS)</t>
  </si>
  <si>
    <t>TOLUENE-2,4-DIISOCYANATE</t>
  </si>
  <si>
    <t>TRIBENURON METHYL</t>
  </si>
  <si>
    <t>TRICHLOROETHYLENE</t>
  </si>
  <si>
    <t>TRIETHYLAMINE</t>
  </si>
  <si>
    <t>VANADIUM (EXCEPT WHEN CONTAINED IN AN ALLOY)</t>
  </si>
  <si>
    <t>No density data, Low Data points for heat capacity/vaporization, out of range/taken at Tmelt</t>
  </si>
  <si>
    <t>VANADIUM COMPOUNDS</t>
  </si>
  <si>
    <t>VINYL ACETATE</t>
  </si>
  <si>
    <t>δp: Book, [Mpa^1/2], only for Poly, exp value</t>
  </si>
  <si>
    <t>VINYL CHLORIDE</t>
  </si>
  <si>
    <t>VINYL FLUORIDE</t>
  </si>
  <si>
    <t>VINYLIDENE CHLORIDE</t>
  </si>
  <si>
    <t>XYLENE (MIXED ISOMERS)</t>
  </si>
  <si>
    <t>ZINC (FUME OR DUST)</t>
  </si>
  <si>
    <t>ZINC COMPOUNDS</t>
  </si>
  <si>
    <t>ETHYL BENZOATE</t>
  </si>
  <si>
    <t>POLYETHYLENE TEREPHTHALATE (PET)</t>
  </si>
  <si>
    <t>Additives</t>
  </si>
  <si>
    <t>not w2 but y2</t>
  </si>
  <si>
    <t>Chem_Props!A2:Y6</t>
  </si>
  <si>
    <t>Chem_Props!B2:Y2</t>
  </si>
  <si>
    <t>Price of Granualted Activated Carbon</t>
  </si>
  <si>
    <t>Residnce time</t>
  </si>
  <si>
    <t>hr</t>
  </si>
  <si>
    <t>Pa*s</t>
  </si>
  <si>
    <t>antisolvent ratio</t>
  </si>
  <si>
    <t>price of antisolvent</t>
  </si>
  <si>
    <t>mixture quality</t>
  </si>
  <si>
    <t>m/s</t>
  </si>
  <si>
    <t>linear vapor velocity</t>
  </si>
  <si>
    <t>Heat of Vaporization of Water</t>
  </si>
  <si>
    <t>Molecular Weight of Steam</t>
  </si>
  <si>
    <r>
      <t xml:space="preserve">kJ/kg </t>
    </r>
    <r>
      <rPr>
        <sz val="11"/>
        <color theme="1"/>
        <rFont val="Calibri"/>
        <family val="2"/>
      </rPr>
      <t>°C</t>
    </r>
  </si>
  <si>
    <t xml:space="preserve"> °C</t>
  </si>
  <si>
    <t>reference critical temperature for the mixutre</t>
  </si>
  <si>
    <r>
      <t>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s</t>
    </r>
  </si>
  <si>
    <r>
      <t>$/m</t>
    </r>
    <r>
      <rPr>
        <vertAlign val="superscript"/>
        <sz val="11"/>
        <color theme="1"/>
        <rFont val="Calibri"/>
        <family val="2"/>
        <scheme val="minor"/>
      </rPr>
      <t>2</t>
    </r>
  </si>
  <si>
    <t>volume flux of technology</t>
  </si>
  <si>
    <t>purchase price of membranes</t>
  </si>
  <si>
    <t>replacement time for membrane</t>
  </si>
  <si>
    <t>Heat Capacity of Water</t>
  </si>
  <si>
    <t>Saturation Tempreature</t>
  </si>
  <si>
    <t>g/g</t>
  </si>
  <si>
    <t>purity requirement?</t>
  </si>
  <si>
    <t>CMSTR_mat!a1:bq80</t>
  </si>
  <si>
    <t>CMUNT_mat!a1:bq80</t>
  </si>
  <si>
    <t>H,J</t>
  </si>
  <si>
    <t xml:space="preserve">Water </t>
  </si>
  <si>
    <t>isopropanol</t>
  </si>
  <si>
    <t>Unit</t>
  </si>
  <si>
    <t>Q0</t>
  </si>
  <si>
    <t>Nlabr</t>
  </si>
  <si>
    <t>C0</t>
  </si>
  <si>
    <t>nc</t>
  </si>
  <si>
    <t>Wsp</t>
  </si>
  <si>
    <t>units Q0</t>
  </si>
  <si>
    <t>m2</t>
  </si>
  <si>
    <t>(bowl)</t>
  </si>
  <si>
    <t>(rotary vacuum)</t>
  </si>
  <si>
    <t>m3</t>
  </si>
  <si>
    <t>m3/hr</t>
  </si>
  <si>
    <t>ATPE</t>
  </si>
  <si>
    <t>Chemical</t>
  </si>
  <si>
    <t>Density [kg/m3]</t>
  </si>
  <si>
    <t>Molecular Weight [g/mol]</t>
  </si>
  <si>
    <t>Heat of Vaporization [KJ/Kg]</t>
  </si>
  <si>
    <t>Heat Capacity [KJ/Kg*C]</t>
  </si>
  <si>
    <t>Boiling Point [oC]</t>
  </si>
  <si>
    <t>Melting Point [oC]</t>
  </si>
  <si>
    <t>State</t>
  </si>
  <si>
    <t>Liquid</t>
  </si>
  <si>
    <t>Desired</t>
  </si>
  <si>
    <t>No</t>
  </si>
  <si>
    <t>Constraint</t>
  </si>
  <si>
    <t>No Constraint</t>
  </si>
  <si>
    <t>Purity</t>
  </si>
  <si>
    <t>Con_val</t>
  </si>
  <si>
    <t>Mass Fraction</t>
  </si>
  <si>
    <t>RFLT1</t>
  </si>
  <si>
    <t>Bind_ADS1</t>
  </si>
  <si>
    <t>Eff_PRC</t>
  </si>
  <si>
    <t>alpha</t>
  </si>
  <si>
    <t>RCpvp1</t>
  </si>
  <si>
    <t>Bind_ADS2</t>
  </si>
  <si>
    <t>RCmf1</t>
  </si>
  <si>
    <t>RCmf2</t>
  </si>
  <si>
    <t>RCuf1</t>
  </si>
  <si>
    <t>RCpvp2</t>
  </si>
  <si>
    <t>RCuf2</t>
  </si>
  <si>
    <t>RCnf</t>
  </si>
  <si>
    <t>RCpvp3</t>
  </si>
  <si>
    <t>Chemical</t>
  </si>
  <si>
    <t>Density [kg/m3]</t>
  </si>
  <si>
    <t>Molecular Weight [g/mol]</t>
  </si>
  <si>
    <t>Heat of Vaporization [KJ/Kg]</t>
  </si>
  <si>
    <t>Heat Capacity [KJ/Kg*C]</t>
  </si>
  <si>
    <t>Boiling Point [oC]</t>
  </si>
  <si>
    <t>Melting Point [oC]</t>
  </si>
  <si>
    <t>State</t>
  </si>
  <si>
    <t>Desired</t>
  </si>
  <si>
    <t>Constraint</t>
  </si>
  <si>
    <t>Con_val</t>
  </si>
  <si>
    <t>Mass Fraction</t>
  </si>
  <si>
    <t>RFLT1</t>
  </si>
  <si>
    <t>Bind_ADS1</t>
  </si>
  <si>
    <t>Eff_PRC</t>
  </si>
  <si>
    <t>alpha</t>
  </si>
  <si>
    <t>RCpvp1</t>
  </si>
  <si>
    <t>Bind_ADS2</t>
  </si>
  <si>
    <t>RCmf1</t>
  </si>
  <si>
    <t>RCmf2</t>
  </si>
  <si>
    <t>RCuf1</t>
  </si>
  <si>
    <t>RCpvp2</t>
  </si>
  <si>
    <t>RCuf2</t>
  </si>
  <si>
    <t>RCnf</t>
  </si>
  <si>
    <t>RCpvp3</t>
  </si>
  <si>
    <t>Chemical</t>
  </si>
  <si>
    <t>Water</t>
  </si>
  <si>
    <t>isopropanol</t>
  </si>
  <si>
    <t>TOLUENE</t>
  </si>
  <si>
    <t>Density [kg/m3]</t>
  </si>
  <si>
    <t>Molecular Weight [g/mol]</t>
  </si>
  <si>
    <t>Heat of Vaporization [KJ/Kg]</t>
  </si>
  <si>
    <t>Heat Capacity [KJ/Kg*C]</t>
  </si>
  <si>
    <t>Boiling Point [oC]</t>
  </si>
  <si>
    <t>Melting Point [oC]</t>
  </si>
  <si>
    <t>State</t>
  </si>
  <si>
    <t>Liquid</t>
  </si>
  <si>
    <t>Desired</t>
  </si>
  <si>
    <t>No</t>
  </si>
  <si>
    <t>Yes</t>
  </si>
  <si>
    <t>Constraint</t>
  </si>
  <si>
    <t>No Constraint</t>
  </si>
  <si>
    <t>Recovery</t>
  </si>
  <si>
    <t>Purity</t>
  </si>
  <si>
    <t>Con_val</t>
  </si>
  <si>
    <t>Mass Fraction</t>
  </si>
  <si>
    <t>RFLT1</t>
  </si>
  <si>
    <t>Bind_ADS1</t>
  </si>
  <si>
    <t>Eff_PRC</t>
  </si>
  <si>
    <t>alpha</t>
  </si>
  <si>
    <t>RCpvp1</t>
  </si>
  <si>
    <t>Bind_ADS2</t>
  </si>
  <si>
    <t>RCmf1</t>
  </si>
  <si>
    <t>RCmf2</t>
  </si>
  <si>
    <t>RCuf1</t>
  </si>
  <si>
    <t>RCpvp2</t>
  </si>
  <si>
    <t>RCuf2</t>
  </si>
  <si>
    <t>RCnf</t>
  </si>
  <si>
    <t>RCpvp3</t>
  </si>
  <si>
    <t>dkS</t>
  </si>
  <si>
    <t>isopropanol</t>
  </si>
  <si>
    <t>TOLUENE</t>
  </si>
  <si>
    <t>Pur</t>
  </si>
  <si>
    <t>Rec</t>
  </si>
  <si>
    <t>Water</t>
  </si>
  <si>
    <t>isopropanol</t>
  </si>
  <si>
    <t>TOLUENE</t>
  </si>
  <si>
    <t>Water</t>
  </si>
  <si>
    <t>isopropanol</t>
  </si>
  <si>
    <t>TOLUENE</t>
  </si>
  <si>
    <t>IC1</t>
  </si>
  <si>
    <t>ACN</t>
  </si>
  <si>
    <t>WTR</t>
  </si>
  <si>
    <t>Solid</t>
  </si>
  <si>
    <t>KFA</t>
  </si>
  <si>
    <t>NFA</t>
  </si>
  <si>
    <t>Chemical</t>
  </si>
  <si>
    <t>isopropanol</t>
  </si>
  <si>
    <t>Water</t>
  </si>
  <si>
    <t>Density [kg/m3]</t>
  </si>
  <si>
    <t>Molecular Weight [g/mol]</t>
  </si>
  <si>
    <t>Heat of Vaporization [KJ/Kg]</t>
  </si>
  <si>
    <t>Heat Capacity [KJ/Kg*C]</t>
  </si>
  <si>
    <t>Boiling Point [oC]</t>
  </si>
  <si>
    <t>Melting Point [oC]</t>
  </si>
  <si>
    <t>State</t>
  </si>
  <si>
    <t>Liquid</t>
  </si>
  <si>
    <t>Desired</t>
  </si>
  <si>
    <t>Yes</t>
  </si>
  <si>
    <t>No</t>
  </si>
  <si>
    <t>Constraint</t>
  </si>
  <si>
    <t>Purity</t>
  </si>
  <si>
    <t>No Constraint</t>
  </si>
  <si>
    <t>Con_val</t>
  </si>
  <si>
    <t>Mass Fraction</t>
  </si>
  <si>
    <t>RFLT1</t>
  </si>
  <si>
    <t>Bind_ADS1</t>
  </si>
  <si>
    <t>Eff_PRC</t>
  </si>
  <si>
    <t>alpha</t>
  </si>
  <si>
    <t>RCpvp1</t>
  </si>
  <si>
    <t>Bind_ADS2</t>
  </si>
  <si>
    <t>RCmf1</t>
  </si>
  <si>
    <t>RCmf2</t>
  </si>
  <si>
    <t>RCuf1</t>
  </si>
  <si>
    <t>RCpvp2</t>
  </si>
  <si>
    <t>RCuf2</t>
  </si>
  <si>
    <t>RCnf</t>
  </si>
  <si>
    <t>RCpvp3</t>
  </si>
  <si>
    <t>Chemical</t>
  </si>
  <si>
    <t>Density [kg/m3]</t>
  </si>
  <si>
    <t>Molecular Weight [g/mol]</t>
  </si>
  <si>
    <t>Heat of Vaporization [KJ/Kg]</t>
  </si>
  <si>
    <t>Heat Capacity [KJ/Kg*C]</t>
  </si>
  <si>
    <t>Boiling Point [oC]</t>
  </si>
  <si>
    <t>Melting Point [oC]</t>
  </si>
  <si>
    <t>State</t>
  </si>
  <si>
    <t>Desired</t>
  </si>
  <si>
    <t>Constraint</t>
  </si>
  <si>
    <t>Con_val</t>
  </si>
  <si>
    <t>Mass Fraction</t>
  </si>
  <si>
    <t>RFLT1</t>
  </si>
  <si>
    <t>Bind_ADS1</t>
  </si>
  <si>
    <t>Eff_PRC</t>
  </si>
  <si>
    <t>alpha</t>
  </si>
  <si>
    <t>RCpvp1</t>
  </si>
  <si>
    <t>Bind_ADS2</t>
  </si>
  <si>
    <t>RCmf1</t>
  </si>
  <si>
    <t>RCmf2</t>
  </si>
  <si>
    <t>RCuf1</t>
  </si>
  <si>
    <t>RCpvp2</t>
  </si>
  <si>
    <t>RCuf2</t>
  </si>
  <si>
    <t>RCnf</t>
  </si>
  <si>
    <t>RCpvp3</t>
  </si>
  <si>
    <t>Chemical</t>
  </si>
  <si>
    <t>isopropanol</t>
  </si>
  <si>
    <t>Water</t>
  </si>
  <si>
    <t>Density [kg/m3]</t>
  </si>
  <si>
    <t>Molecular Weight [g/mol]</t>
  </si>
  <si>
    <t>Heat of Vaporization [KJ/Kg]</t>
  </si>
  <si>
    <t>Heat Capacity [KJ/Kg*C]</t>
  </si>
  <si>
    <t>Boiling Point [oC]</t>
  </si>
  <si>
    <t>Melting Point [oC]</t>
  </si>
  <si>
    <t>State</t>
  </si>
  <si>
    <t>Liquid</t>
  </si>
  <si>
    <t>Desired</t>
  </si>
  <si>
    <t>Yes</t>
  </si>
  <si>
    <t>No</t>
  </si>
  <si>
    <t>Constraint</t>
  </si>
  <si>
    <t>Purity</t>
  </si>
  <si>
    <t>No Constraint</t>
  </si>
  <si>
    <t>Con_val</t>
  </si>
  <si>
    <t>Mass Fraction</t>
  </si>
  <si>
    <t>RFLT1</t>
  </si>
  <si>
    <t>Bind_ADS1</t>
  </si>
  <si>
    <t>Eff_PRC</t>
  </si>
  <si>
    <t>alpha</t>
  </si>
  <si>
    <t>RCpvp1</t>
  </si>
  <si>
    <t>Bind_ADS2</t>
  </si>
  <si>
    <t>RCmf1</t>
  </si>
  <si>
    <t>RCmf2</t>
  </si>
  <si>
    <t>RCuf1</t>
  </si>
  <si>
    <t>RCpvp2</t>
  </si>
  <si>
    <t>RCuf2</t>
  </si>
  <si>
    <t>RCnf</t>
  </si>
  <si>
    <t>RCpvp3</t>
  </si>
  <si>
    <t>dkO</t>
  </si>
  <si>
    <t>Pur</t>
  </si>
  <si>
    <t>Rec</t>
  </si>
  <si>
    <t>dkS</t>
  </si>
  <si>
    <t>isopropanol</t>
  </si>
  <si>
    <t>Pur</t>
  </si>
  <si>
    <t>Rec</t>
  </si>
  <si>
    <t>isopropanol</t>
  </si>
  <si>
    <t>Water</t>
  </si>
  <si>
    <t>isopropanol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</si>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</sst>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"/>
    <numFmt numFmtId="165" formatCode="0.0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name val="Courier New"/>
      <family val="3"/>
    </font>
    <font>
      <b/>
      <u/>
      <sz val="11"/>
      <color rgb="FFC000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0"/>
      <color rgb="FF212121"/>
      <name val="Segoe UI"/>
      <family val="2"/>
    </font>
    <font>
      <vertAlign val="subscript"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D2D2D"/>
      <name val="Arial"/>
      <family val="2"/>
    </font>
    <font>
      <u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4999542222357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</borders>
  <cellStyleXfs count="6">
    <xf numFmtId="0" fontId="0" fillId="0" borderId="0"/>
    <xf numFmtId="0" fontId="6" fillId="0" borderId="0"/>
    <xf numFmtId="0" fontId="11" fillId="0" borderId="0" applyNumberFormat="false" applyFill="false" applyBorder="false" applyAlignment="false" applyProtection="false"/>
    <xf numFmtId="0" fontId="6" fillId="0" borderId="0"/>
    <xf numFmtId="0" fontId="12" fillId="0" borderId="0"/>
    <xf numFmtId="0" fontId="6" fillId="0" borderId="23"/>
  </cellStyleXfs>
  <cellXfs count="112">
    <xf numFmtId="0" fontId="0" fillId="0" borderId="0" xfId="0"/>
    <xf numFmtId="0" fontId="0" fillId="0" borderId="1" xfId="0" applyBorder="true" applyAlignment="true">
      <alignment wrapText="true"/>
    </xf>
    <xf numFmtId="2" fontId="0" fillId="0" borderId="1" xfId="0" applyNumberFormat="true" applyBorder="true" applyAlignment="true">
      <alignment wrapText="true"/>
    </xf>
    <xf numFmtId="0" fontId="1" fillId="0" borderId="1" xfId="0" applyFont="true" applyBorder="true" applyAlignment="true">
      <alignment wrapText="true"/>
    </xf>
    <xf numFmtId="0" fontId="2" fillId="0" borderId="0" xfId="0" applyFont="true"/>
    <xf numFmtId="11" fontId="0" fillId="0" borderId="0" xfId="0" applyNumberFormat="true"/>
    <xf numFmtId="0" fontId="3" fillId="0" borderId="0" xfId="0" applyFont="true"/>
    <xf numFmtId="0" fontId="0" fillId="0" borderId="0" xfId="0" applyAlignment="true">
      <alignment horizontal="center"/>
    </xf>
    <xf numFmtId="0" fontId="0" fillId="0" borderId="0" xfId="0" applyAlignment="true">
      <alignment horizontal="center" vertical="center"/>
    </xf>
    <xf numFmtId="0" fontId="2" fillId="0" borderId="1" xfId="0" applyFont="true" applyBorder="true" applyAlignment="true">
      <alignment wrapText="true"/>
    </xf>
    <xf numFmtId="0" fontId="0" fillId="0" borderId="2" xfId="0" applyBorder="true" applyAlignment="true">
      <alignment wrapText="true"/>
    </xf>
    <xf numFmtId="2" fontId="0" fillId="0" borderId="2" xfId="0" applyNumberFormat="true" applyBorder="true" applyAlignment="true">
      <alignment wrapText="true"/>
    </xf>
    <xf numFmtId="0" fontId="0" fillId="2" borderId="0" xfId="0" applyFill="true" applyAlignment="true">
      <alignment horizontal="center" vertical="center"/>
    </xf>
    <xf numFmtId="0" fontId="1" fillId="3" borderId="1" xfId="0" applyFont="true" applyFill="true" applyBorder="true" applyAlignment="true">
      <alignment horizontal="center"/>
    </xf>
    <xf numFmtId="0" fontId="1" fillId="3" borderId="3" xfId="0" applyFont="true" applyFill="true" applyBorder="true" applyAlignment="true">
      <alignment horizontal="center"/>
    </xf>
    <xf numFmtId="0" fontId="1" fillId="3" borderId="4" xfId="0" applyFont="true" applyFill="true" applyBorder="true" applyAlignment="true">
      <alignment horizontal="center"/>
    </xf>
    <xf numFmtId="0" fontId="5" fillId="0" borderId="1" xfId="0" applyFont="true" applyBorder="true" applyAlignment="true">
      <alignment horizontal="center"/>
    </xf>
    <xf numFmtId="164" fontId="0" fillId="0" borderId="1" xfId="0" applyNumberFormat="true" applyBorder="true" applyAlignment="true">
      <alignment wrapText="true"/>
    </xf>
    <xf numFmtId="0" fontId="0" fillId="0" borderId="5" xfId="0" applyBorder="true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6" xfId="0" applyBorder="true" applyAlignment="true">
      <alignment horizontal="center" vertical="center"/>
    </xf>
    <xf numFmtId="0" fontId="0" fillId="0" borderId="7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8" xfId="0" applyBorder="true" applyAlignment="true">
      <alignment horizontal="center" vertical="center"/>
    </xf>
    <xf numFmtId="0" fontId="5" fillId="0" borderId="0" xfId="0" applyFont="true" applyAlignment="true">
      <alignment horizontal="center"/>
    </xf>
    <xf numFmtId="0" fontId="0" fillId="0" borderId="1" xfId="0" applyBorder="true" applyAlignment="true">
      <alignment horizontal="center"/>
    </xf>
    <xf numFmtId="0" fontId="0" fillId="0" borderId="7" xfId="0" applyBorder="true" applyAlignment="true">
      <alignment horizontal="center"/>
    </xf>
    <xf numFmtId="0" fontId="7" fillId="0" borderId="0" xfId="0" applyFont="true" applyAlignment="true">
      <alignment vertical="center"/>
    </xf>
    <xf numFmtId="0" fontId="8" fillId="0" borderId="0" xfId="0" applyFont="true" applyAlignment="true">
      <alignment horizontal="right"/>
    </xf>
    <xf numFmtId="0" fontId="0" fillId="4" borderId="0" xfId="0" applyFill="true"/>
    <xf numFmtId="0" fontId="0" fillId="0" borderId="0" xfId="0" applyAlignment="true">
      <alignment wrapText="true"/>
    </xf>
    <xf numFmtId="0" fontId="6" fillId="0" borderId="0" xfId="1"/>
    <xf numFmtId="0" fontId="0" fillId="0" borderId="1" xfId="0" applyBorder="true"/>
    <xf numFmtId="0" fontId="2" fillId="0" borderId="0" xfId="0" applyFont="true" applyAlignment="true">
      <alignment wrapText="true"/>
    </xf>
    <xf numFmtId="0" fontId="0" fillId="0" borderId="0" xfId="0" quotePrefix="true" applyAlignment="true">
      <alignment horizontal="center"/>
    </xf>
    <xf numFmtId="0" fontId="0" fillId="5" borderId="7" xfId="0" applyFill="true" applyBorder="true" applyAlignment="true">
      <alignment horizontal="center" vertical="center"/>
    </xf>
    <xf numFmtId="0" fontId="0" fillId="5" borderId="1" xfId="0" applyFill="true" applyBorder="true" applyAlignment="true">
      <alignment horizontal="center" vertical="center"/>
    </xf>
    <xf numFmtId="0" fontId="0" fillId="5" borderId="1" xfId="0" applyFill="true" applyBorder="true" applyAlignment="true">
      <alignment horizontal="center"/>
    </xf>
    <xf numFmtId="0" fontId="0" fillId="5" borderId="8" xfId="0" applyFill="true" applyBorder="true" applyAlignment="true">
      <alignment horizontal="center" vertical="center"/>
    </xf>
    <xf numFmtId="0" fontId="0" fillId="5" borderId="9" xfId="0" applyFill="true" applyBorder="true" applyAlignment="true">
      <alignment horizontal="center" vertical="center"/>
    </xf>
    <xf numFmtId="0" fontId="0" fillId="5" borderId="4" xfId="0" applyFill="true" applyBorder="true" applyAlignment="true">
      <alignment horizontal="center" vertical="center"/>
    </xf>
    <xf numFmtId="0" fontId="0" fillId="5" borderId="4" xfId="0" applyFill="true" applyBorder="true" applyAlignment="true">
      <alignment horizontal="center"/>
    </xf>
    <xf numFmtId="0" fontId="0" fillId="5" borderId="10" xfId="0" applyFill="true" applyBorder="true" applyAlignment="true">
      <alignment horizontal="center" vertical="center"/>
    </xf>
    <xf numFmtId="0" fontId="0" fillId="0" borderId="8" xfId="0" applyBorder="true" applyAlignment="true">
      <alignment horizontal="center"/>
    </xf>
    <xf numFmtId="0" fontId="0" fillId="5" borderId="8" xfId="0" applyFill="true" applyBorder="true" applyAlignment="true">
      <alignment horizontal="center"/>
    </xf>
    <xf numFmtId="0" fontId="0" fillId="5" borderId="10" xfId="0" applyFill="true" applyBorder="true" applyAlignment="true">
      <alignment horizontal="center"/>
    </xf>
    <xf numFmtId="0" fontId="0" fillId="0" borderId="0" xfId="0" applyAlignment="true">
      <alignment horizontal="right"/>
    </xf>
    <xf numFmtId="0" fontId="0" fillId="0" borderId="0" xfId="0" applyAlignment="true">
      <alignment horizontal="left"/>
    </xf>
    <xf numFmtId="0" fontId="0" fillId="6" borderId="10" xfId="0" applyFill="true" applyBorder="true"/>
    <xf numFmtId="0" fontId="0" fillId="6" borderId="11" xfId="0" applyFill="true" applyBorder="true"/>
    <xf numFmtId="0" fontId="0" fillId="6" borderId="9" xfId="0" applyFill="true" applyBorder="true"/>
    <xf numFmtId="0" fontId="0" fillId="6" borderId="12" xfId="0" applyFill="true" applyBorder="true"/>
    <xf numFmtId="0" fontId="0" fillId="6" borderId="0" xfId="0" applyFill="true"/>
    <xf numFmtId="0" fontId="0" fillId="6" borderId="13" xfId="0" applyFill="true" applyBorder="true"/>
    <xf numFmtId="0" fontId="0" fillId="6" borderId="6" xfId="0" applyFill="true" applyBorder="true"/>
    <xf numFmtId="0" fontId="0" fillId="6" borderId="14" xfId="0" applyFill="true" applyBorder="true"/>
    <xf numFmtId="0" fontId="0" fillId="6" borderId="5" xfId="0" applyFill="true" applyBorder="true"/>
    <xf numFmtId="0" fontId="0" fillId="0" borderId="12" xfId="0" applyBorder="true"/>
    <xf numFmtId="0" fontId="0" fillId="0" borderId="0" xfId="0" quotePrefix="true"/>
    <xf numFmtId="0" fontId="1" fillId="3" borderId="1" xfId="0" applyFont="true" applyFill="true" applyBorder="true"/>
    <xf numFmtId="0" fontId="1" fillId="3" borderId="2" xfId="0" applyFont="true" applyFill="true" applyBorder="true" applyAlignment="true">
      <alignment horizontal="center"/>
    </xf>
    <xf numFmtId="11" fontId="6" fillId="0" borderId="0" xfId="1" applyNumberFormat="true"/>
    <xf numFmtId="0" fontId="6" fillId="7" borderId="0" xfId="3" applyFill="true"/>
    <xf numFmtId="0" fontId="0" fillId="7" borderId="0" xfId="3" applyFont="true" applyFill="true"/>
    <xf numFmtId="0" fontId="6" fillId="0" borderId="0" xfId="3"/>
    <xf numFmtId="0" fontId="14" fillId="0" borderId="0" xfId="4" applyFont="true"/>
    <xf numFmtId="0" fontId="0" fillId="0" borderId="0" xfId="1" applyFont="true"/>
    <xf numFmtId="0" fontId="6" fillId="8" borderId="0" xfId="1" applyFill="true"/>
    <xf numFmtId="0" fontId="11" fillId="0" borderId="0" xfId="2"/>
    <xf numFmtId="0" fontId="6" fillId="9" borderId="0" xfId="1" applyFill="true"/>
    <xf numFmtId="165" fontId="6" fillId="0" borderId="0" xfId="1" applyNumberFormat="true"/>
    <xf numFmtId="0" fontId="6" fillId="10" borderId="0" xfId="1" applyFill="true"/>
    <xf numFmtId="0" fontId="16" fillId="0" borderId="0" xfId="1" applyFont="true"/>
    <xf numFmtId="0" fontId="17" fillId="0" borderId="0" xfId="4" applyFont="true" applyAlignment="true">
      <alignment vertical="center" wrapText="true"/>
    </xf>
    <xf numFmtId="2" fontId="0" fillId="2" borderId="1" xfId="0" applyNumberFormat="true" applyFill="true" applyBorder="true" applyAlignment="true">
      <alignment wrapText="true"/>
    </xf>
    <xf numFmtId="49" fontId="0" fillId="0" borderId="15" xfId="0" applyNumberFormat="true" applyBorder="true"/>
    <xf numFmtId="49" fontId="0" fillId="0" borderId="16" xfId="0" applyNumberFormat="true" applyBorder="true"/>
    <xf numFmtId="49" fontId="0" fillId="0" borderId="17" xfId="0" applyNumberFormat="true" applyBorder="true"/>
    <xf numFmtId="49" fontId="0" fillId="0" borderId="18" xfId="0" applyNumberFormat="true" applyBorder="true"/>
    <xf numFmtId="49" fontId="0" fillId="0" borderId="19" xfId="0" applyNumberFormat="true" applyBorder="true"/>
    <xf numFmtId="49" fontId="0" fillId="0" borderId="20" xfId="0" applyNumberFormat="true" applyBorder="true"/>
    <xf numFmtId="49" fontId="0" fillId="0" borderId="21" xfId="0" applyNumberFormat="true" applyBorder="true"/>
    <xf numFmtId="49" fontId="0" fillId="0" borderId="22" xfId="0" applyNumberFormat="true" applyBorder="true"/>
    <xf numFmtId="0" fontId="6" fillId="0" borderId="23" xfId="5"/>
    <xf numFmtId="0" fontId="2" fillId="0" borderId="23" xfId="5" applyFont="true" applyAlignment="true">
      <alignment horizontal="center"/>
    </xf>
    <xf numFmtId="0" fontId="2" fillId="0" borderId="23" xfId="5" applyFont="true"/>
    <xf numFmtId="0" fontId="2" fillId="0" borderId="23" xfId="5" applyFont="true" applyAlignment="true">
      <alignment horizontal="right"/>
    </xf>
    <xf numFmtId="0" fontId="6" fillId="0" borderId="23" xfId="5" applyAlignment="true">
      <alignment horizontal="center" wrapText="true"/>
    </xf>
    <xf numFmtId="0" fontId="2" fillId="11" borderId="23" xfId="5" applyFont="true" applyFill="true" applyAlignment="true">
      <alignment horizontal="center"/>
    </xf>
    <xf numFmtId="0" fontId="6" fillId="11" borderId="23" xfId="5" applyFill="true"/>
    <xf numFmtId="0" fontId="2" fillId="11" borderId="23" xfId="5" applyFont="true" applyFill="true" applyAlignment="true">
      <alignment horizontal="right"/>
    </xf>
    <xf numFmtId="49" fontId="0" fillId="0" borderId="23" xfId="0" applyNumberFormat="true" applyFill="true" applyBorder="true"/>
    <xf numFmtId="0" fontId="6" fillId="0" borderId="0" xfId="3" applyAlignment="true">
      <alignment horizontal="center" vertical="center" wrapText="true"/>
    </xf>
    <xf numFmtId="0" fontId="6" fillId="8" borderId="0" xfId="1" applyFill="true" applyAlignment="true">
      <alignment horizontal="center"/>
    </xf>
    <xf numFmtId="0" fontId="9" fillId="0" borderId="0" xfId="0" applyFont="true" applyAlignment="true">
      <alignment horizontal="center"/>
    </xf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</cellXfs>
  <cellStyles count="6">
    <cellStyle name="Hyperlink" xfId="2" builtinId="8"/>
    <cellStyle name="Normal" xfId="0" builtinId="0"/>
    <cellStyle name="Normal 2" xfId="4"/>
    <cellStyle name="Normal 2 2" xfId="3"/>
    <cellStyle name="Normal 3" xfId="1"/>
    <cellStyle name="Normal 4" xfId="5"/>
  </cellStyles>
  <dxfs count="63">
    <dxf>
      <numFmt numFmtId="0" formatCode="General"/>
      <alignment horizontal="center" vertical="center" textRotation="0" wrapText="false" indent="0" justifyLastLine="false" shrinkToFit="false" readingOrder="0"/>
      <border diagonalUp="false" diagonalDown="false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1"/>
        </patternFill>
      </fill>
      <alignment horizontal="center" vertical="bottom" textRotation="0" wrapText="false" indent="0" justifyLastLine="false" shrinkToFit="false" readingOrder="0"/>
      <border diagonalUp="false" diagonalDown="false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1"/>
        </patternFill>
      </fill>
      <alignment horizontal="center" vertical="bottom" textRotation="0" wrapText="false" indent="0" justifyLastLine="false" shrinkToFit="false" readingOrder="0"/>
      <border diagonalUp="false" diagonalDown="false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vertical="bottom" textRotation="0" wrapText="false" indent="0" justifyLastLine="false" shrinkToFit="false" readingOrder="0"/>
      <border diagonalUp="false" diagonalDown="false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bottom" textRotation="0" wrapText="false" indent="0" justifyLastLine="false" shrinkToFit="false" readingOrder="0"/>
      <border diagonalUp="false" diagonalDown="false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false" indent="0" justifyLastLine="false" shrinkToFit="false" readingOrder="0"/>
      <border diagonalUp="false" diagonalDown="false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false" indent="0" justifyLastLine="false" shrinkToFit="false" readingOrder="0"/>
      <border diagonalUp="false" diagonalDown="false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bottom" textRotation="0" wrapText="false" indent="0" justifyLastLine="false" shrinkToFit="false" readingOrder="0"/>
      <border diagonalUp="false" diagonalDown="false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bottom" textRotation="0" wrapText="false" indent="0" justifyLastLine="false" shrinkToFit="false" readingOrder="0"/>
      <border diagonalUp="false" diagonalDown="false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false" indent="0" justifyLastLine="false" shrinkToFit="false" readingOrder="0"/>
      <border diagonalUp="false" diagonalDown="false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false" indent="0" justifyLastLine="false" shrinkToFit="false" readingOrder="0"/>
      <border diagonalUp="false" diagonalDown="false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false" indent="0" justifyLastLine="false" shrinkToFit="false" readingOrder="0"/>
      <border diagonalUp="false" diagonalDown="false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false" indent="0" justifyLastLine="false" shrinkToFit="false" readingOrder="0"/>
      <border diagonalUp="false" diagonalDown="false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false" indent="0" justifyLastLine="false" shrinkToFit="false" readingOrder="0"/>
      <border diagonalUp="false" diagonalDown="false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false" indent="0" justifyLastLine="false" shrinkToFit="false" readingOrder="0"/>
      <border diagonalUp="false" diagonalDown="false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false" indent="0" justifyLastLine="false" shrinkToFit="false" readingOrder="0"/>
      <border diagonalUp="false" diagonalDown="false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false" diagonalDown="false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justifyLastLine="false" shrinkToFit="false" readingOrder="0"/>
    </dxf>
    <dxf>
      <border>
        <bottom style="thin">
          <color indexed="64"/>
        </bottom>
      </border>
    </dxf>
    <dxf>
      <alignment horizontal="center" vertical="center" textRotation="0" wrapText="false" indent="0" justifyLastLine="false" shrinkToFit="false" readingOrder="0"/>
      <border diagonalUp="false" diagonalDown="false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  <dxf>
      <font>
        <color auto="true"/>
      </font>
      <fill>
        <patternFill>
          <bgColor rgb="FFFFC000"/>
        </patternFill>
      </fill>
    </dxf>
    <dxf>
      <font>
        <color auto="true"/>
      </font>
      <fill>
        <patternFill>
          <bgColor rgb="FFFFC000"/>
        </patternFill>
      </fill>
    </dxf>
    <dxf>
      <font>
        <color auto="true"/>
      </font>
      <fill>
        <patternFill>
          <bgColor rgb="FFFFC000"/>
        </patternFill>
      </fill>
    </dxf>
    <dxf>
      <font>
        <color auto="true"/>
      </font>
      <fill>
        <patternFill>
          <bgColor rgb="FFFFC000"/>
        </patternFill>
      </fill>
    </dxf>
    <dxf>
      <font>
        <color auto="true"/>
      </font>
      <fill>
        <patternFill>
          <bgColor rgb="FFFFC000"/>
        </patternFill>
      </fill>
    </dxf>
    <dxf>
      <font>
        <color auto="true"/>
      </font>
      <fill>
        <patternFill>
          <bgColor rgb="FFFFC000"/>
        </patternFill>
      </fill>
    </dxf>
    <dxf>
      <font>
        <color auto="true"/>
      </font>
      <fill>
        <patternFill>
          <bgColor rgb="FFFFC000"/>
        </patternFill>
      </fill>
    </dxf>
    <dxf>
      <font>
        <color auto="true"/>
      </font>
      <fill>
        <patternFill>
          <bgColor rgb="FFFFC000"/>
        </patternFill>
      </fill>
    </dxf>
    <dxf>
      <font>
        <color auto="true"/>
      </font>
      <fill>
        <patternFill>
          <bgColor rgb="FFFFC000"/>
        </patternFill>
      </fill>
    </dxf>
    <dxf>
      <font>
        <color auto="true"/>
      </font>
      <fill>
        <patternFill>
          <bgColor rgb="FFFFC000"/>
        </patternFill>
      </fill>
    </dxf>
    <dxf>
      <font>
        <color auto="true"/>
      </font>
      <fill>
        <patternFill>
          <bgColor rgb="FFFFC000"/>
        </patternFill>
      </fill>
    </dxf>
    <dxf>
      <font>
        <color auto="true"/>
      </font>
      <fill>
        <patternFill>
          <bgColor rgb="FFFFC000"/>
        </patternFill>
      </fill>
    </dxf>
    <dxf>
      <font>
        <color auto="true"/>
      </font>
      <fill>
        <patternFill>
          <bgColor rgb="FFFFC000"/>
        </patternFill>
      </fill>
    </dxf>
    <dxf>
      <font>
        <color auto="true"/>
      </font>
      <fill>
        <patternFill>
          <bgColor rgb="FFFFC000"/>
        </patternFill>
      </fill>
    </dxf>
    <dxf>
      <font>
        <color auto="true"/>
      </font>
      <fill>
        <patternFill>
          <bgColor rgb="FFFFC000"/>
        </patternFill>
      </fill>
    </dxf>
    <dxf>
      <font>
        <color auto="true"/>
      </font>
      <fill>
        <patternFill>
          <bgColor rgb="FFFFC000"/>
        </patternFill>
      </fill>
    </dxf>
    <dxf>
      <font>
        <color auto="true"/>
      </font>
      <fill>
        <patternFill>
          <bgColor rgb="FFFFC000"/>
        </patternFill>
      </fill>
    </dxf>
    <dxf>
      <font>
        <color auto="true"/>
      </font>
      <fill>
        <patternFill>
          <bgColor rgb="FFFFC000"/>
        </patternFill>
      </fill>
    </dxf>
    <dxf>
      <font>
        <color auto="true"/>
      </font>
      <fill>
        <patternFill>
          <bgColor rgb="FFFFC000"/>
        </patternFill>
      </fill>
    </dxf>
    <dxf>
      <font>
        <color auto="true"/>
      </font>
      <fill>
        <patternFill>
          <bgColor rgb="FFFFC000"/>
        </patternFill>
      </fill>
    </dxf>
    <dxf>
      <font>
        <color auto="true"/>
      </font>
      <fill>
        <patternFill>
          <bgColor rgb="FFFFC000"/>
        </patternFill>
      </fill>
    </dxf>
    <dxf>
      <font>
        <color auto="true"/>
      </font>
      <fill>
        <patternFill>
          <bgColor rgb="FFFFC000"/>
        </patternFill>
      </fill>
    </dxf>
    <dxf>
      <font>
        <color auto="true"/>
      </font>
      <fill>
        <patternFill>
          <bgColor rgb="FFFFC000"/>
        </patternFill>
      </fill>
    </dxf>
    <dxf>
      <font>
        <color auto="true"/>
      </font>
      <fill>
        <patternFill>
          <bgColor rgb="FFFFC000"/>
        </patternFill>
      </fill>
    </dxf>
    <dxf>
      <font>
        <color auto="true"/>
      </font>
      <fill>
        <patternFill>
          <bgColor rgb="FFFFC000"/>
        </patternFill>
      </fill>
    </dxf>
    <dxf>
      <font>
        <color auto="true"/>
      </font>
      <fill>
        <patternFill>
          <bgColor rgb="FFFFC000"/>
        </patternFill>
      </fill>
    </dxf>
    <dxf>
      <font>
        <color auto="true"/>
      </font>
      <fill>
        <patternFill>
          <bgColor rgb="FFFFC000"/>
        </patternFill>
      </fill>
    </dxf>
    <dxf>
      <font>
        <color auto="true"/>
      </font>
      <fill>
        <patternFill>
          <bgColor rgb="FFFFC000"/>
        </patternFill>
      </fill>
    </dxf>
    <dxf>
      <font>
        <color auto="true"/>
      </font>
      <fill>
        <patternFill>
          <bgColor rgb="FFFFC000"/>
        </patternFill>
      </fill>
    </dxf>
    <dxf>
      <font>
        <color auto="true"/>
      </font>
      <fill>
        <patternFill>
          <bgColor rgb="FFFFC000"/>
        </patternFill>
      </fill>
    </dxf>
    <dxf>
      <font>
        <color auto="true"/>
      </font>
      <fill>
        <patternFill>
          <bgColor rgb="FFFFC000"/>
        </patternFill>
      </fill>
    </dxf>
    <dxf>
      <font>
        <color auto="true"/>
      </font>
      <fill>
        <patternFill>
          <bgColor rgb="FFFFC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styles.xml" Type="http://schemas.openxmlformats.org/officeDocument/2006/relationships/styles" Id="rId26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theme/theme1.xml" Type="http://schemas.openxmlformats.org/officeDocument/2006/relationships/theme" Id="rId25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metadata.xml" Type="http://schemas.openxmlformats.org/officeDocument/2006/relationships/sheetMetadata" Id="rId28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sharedStrings.xml" Type="http://schemas.openxmlformats.org/officeDocument/2006/relationships/sharedStrings" Id="rId27"/><Relationship Target="persons/person.xml" Type="http://schemas.microsoft.com/office/2017/10/relationships/person" Id="rId30"/></Relationships>
</file>

<file path=xl/drawings/_rels/drawing1.xml.rels><?xml version="1.0" encoding="UTF-8"?><Relationships xmlns="http://schemas.openxmlformats.org/package/2006/relationships"><Relationship Target="../media/image2.jpg" Type="http://schemas.openxmlformats.org/officeDocument/2006/relationships/image" Id="rId2"/><Relationship Target="../media/image1.jpg" Type="http://schemas.openxmlformats.org/officeDocument/2006/relationships/image" Id="rId1"/></Relationships>
</file>

<file path=xl/drawings/_rels/drawing3.xml.rels><?xml version="1.0" encoding="UTF-8"?><Relationships xmlns="http://schemas.openxmlformats.org/package/2006/relationships"><Relationship Target="../media/image2.jpg" Type="http://schemas.openxmlformats.org/officeDocument/2006/relationships/image" Id="rId1"/></Relationships>
</file>

<file path=xl/drawings/_rels/drawing4.xml.rels><?xml version="1.0" encoding="UTF-8"?><Relationships xmlns="http://schemas.openxmlformats.org/package/2006/relationships"><Relationship Target="../media/image2.jpg" Type="http://schemas.openxmlformats.org/officeDocument/2006/relationships/image" Id="rId1"/></Relationships>
</file>

<file path=xl/drawings/_rels/drawing5.xml.rels><?xml version="1.0" encoding="UTF-8"?><Relationships xmlns="http://schemas.openxmlformats.org/package/2006/relationships"><Relationship Target="../media/image2.jp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2</xdr:col>
      <xdr:colOff>32655</xdr:colOff>
      <xdr:row>7</xdr:row>
      <xdr:rowOff>87086</xdr:rowOff>
    </xdr:from>
    <xdr:to>
      <xdr:col>19</xdr:col>
      <xdr:colOff>239484</xdr:colOff>
      <xdr:row>46</xdr:row>
      <xdr:rowOff>125024</xdr:rowOff>
    </xdr:to>
    <xdr:pic>
      <xdr:nvPicPr>
        <xdr:cNvPr id="4" name="Picture 3">
          <a:extLst>
            <a:ext xmlns:a16="http://schemas.microsoft.com/office/drawing/2014/main" uri="{FF2B5EF4-FFF2-40B4-BE49-F238E27FC236}">
              <a16:creationId xmlns:a16="http://schemas.microsoft.com/office/drawing/2014/main" id="{0093D184-0F6D-47D7-B85A-4E0AA58AD0D5}"/>
            </a:ext>
          </a:extLst>
        </xdr:cNvPr>
        <xdr:cNvPicPr>
          <a:picLocks noChangeAspect="true"/>
        </xdr:cNvPicPr>
      </xdr:nvPicPr>
      <xdr:blipFill>
        <a:blip r:embed="rId1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1855" y="1382486"/>
          <a:ext cx="10570029" cy="7255167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381000</xdr:colOff>
      <xdr:row>4</xdr:row>
      <xdr:rowOff>124231</xdr:rowOff>
    </xdr:from>
    <xdr:to>
      <xdr:col>25</xdr:col>
      <xdr:colOff>492125</xdr:colOff>
      <xdr:row>61</xdr:row>
      <xdr:rowOff>107828</xdr:rowOff>
    </xdr:to>
    <xdr:pic>
      <xdr:nvPicPr>
        <xdr:cNvPr id="5" name="Picture 4">
          <a:extLst>
            <a:ext xmlns:a16="http://schemas.microsoft.com/office/drawing/2014/main" uri="{FF2B5EF4-FFF2-40B4-BE49-F238E27FC236}">
              <a16:creationId xmlns:a16="http://schemas.microsoft.com/office/drawing/2014/main" id="{724F2337-0FF5-4A06-911F-1392D60A8399}"/>
            </a:ext>
          </a:extLst>
        </xdr:cNvPr>
        <xdr:cNvPicPr>
          <a:picLocks noChangeAspect="true"/>
        </xdr:cNvPicPr>
      </xdr:nvPicPr>
      <xdr:blipFill>
        <a:blip r:embed="rId2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" y="822731"/>
          <a:ext cx="15192375" cy="993722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15</xdr:col>
      <xdr:colOff>142875</xdr:colOff>
      <xdr:row>11</xdr:row>
      <xdr:rowOff>85725</xdr:rowOff>
    </xdr:from>
    <xdr:to>
      <xdr:col>17</xdr:col>
      <xdr:colOff>352425</xdr:colOff>
      <xdr:row>13</xdr:row>
      <xdr:rowOff>85725</xdr:rowOff>
    </xdr:to>
    <xdr:pic>
      <xdr:nvPicPr>
        <xdr:cNvPr id="2" name="Picture 1">
          <a:extLst>
            <a:ext xmlns:a16="http://schemas.microsoft.com/office/drawing/2014/main" uri="{FF2B5EF4-FFF2-40B4-BE49-F238E27FC236}">
              <a16:creationId xmlns:a16="http://schemas.microsoft.com/office/drawing/2014/main" id="{AEA240E1-0D33-6C33-DE5A-65389D457423}"/>
            </a:ext>
          </a:extLst>
        </xdr:cNvPr>
        <xdr:cNvPicPr>
          <a:picLocks noChangeAspect="true" noChangeArrowheads="true"/>
        </xdr:cNvPicPr>
      </xdr:nvPicPr>
      <xdr:blipFill>
        <a:blip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10975" y="2181225"/>
          <a:ext cx="1466850" cy="381000"/>
        </a:xfrm>
        <a:prstGeom prst="rect">
          <a:avLst/>
        </a:prstGeom>
        <a:noFill/>
        <a:extLst>
          <a:ext xmlns:a="http://schemas.openxmlformats.org/drawingml/2006/main" xmlns:a14="http://schemas.microsoft.com/office/drawing/2010/main"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32</xdr:col>
      <xdr:colOff>536845</xdr:colOff>
      <xdr:row>5</xdr:row>
      <xdr:rowOff>119833</xdr:rowOff>
    </xdr:from>
    <xdr:to>
      <xdr:col>53</xdr:col>
      <xdr:colOff>74774</xdr:colOff>
      <xdr:row>41</xdr:row>
      <xdr:rowOff>140153</xdr:rowOff>
    </xdr:to>
    <xdr:pic>
      <xdr:nvPicPr>
        <xdr:cNvPr id="14" name="Picture 10">
          <a:extLst>
            <a:ext xmlns:a16="http://schemas.microsoft.com/office/drawing/2014/main" uri="{FF2B5EF4-FFF2-40B4-BE49-F238E27FC236}">
              <a16:creationId xmlns:a16="http://schemas.microsoft.com/office/drawing/2014/main" id="{A9BE58C9-B6AD-4BBF-81A2-193DF17BA456}"/>
            </a:ext>
          </a:extLst>
        </xdr:cNvPr>
        <xdr:cNvPicPr>
          <a:picLocks noChangeAspect="true"/>
        </xdr:cNvPicPr>
      </xdr:nvPicPr>
      <xdr:blipFill>
        <a:blip r:embed="rId1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332720" y="1262833"/>
          <a:ext cx="12872929" cy="800227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12</xdr:col>
      <xdr:colOff>209550</xdr:colOff>
      <xdr:row>3</xdr:row>
      <xdr:rowOff>161925</xdr:rowOff>
    </xdr:from>
    <xdr:to>
      <xdr:col>24</xdr:col>
      <xdr:colOff>282235</xdr:colOff>
      <xdr:row>31</xdr:row>
      <xdr:rowOff>142875</xdr:rowOff>
    </xdr:to>
    <xdr:pic>
      <xdr:nvPicPr>
        <xdr:cNvPr id="3" name="Picture 10">
          <a:extLst>
            <a:ext xmlns:a16="http://schemas.microsoft.com/office/drawing/2014/main" uri="{FF2B5EF4-FFF2-40B4-BE49-F238E27FC236}">
              <a16:creationId xmlns:a16="http://schemas.microsoft.com/office/drawing/2014/main" id="{8F954028-08FA-4677-8BBB-FCEE14541968}"/>
            </a:ext>
          </a:extLst>
        </xdr:cNvPr>
        <xdr:cNvPicPr>
          <a:picLocks noChangeAspect="true"/>
        </xdr:cNvPicPr>
      </xdr:nvPicPr>
      <xdr:blipFill>
        <a:blip r:embed="rId1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29425" y="733425"/>
          <a:ext cx="7159285" cy="53149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29</xdr:col>
      <xdr:colOff>384176</xdr:colOff>
      <xdr:row>1</xdr:row>
      <xdr:rowOff>26458</xdr:rowOff>
    </xdr:from>
    <xdr:to>
      <xdr:col>49</xdr:col>
      <xdr:colOff>501119</xdr:colOff>
      <xdr:row>47</xdr:row>
      <xdr:rowOff>95039</xdr:rowOff>
    </xdr:to>
    <xdr:pic>
      <xdr:nvPicPr>
        <xdr:cNvPr id="5" name="Picture 3">
          <a:extLst>
            <a:ext xmlns:a16="http://schemas.microsoft.com/office/drawing/2014/main" uri="{FF2B5EF4-FFF2-40B4-BE49-F238E27FC236}">
              <a16:creationId xmlns:a16="http://schemas.microsoft.com/office/drawing/2014/main" id="{0EF7D569-C92B-4DE6-8506-E5A0D76B58F4}"/>
            </a:ext>
          </a:extLst>
        </xdr:cNvPr>
        <xdr:cNvPicPr>
          <a:picLocks noChangeAspect="true"/>
        </xdr:cNvPicPr>
      </xdr:nvPicPr>
      <xdr:blipFill>
        <a:blip r:embed="rId1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87509" y="216958"/>
          <a:ext cx="12393610" cy="8831581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Stengel, Jake Patrick" id="{86B52B5A-C33C-48A7-B097-84BD64C308FB}" userId="Stengel, Jake Patrick" providerId="None"/>
</personList>
</file>

<file path=xl/tables/table1.xml><?xml version="1.0" encoding="utf-8"?>
<table xmlns="http://schemas.openxmlformats.org/spreadsheetml/2006/main" id="1" name="Table1" displayName="Table1" ref="A1:P167" totalsRowShown="false" headerRowDxfId="20" dataDxfId="18" headerRowBorderDxfId="19" tableBorderDxfId="17" totalsRowBorderDxfId="16">
  <autoFilter ref="A1:P167"/>
  <tableColumns count="16">
    <tableColumn id="1" name="Data Type" dataDxfId="15"/>
    <tableColumn id="2" name="Name" dataDxfId="14"/>
    <tableColumn id="3" name="Range" dataDxfId="13"/>
    <tableColumn id="4" name="Dim" dataDxfId="12"/>
    <tableColumn id="14" name="dim input gams" dataDxfId="11">
      <calculatedColumnFormula>IF(Table1[[#This Row],[Dim]]=0,"","dim="&amp;Table1[[#This Row],[Dim]])</calculatedColumnFormula>
    </tableColumn>
    <tableColumn id="5" name="Cdim" dataDxfId="10"/>
    <tableColumn id="6" name="Rdim" dataDxfId="9"/>
    <tableColumn id="13" name="cdim gams input" dataDxfId="8">
      <calculatedColumnFormula>IF(Table1[[#This Row],[Cdim]]=NOT(Table1[[#This Row],[Cdim]]=0),"","cdim= "&amp;Table1[[#This Row],[Cdim]])</calculatedColumnFormula>
    </tableColumn>
    <tableColumn id="11" name="rdim gams input" dataDxfId="7">
      <calculatedColumnFormula>IF(Table1[[#This Row],[Rdim]]=NOT(Table1[[#This Row],[Rdim]]=0),"","rdim= "&amp;Table1[[#This Row],[Rdim]])</calculatedColumnFormula>
    </tableColumn>
    <tableColumn id="7" name="ignoreRows" dataDxfId="6"/>
    <tableColumn id="8" name="ignoreColumns" dataDxfId="5"/>
    <tableColumn id="10" name="ignore rows gams input" dataDxfId="4">
      <calculatedColumnFormula>IF(Table1[[#This Row],[ignoreRows]]=NOT(Table1[[#This Row],[ignoreRows]]=0),"","ignoreRows= "&amp;Table1[[#This Row],[ignoreRows]])</calculatedColumnFormula>
    </tableColumn>
    <tableColumn id="12" name="ignore colums gams input" dataDxfId="3">
      <calculatedColumnFormula>IF(Table1[[#This Row],[ignoreColumns]]=NOT(Table1[[#This Row],[ignoreColumns]]=0),"","ignoreColumns= "&amp;Table1[[#This Row],[ignoreColumns]])</calculatedColumnFormula>
    </tableColumn>
    <tableColumn id="16" name="Values=No Data [Y/N]" dataDxfId="2">
      <calculatedColumnFormula>IF(Table1[[#This Row],[Data Type]]="set","Y","N")</calculatedColumnFormula>
    </tableColumn>
    <tableColumn id="15" name="Values gams input" dataDxfId="1">
      <calculatedColumnFormula>IF(Table1[[#This Row],[Values=No Data '[Y/N']]]="Y","values=NoData","")</calculatedColumnFormula>
    </tableColumn>
    <tableColumn id="9" name="Gams input" dataDxfId="0">
      <calculatedColumnFormula>Table1[[#This Row],[Data Type]]&amp;"="&amp;Table1[[#This Row],[Name]]&amp;"    rng="&amp;Table1[[#This Row],[Range]]&amp;"    "&amp;Table1[[#This Row],[Values gams input]]&amp;"    "&amp;Table1[[#This Row],[dim input gams]]&amp;"    "&amp;Table1[[#This Row],[cdim gams input]]&amp;"     "&amp;Table1[[#This Row],[rdim gams input]]&amp;"     "&amp;Table1[[#This Row],[ignore rows gams input]]&amp;"     "&amp;Table1[[#This Row],[ignore colums gams input]]</calculatedColumnFormula>
    </tableColumn>
  </tableColumns>
  <tableStyleInfo name="TableStyleMedium1" showFirstColumn="false" showLastColumn="false" showRowStripes="true" showColumnStripes="false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33" dT="2021-02-09T16:38:10.58" personId="{86B52B5A-C33C-48A7-B097-84BD64C308FB}" id="{EE26AA29-177D-4CED-A8FC-99D0D1FBA7C7}">
    <text>This is what I want you guys to do if the temperature is out of range. It will make everything easier later on when making CSV/ GDX files</text>
  </threadedComment>
</ThreadedComments>
</file>

<file path=xl/worksheets/_rels/sheet1.xml.rels><?xml version="1.0" encoding="UTF-8"?><Relationships xmlns="http://schemas.openxmlformats.org/package/2006/relationships"><Relationship Target="../comments1.xml" Type="http://schemas.openxmlformats.org/officeDocument/2006/relationships/comments" Id="rId3"/><Relationship Target="../drawings/vmlDrawing1.vml" Type="http://schemas.openxmlformats.org/officeDocument/2006/relationships/vmlDrawing" Id="rId2"/><Relationship TargetMode="External" Target="https://doi.org/10.1016/j.molliq.2008.09.009%20||%20Book" Type="http://schemas.openxmlformats.org/officeDocument/2006/relationships/hyperlink" Id="rId1"/><Relationship Target="../threadedComments/threadedComment1.xml" Type="http://schemas.microsoft.com/office/2017/10/relationships/threadedComment" Id="rId4"/></Relationships>
</file>

<file path=xl/worksheets/_rels/sheet2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4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5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_rels/sheet6.xml.rels><?xml version="1.0" encoding="UTF-8"?><Relationships xmlns="http://schemas.openxmlformats.org/package/2006/relationships"><Relationship Target="../printerSettings/printerSettings3.bin" Type="http://schemas.openxmlformats.org/officeDocument/2006/relationships/printerSettings" Id="rId1"/></Relationships>
</file>

<file path=xl/worksheets/_rels/sheet10.xml.rels><?xml version="1.0" encoding="UTF-8"?><Relationships xmlns="http://schemas.openxmlformats.org/package/2006/relationships"><Relationship Target="../drawings/drawing2.xml" Type="http://schemas.openxmlformats.org/officeDocument/2006/relationships/drawing" Id="rId2"/><Relationship Target="../printerSettings/printerSettings4.bin" Type="http://schemas.openxmlformats.org/officeDocument/2006/relationships/printerSettings" Id="rId1"/></Relationships>
</file>

<file path=xl/worksheets/_rels/sheet11.xml.rels><?xml version="1.0" encoding="UTF-8"?><Relationships xmlns="http://schemas.openxmlformats.org/package/2006/relationships"><Relationship Target="../printerSettings/printerSettings5.bin" Type="http://schemas.openxmlformats.org/officeDocument/2006/relationships/printerSettings" Id="rId1"/></Relationships>
</file>

<file path=xl/worksheets/_rels/sheet14.xml.rels><?xml version="1.0" encoding="UTF-8"?><Relationships xmlns="http://schemas.openxmlformats.org/package/2006/relationships"><Relationship Target="../printerSettings/printerSettings6.bin" Type="http://schemas.openxmlformats.org/officeDocument/2006/relationships/printerSettings" Id="rId1"/></Relationships>
</file>

<file path=xl/worksheets/_rels/sheet16.xml.rels><?xml version="1.0" encoding="UTF-8"?><Relationships xmlns="http://schemas.openxmlformats.org/package/2006/relationships"><Relationship Target="../printerSettings/printerSettings7.bin" Type="http://schemas.openxmlformats.org/officeDocument/2006/relationships/printerSettings" Id="rId1"/></Relationships>
</file>

<file path=xl/worksheets/_rels/sheet17.xml.rels><?xml version="1.0" encoding="UTF-8"?><Relationships xmlns="http://schemas.openxmlformats.org/package/2006/relationships"><Relationship Target="../printerSettings/printerSettings8.bin" Type="http://schemas.openxmlformats.org/officeDocument/2006/relationships/printerSettings" Id="rId1"/></Relationships>
</file>

<file path=xl/worksheets/_rels/sheet18.xml.rels><?xml version="1.0" encoding="UTF-8"?><Relationships xmlns="http://schemas.openxmlformats.org/package/2006/relationships"><Relationship Target="../printerSettings/printerSettings9.bin" Type="http://schemas.openxmlformats.org/officeDocument/2006/relationships/printerSettings" Id="rId1"/></Relationships>
</file>

<file path=xl/worksheets/_rels/sheet19.xml.rels><?xml version="1.0" encoding="UTF-8"?><Relationships xmlns="http://schemas.openxmlformats.org/package/2006/relationships"><Relationship Target="../drawings/drawing3.xml" Type="http://schemas.openxmlformats.org/officeDocument/2006/relationships/drawing" Id="rId1"/></Relationships>
</file>

<file path=xl/worksheets/_rels/sheet20.xml.rels><?xml version="1.0" encoding="UTF-8"?><Relationships xmlns="http://schemas.openxmlformats.org/package/2006/relationships"><Relationship Target="../drawings/drawing4.xml" Type="http://schemas.openxmlformats.org/officeDocument/2006/relationships/drawing" Id="rId1"/></Relationships>
</file>

<file path=xl/worksheets/_rels/sheet21.xml.rels><?xml version="1.0" encoding="UTF-8"?><Relationships xmlns="http://schemas.openxmlformats.org/package/2006/relationships"><Relationship Target="../drawings/drawing5.xml" Type="http://schemas.openxmlformats.org/officeDocument/2006/relationships/drawing" Id="rId1"/></Relationships>
</file>

<file path=xl/worksheets/_rels/sheet23.xml.rels><?xml version="1.0" encoding="UTF-8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09"/>
  <sheetViews>
    <sheetView workbookViewId="0">
      <pane ySplit="1" topLeftCell="A113" activePane="bottomLeft" state="frozen"/>
      <selection pane="bottomLeft" activeCell="B208" sqref="B208:G208"/>
    </sheetView>
  </sheetViews>
  <sheetFormatPr defaultColWidth="9.140625" defaultRowHeight="15" x14ac:dyDescent="0.25"/>
  <cols>
    <col min="1" max="1" width="78.42578125" style="31" bestFit="true" customWidth="true"/>
    <col min="2" max="2" width="34.42578125" style="31" bestFit="true" customWidth="true"/>
    <col min="3" max="3" width="24.42578125" style="31" bestFit="true" customWidth="true"/>
    <col min="4" max="5" width="34.42578125" style="31" bestFit="true" customWidth="true"/>
    <col min="6" max="6" width="16.140625" style="31" bestFit="true" customWidth="true"/>
    <col min="7" max="7" width="16.85546875" style="31" bestFit="true" customWidth="true"/>
    <col min="8" max="8" width="17.5703125" style="31" bestFit="true" customWidth="true"/>
    <col min="9" max="9" width="17.85546875" style="31" bestFit="true" customWidth="true"/>
    <col min="10" max="10" width="16.42578125" style="31" customWidth="true"/>
    <col min="11" max="11" width="34.5703125" style="31" bestFit="true" customWidth="true"/>
    <col min="12" max="12" width="57.42578125" style="31" bestFit="true" customWidth="true"/>
    <col min="13" max="16384" width="9.140625" style="31"/>
  </cols>
  <sheetData>
    <row r="1" ht="17.25" x14ac:dyDescent="0.25">
      <c r="A1" s="62" t="s">
        <v>1</v>
      </c>
      <c r="B1" s="62" t="s">
        <v>644</v>
      </c>
      <c r="C1" s="62" t="s">
        <v>645</v>
      </c>
      <c r="D1" s="62" t="s">
        <v>646</v>
      </c>
      <c r="E1" s="62" t="s">
        <v>647</v>
      </c>
      <c r="F1" s="62" t="s">
        <v>648</v>
      </c>
      <c r="G1" s="62" t="s">
        <v>649</v>
      </c>
      <c r="H1" s="63" t="s">
        <v>650</v>
      </c>
      <c r="I1" s="63" t="s">
        <v>651</v>
      </c>
      <c r="J1" s="63" t="s">
        <v>652</v>
      </c>
      <c r="K1" s="64" t="s">
        <v>653</v>
      </c>
      <c r="L1" s="64" t="s">
        <v>654</v>
      </c>
    </row>
    <row r="2" ht="17.25" x14ac:dyDescent="0.25">
      <c r="A2" s="31" t="s">
        <v>655</v>
      </c>
      <c r="B2" s="31">
        <v>1587.2</v>
      </c>
      <c r="C2" s="65">
        <v>167.84927999999999</v>
      </c>
      <c r="D2" s="31">
        <v>264.23</v>
      </c>
      <c r="E2" s="31">
        <v>0.98916999999999999</v>
      </c>
      <c r="F2" s="31">
        <f>418.25-273.15</f>
        <v>145.10000000000002</v>
      </c>
      <c r="G2" s="31">
        <f>229.35-273.15</f>
        <v>-43.799999999999983</v>
      </c>
      <c r="H2" s="66">
        <v>1.6245000000000001E-3</v>
      </c>
      <c r="I2">
        <v>0.99247247999999999</v>
      </c>
      <c r="J2" s="31">
        <v>5100</v>
      </c>
      <c r="L2" s="31" t="s">
        <v>656</v>
      </c>
      <c r="M2" s="67" t="s">
        <v>657</v>
      </c>
      <c r="N2" s="67"/>
      <c r="O2" s="67"/>
      <c r="P2" s="67"/>
      <c r="Q2" s="67"/>
    </row>
    <row r="3" x14ac:dyDescent="0.25">
      <c r="A3" s="31" t="s">
        <v>658</v>
      </c>
      <c r="B3" s="31">
        <v>872.19</v>
      </c>
      <c r="C3" s="31">
        <v>120.19158</v>
      </c>
      <c r="D3" s="31">
        <v>397.52</v>
      </c>
      <c r="E3" s="31">
        <v>1.7883</v>
      </c>
      <c r="F3" s="31">
        <f>442.53-273.15</f>
        <v>169.38</v>
      </c>
      <c r="G3" s="31">
        <f>229.33-273.15</f>
        <v>-43.819999999999965</v>
      </c>
      <c r="H3" s="31">
        <v>8.8628999999999997E-4</v>
      </c>
      <c r="I3">
        <v>0.82567053000000001</v>
      </c>
      <c r="J3" s="31">
        <v>1000</v>
      </c>
      <c r="L3" s="31" t="s">
        <v>656</v>
      </c>
      <c r="M3" s="92" t="s">
        <v>659</v>
      </c>
      <c r="N3" s="92"/>
      <c r="O3" s="92"/>
      <c r="P3" s="92"/>
      <c r="Q3" s="92"/>
    </row>
    <row r="4" x14ac:dyDescent="0.25">
      <c r="A4" s="31" t="s">
        <v>660</v>
      </c>
      <c r="B4" s="31">
        <v>2169.1</v>
      </c>
      <c r="C4" s="31">
        <v>187.86116000000001</v>
      </c>
      <c r="D4" s="31">
        <v>213.1</v>
      </c>
      <c r="E4" s="31">
        <v>0.72236</v>
      </c>
      <c r="F4" s="31">
        <f>404.51-273.15</f>
        <v>131.36000000000001</v>
      </c>
      <c r="G4" s="31">
        <f>282.94-273.15</f>
        <v>9.7900000000000205</v>
      </c>
      <c r="H4" s="31">
        <v>1.5996000000000001E-3</v>
      </c>
      <c r="I4">
        <v>1.06251406</v>
      </c>
      <c r="J4" s="31">
        <v>6400</v>
      </c>
      <c r="L4" s="31" t="s">
        <v>656</v>
      </c>
      <c r="M4" s="92"/>
      <c r="N4" s="92"/>
      <c r="O4" s="92"/>
      <c r="P4" s="92"/>
      <c r="Q4" s="92"/>
    </row>
    <row r="5" x14ac:dyDescent="0.25">
      <c r="A5" s="31" t="s">
        <v>661</v>
      </c>
      <c r="B5" s="31">
        <v>1246.5</v>
      </c>
      <c r="C5" s="31">
        <v>98.959159999999997</v>
      </c>
      <c r="D5" s="31">
        <v>354.21</v>
      </c>
      <c r="E5" s="31">
        <v>1.3061</v>
      </c>
      <c r="F5" s="31">
        <f>356.594-273.15</f>
        <v>83.444000000000017</v>
      </c>
      <c r="G5" s="31">
        <f>237.49-273.15</f>
        <v>-35.659999999999968</v>
      </c>
      <c r="H5" s="31">
        <v>7.8111000000000001E-4</v>
      </c>
      <c r="I5">
        <v>0.75135706000000002</v>
      </c>
      <c r="L5" s="31" t="s">
        <v>656</v>
      </c>
      <c r="M5" s="92"/>
      <c r="N5" s="92"/>
      <c r="O5" s="92"/>
      <c r="P5" s="92"/>
      <c r="Q5" s="92"/>
    </row>
    <row r="6" x14ac:dyDescent="0.25">
      <c r="A6" s="31" t="s">
        <v>662</v>
      </c>
      <c r="B6" s="31">
        <v>615.54</v>
      </c>
      <c r="C6" s="31">
        <v>54.090440000000001</v>
      </c>
      <c r="D6" s="31">
        <v>383.66</v>
      </c>
      <c r="E6" s="31">
        <v>2.2850999999999999</v>
      </c>
      <c r="F6" s="31">
        <f>268.74-273.15</f>
        <v>-4.4099999999999682</v>
      </c>
      <c r="G6" s="31">
        <f>164.25-273.15</f>
        <v>-108.89999999999998</v>
      </c>
      <c r="H6" s="31">
        <v>1.4072999999999999E-4</v>
      </c>
      <c r="I6">
        <v>0.59431654</v>
      </c>
      <c r="J6" s="31">
        <v>2.2999999999999998</v>
      </c>
      <c r="L6" s="31" t="s">
        <v>663</v>
      </c>
      <c r="M6" s="92"/>
      <c r="N6" s="92"/>
      <c r="O6" s="92"/>
      <c r="P6" s="92"/>
      <c r="Q6" s="92"/>
    </row>
    <row r="7" ht="18.75" x14ac:dyDescent="0.35">
      <c r="A7" s="31" t="s">
        <v>664</v>
      </c>
      <c r="B7" s="31">
        <v>1102.7</v>
      </c>
      <c r="C7" s="31">
        <v>108.14112</v>
      </c>
      <c r="D7" s="31">
        <v>605.19000000000005</v>
      </c>
      <c r="E7" s="31">
        <v>2.5630000000000002</v>
      </c>
      <c r="F7" s="31">
        <f>560-273.15</f>
        <v>286.85000000000002</v>
      </c>
      <c r="G7" s="31">
        <f>339.1-273.15</f>
        <v>65.950000000000045</v>
      </c>
      <c r="I7">
        <v>0.78349391999999995</v>
      </c>
      <c r="K7" s="31" t="s">
        <v>665</v>
      </c>
      <c r="L7" s="66" t="s">
        <v>666</v>
      </c>
      <c r="M7" s="92"/>
      <c r="N7" s="92"/>
      <c r="O7" s="92"/>
      <c r="P7" s="92"/>
      <c r="Q7" s="92"/>
    </row>
    <row r="8" ht="18.75" x14ac:dyDescent="0.35">
      <c r="A8" s="31" t="s">
        <v>667</v>
      </c>
      <c r="B8" s="31">
        <v>1252.0999999999999</v>
      </c>
      <c r="C8" s="31">
        <v>147.00196</v>
      </c>
      <c r="D8" s="31">
        <v>318.72000000000003</v>
      </c>
      <c r="E8" s="31">
        <v>1.204</v>
      </c>
      <c r="F8" s="31">
        <f>447.21-273.15</f>
        <v>174.06</v>
      </c>
      <c r="G8" s="31">
        <f>326.14-273.15</f>
        <v>52.990000000000009</v>
      </c>
      <c r="I8">
        <v>0.91950686000000004</v>
      </c>
      <c r="K8" s="31" t="s">
        <v>665</v>
      </c>
      <c r="L8" s="66" t="s">
        <v>666</v>
      </c>
      <c r="M8" s="92"/>
      <c r="N8" s="92"/>
      <c r="O8" s="92"/>
      <c r="P8" s="92"/>
      <c r="Q8" s="92"/>
    </row>
    <row r="9" x14ac:dyDescent="0.25">
      <c r="A9" s="31" t="s">
        <v>668</v>
      </c>
      <c r="B9" s="31">
        <v>1028.5</v>
      </c>
      <c r="C9" s="31">
        <v>88.105119999999999</v>
      </c>
      <c r="D9" s="31">
        <v>438.05</v>
      </c>
      <c r="E9" s="31">
        <v>1.774</v>
      </c>
      <c r="F9" s="31">
        <f>374.47-273.15</f>
        <v>101.32000000000005</v>
      </c>
      <c r="G9" s="31">
        <f>284.95-273.15</f>
        <v>11.800000000000011</v>
      </c>
      <c r="H9" s="31">
        <v>1.1894E-3</v>
      </c>
      <c r="I9">
        <v>0.71336792000000004</v>
      </c>
      <c r="J9" s="31">
        <v>1.8</v>
      </c>
      <c r="L9" s="68" t="s">
        <v>669</v>
      </c>
      <c r="M9" s="92"/>
      <c r="N9" s="92"/>
      <c r="O9" s="92"/>
      <c r="P9" s="92"/>
      <c r="Q9" s="92"/>
    </row>
    <row r="10" x14ac:dyDescent="0.25">
      <c r="A10" s="31" t="s">
        <v>670</v>
      </c>
      <c r="B10" s="31">
        <v>1342.8</v>
      </c>
      <c r="C10" s="31">
        <v>122.99168</v>
      </c>
      <c r="D10" s="31">
        <v>261.82</v>
      </c>
      <c r="E10" s="31">
        <v>1.0851999999999999</v>
      </c>
      <c r="F10" s="31">
        <f>344.12-273.15</f>
        <v>70.970000000000027</v>
      </c>
      <c r="G10" s="31">
        <f>163.35-273.15</f>
        <v>-109.79999999999998</v>
      </c>
      <c r="H10" s="31">
        <v>4.9459000000000005E-4</v>
      </c>
      <c r="I10">
        <v>0.83547088000000003</v>
      </c>
      <c r="J10">
        <v>0.57169000000000003</v>
      </c>
      <c r="L10" s="31" t="s">
        <v>671</v>
      </c>
      <c r="M10" s="93" t="s">
        <v>672</v>
      </c>
      <c r="N10" s="93"/>
      <c r="O10" s="93"/>
      <c r="P10" s="93"/>
      <c r="Q10" s="93"/>
    </row>
    <row r="11" x14ac:dyDescent="0.25">
      <c r="A11" s="31" t="s">
        <v>673</v>
      </c>
      <c r="B11" s="31">
        <v>1109.9000000000001</v>
      </c>
      <c r="C11" s="31">
        <v>100.49503</v>
      </c>
      <c r="D11" s="31">
        <v>202.53</v>
      </c>
      <c r="E11" s="31">
        <v>1.3075000000000001</v>
      </c>
      <c r="F11" s="31">
        <f>263.95-273.15</f>
        <v>-9.1999999999999886</v>
      </c>
      <c r="G11" s="31">
        <f>142.35-273.15</f>
        <v>-130.79999999999998</v>
      </c>
      <c r="H11" s="31">
        <v>2.2851999999999999E-4</v>
      </c>
      <c r="I11">
        <v>0.75673260500000006</v>
      </c>
      <c r="L11" s="31" t="s">
        <v>656</v>
      </c>
    </row>
    <row r="12" x14ac:dyDescent="0.25">
      <c r="A12" s="31" t="s">
        <v>674</v>
      </c>
      <c r="B12" s="31">
        <v>1014.6</v>
      </c>
      <c r="C12" s="31">
        <v>122.1644</v>
      </c>
      <c r="D12" s="31">
        <v>536.25</v>
      </c>
      <c r="E12" s="31" t="s">
        <v>675</v>
      </c>
      <c r="F12" s="31">
        <f>484.13-273.15</f>
        <v>210.98000000000002</v>
      </c>
      <c r="G12" s="31">
        <f>297.68-273.15</f>
        <v>24.53000000000003</v>
      </c>
      <c r="H12" s="31">
        <v>1.4370000000000001E-2</v>
      </c>
      <c r="I12">
        <v>1.0493710000000001</v>
      </c>
      <c r="K12" s="31" t="s">
        <v>665</v>
      </c>
      <c r="L12" s="31" t="s">
        <v>656</v>
      </c>
    </row>
    <row r="13" x14ac:dyDescent="0.25">
      <c r="A13" s="31" t="s">
        <v>676</v>
      </c>
      <c r="B13" s="31">
        <v>1354.5</v>
      </c>
      <c r="C13" s="31">
        <v>136.47595279999999</v>
      </c>
      <c r="D13" s="31">
        <v>145.1</v>
      </c>
      <c r="E13" s="31">
        <v>1.1015999999999999</v>
      </c>
      <c r="F13" s="31">
        <f>261.05-273.15</f>
        <v>-12.099999999999966</v>
      </c>
      <c r="G13" s="31">
        <f>74-273.15</f>
        <v>-199.14999999999998</v>
      </c>
      <c r="H13" s="31">
        <v>2.5693999999999999E-4</v>
      </c>
      <c r="I13">
        <v>0.88266583480000005</v>
      </c>
      <c r="L13" s="31" t="s">
        <v>656</v>
      </c>
    </row>
    <row r="14" ht="18.75" x14ac:dyDescent="0.35">
      <c r="A14" s="31" t="s">
        <v>677</v>
      </c>
      <c r="B14" s="31">
        <v>1153.0999999999999</v>
      </c>
      <c r="C14" s="31">
        <v>167.25129999999999</v>
      </c>
      <c r="D14" s="31">
        <v>286.61</v>
      </c>
      <c r="E14" s="31">
        <v>1.5026999999999999</v>
      </c>
      <c r="F14" s="31">
        <f>496.15-273.15</f>
        <v>223</v>
      </c>
      <c r="G14" s="31">
        <f>453.15-273.15</f>
        <v>180</v>
      </c>
      <c r="I14">
        <v>0.99037955</v>
      </c>
      <c r="J14">
        <v>1.04271</v>
      </c>
      <c r="K14" s="31" t="s">
        <v>665</v>
      </c>
      <c r="L14" s="66" t="s">
        <v>678</v>
      </c>
    </row>
    <row r="15" x14ac:dyDescent="0.25">
      <c r="A15" s="69" t="s">
        <v>679</v>
      </c>
      <c r="B15" s="69" t="s">
        <v>680</v>
      </c>
      <c r="C15" s="69" t="s">
        <v>680</v>
      </c>
      <c r="D15" s="69" t="s">
        <v>680</v>
      </c>
      <c r="E15" s="69" t="s">
        <v>680</v>
      </c>
      <c r="F15" s="69" t="s">
        <v>680</v>
      </c>
      <c r="G15" s="69" t="s">
        <v>680</v>
      </c>
      <c r="H15" s="69"/>
      <c r="I15" s="69"/>
      <c r="J15" s="69"/>
      <c r="K15" s="31" t="s">
        <v>665</v>
      </c>
      <c r="L15" s="31" t="s">
        <v>681</v>
      </c>
    </row>
    <row r="16" x14ac:dyDescent="0.25">
      <c r="A16" s="69" t="s">
        <v>682</v>
      </c>
      <c r="B16" s="69" t="s">
        <v>680</v>
      </c>
      <c r="C16" s="69" t="s">
        <v>680</v>
      </c>
      <c r="D16" s="69" t="s">
        <v>680</v>
      </c>
      <c r="E16" s="69" t="s">
        <v>680</v>
      </c>
      <c r="F16" s="69" t="s">
        <v>680</v>
      </c>
      <c r="G16" s="69" t="s">
        <v>680</v>
      </c>
      <c r="H16" s="69"/>
      <c r="I16" s="69"/>
      <c r="J16" s="69"/>
      <c r="K16" s="31" t="s">
        <v>665</v>
      </c>
      <c r="L16" s="31" t="s">
        <v>681</v>
      </c>
    </row>
    <row r="17" x14ac:dyDescent="0.25">
      <c r="A17" s="69" t="s">
        <v>683</v>
      </c>
      <c r="B17" s="69" t="s">
        <v>680</v>
      </c>
      <c r="C17" s="69" t="s">
        <v>680</v>
      </c>
      <c r="D17" s="69" t="s">
        <v>680</v>
      </c>
      <c r="E17" s="69" t="s">
        <v>680</v>
      </c>
      <c r="F17" s="69" t="s">
        <v>680</v>
      </c>
      <c r="G17" s="69" t="s">
        <v>680</v>
      </c>
      <c r="H17" s="69"/>
      <c r="I17" s="69"/>
      <c r="J17" s="69"/>
      <c r="K17" s="31" t="s">
        <v>665</v>
      </c>
      <c r="L17" s="31" t="s">
        <v>681</v>
      </c>
    </row>
    <row r="18" x14ac:dyDescent="0.25">
      <c r="A18" s="69" t="s">
        <v>684</v>
      </c>
      <c r="B18" s="69" t="s">
        <v>680</v>
      </c>
      <c r="C18" s="69" t="s">
        <v>680</v>
      </c>
      <c r="D18" s="69" t="s">
        <v>680</v>
      </c>
      <c r="E18" s="69" t="s">
        <v>680</v>
      </c>
      <c r="F18" s="69" t="s">
        <v>680</v>
      </c>
      <c r="G18" s="69" t="s">
        <v>680</v>
      </c>
      <c r="H18" s="69"/>
      <c r="I18" s="69"/>
      <c r="J18" s="69"/>
      <c r="K18" s="31" t="s">
        <v>665</v>
      </c>
      <c r="L18" s="31" t="s">
        <v>681</v>
      </c>
    </row>
    <row r="19" x14ac:dyDescent="0.25">
      <c r="A19" s="69" t="s">
        <v>685</v>
      </c>
      <c r="B19" s="69" t="s">
        <v>680</v>
      </c>
      <c r="C19" s="69" t="s">
        <v>680</v>
      </c>
      <c r="D19" s="69" t="s">
        <v>680</v>
      </c>
      <c r="E19" s="69" t="s">
        <v>680</v>
      </c>
      <c r="F19" s="69" t="s">
        <v>680</v>
      </c>
      <c r="G19" s="69" t="s">
        <v>680</v>
      </c>
      <c r="H19" s="69"/>
      <c r="I19" s="69"/>
      <c r="J19" s="69"/>
      <c r="K19" s="31" t="s">
        <v>665</v>
      </c>
      <c r="L19" s="31" t="s">
        <v>681</v>
      </c>
    </row>
    <row r="20" x14ac:dyDescent="0.25">
      <c r="A20" s="69" t="s">
        <v>686</v>
      </c>
      <c r="B20" s="69" t="s">
        <v>680</v>
      </c>
      <c r="C20" s="69" t="s">
        <v>680</v>
      </c>
      <c r="D20" s="69" t="s">
        <v>680</v>
      </c>
      <c r="E20" s="69" t="s">
        <v>680</v>
      </c>
      <c r="F20" s="69" t="s">
        <v>680</v>
      </c>
      <c r="G20" s="69" t="s">
        <v>680</v>
      </c>
      <c r="H20" s="69"/>
      <c r="I20" s="69"/>
      <c r="J20" s="69"/>
      <c r="K20" s="31" t="s">
        <v>665</v>
      </c>
      <c r="L20" s="31" t="s">
        <v>681</v>
      </c>
    </row>
    <row r="21" x14ac:dyDescent="0.25">
      <c r="A21" s="31" t="s">
        <v>687</v>
      </c>
      <c r="B21" s="31">
        <v>774.54</v>
      </c>
      <c r="C21" s="31">
        <v>44.05256</v>
      </c>
      <c r="D21" s="31">
        <v>582.4</v>
      </c>
      <c r="E21" s="31">
        <v>2.1998000000000002</v>
      </c>
      <c r="F21" s="31">
        <f>294.15-274.15</f>
        <v>20</v>
      </c>
      <c r="G21" s="31">
        <f>149.78-273.15</f>
        <v>-123.36999999999998</v>
      </c>
      <c r="I21">
        <v>0.55918396000000004</v>
      </c>
      <c r="J21" s="70">
        <v>8</v>
      </c>
      <c r="L21" s="31" t="s">
        <v>688</v>
      </c>
    </row>
    <row r="22" x14ac:dyDescent="0.25">
      <c r="A22" s="31" t="s">
        <v>689</v>
      </c>
      <c r="B22" s="31">
        <v>777.67</v>
      </c>
      <c r="C22" s="31">
        <v>41.051900000000003</v>
      </c>
      <c r="D22" s="31">
        <v>809.32</v>
      </c>
      <c r="E22" s="31">
        <v>2.2235999999999998</v>
      </c>
      <c r="F22" s="31">
        <f>354.81-273.15</f>
        <v>81.660000000000025</v>
      </c>
      <c r="G22" s="31">
        <f>229.315-273.15</f>
        <v>-43.83499999999998</v>
      </c>
      <c r="H22" s="31">
        <v>3.4695E-4</v>
      </c>
      <c r="I22">
        <v>0.54868165000000002</v>
      </c>
      <c r="J22" s="70">
        <v>18</v>
      </c>
      <c r="L22" s="31" t="s">
        <v>690</v>
      </c>
    </row>
    <row r="23" x14ac:dyDescent="0.25">
      <c r="A23" s="31" t="s">
        <v>691</v>
      </c>
      <c r="B23" s="31">
        <v>1023.5</v>
      </c>
      <c r="C23" s="31">
        <v>120.14852</v>
      </c>
      <c r="D23" s="31">
        <v>453.47</v>
      </c>
      <c r="E23" s="31">
        <v>1.7059</v>
      </c>
      <c r="F23" s="31">
        <f>475.26-273.15</f>
        <v>202.11</v>
      </c>
      <c r="G23" s="31">
        <f>292.805-273.15</f>
        <v>19.65500000000003</v>
      </c>
      <c r="H23" s="31">
        <v>1.6413000000000001E-3</v>
      </c>
      <c r="I23">
        <v>0.82551982000000002</v>
      </c>
      <c r="J23" s="31">
        <v>8.6</v>
      </c>
      <c r="L23" s="31" t="s">
        <v>690</v>
      </c>
    </row>
    <row r="24" x14ac:dyDescent="0.25">
      <c r="A24" s="71" t="s">
        <v>692</v>
      </c>
      <c r="B24" s="69" t="s">
        <v>680</v>
      </c>
      <c r="C24" s="69" t="s">
        <v>680</v>
      </c>
      <c r="D24" s="69" t="s">
        <v>680</v>
      </c>
      <c r="E24" s="69" t="s">
        <v>680</v>
      </c>
      <c r="F24" s="69" t="s">
        <v>680</v>
      </c>
      <c r="G24" s="69" t="s">
        <v>680</v>
      </c>
      <c r="H24" s="69"/>
      <c r="I24" s="69"/>
      <c r="J24" s="69"/>
      <c r="K24" s="31" t="s">
        <v>665</v>
      </c>
      <c r="L24" s="31" t="s">
        <v>681</v>
      </c>
    </row>
    <row r="25" x14ac:dyDescent="0.25">
      <c r="A25" s="31" t="s">
        <v>693</v>
      </c>
      <c r="B25" s="31">
        <v>834.4</v>
      </c>
      <c r="C25" s="31">
        <v>56.06326</v>
      </c>
      <c r="D25" s="31">
        <v>528.62</v>
      </c>
      <c r="E25" s="31">
        <v>2.161</v>
      </c>
      <c r="F25" s="31">
        <f>325.84-273.15</f>
        <v>52.69</v>
      </c>
      <c r="G25" s="31">
        <f>185.45-273.15</f>
        <v>-87.699999999999989</v>
      </c>
      <c r="H25" s="31">
        <v>3.3213999999999997E-4</v>
      </c>
      <c r="I25">
        <v>0.60122141000000007</v>
      </c>
      <c r="L25" s="31" t="s">
        <v>656</v>
      </c>
    </row>
    <row r="26" ht="18.75" x14ac:dyDescent="0.35">
      <c r="A26" s="31" t="s">
        <v>694</v>
      </c>
      <c r="B26" s="31">
        <v>933.24</v>
      </c>
      <c r="C26" s="31">
        <v>71.0779</v>
      </c>
      <c r="D26" s="72">
        <v>924.9</v>
      </c>
      <c r="E26" s="31">
        <v>2.6160000000000001</v>
      </c>
      <c r="F26" s="31">
        <f>514-273.15</f>
        <v>240.85000000000002</v>
      </c>
      <c r="G26" s="31">
        <f>357.65-273.15</f>
        <v>84.5</v>
      </c>
      <c r="I26">
        <v>0.65377265000000007</v>
      </c>
      <c r="K26" s="31" t="s">
        <v>665</v>
      </c>
      <c r="L26" s="66" t="s">
        <v>666</v>
      </c>
    </row>
    <row r="27" x14ac:dyDescent="0.25">
      <c r="A27" s="31" t="s">
        <v>695</v>
      </c>
      <c r="B27" s="31">
        <v>1045.5</v>
      </c>
      <c r="C27" s="31">
        <v>72.062659999999994</v>
      </c>
      <c r="D27" s="31">
        <v>388.12</v>
      </c>
      <c r="E27" s="31">
        <v>2.0085999999999999</v>
      </c>
      <c r="F27" s="31">
        <f>414.15-273.15</f>
        <v>141</v>
      </c>
      <c r="G27" s="31">
        <f>286.15-273.15</f>
        <v>13</v>
      </c>
      <c r="H27" s="31">
        <v>1.0884E-3</v>
      </c>
      <c r="I27">
        <v>0.65721931</v>
      </c>
      <c r="J27" s="31">
        <v>6.4</v>
      </c>
      <c r="L27" s="31" t="s">
        <v>696</v>
      </c>
    </row>
    <row r="28" x14ac:dyDescent="0.25">
      <c r="A28" s="31" t="s">
        <v>697</v>
      </c>
      <c r="B28" s="31">
        <v>800.75</v>
      </c>
      <c r="C28" s="31">
        <v>53.062600000000003</v>
      </c>
      <c r="D28" s="31">
        <v>649.67999999999995</v>
      </c>
      <c r="E28" s="31">
        <v>2.0485000000000002</v>
      </c>
      <c r="F28" s="31">
        <f>350.45-273.15</f>
        <v>77.300000000000011</v>
      </c>
      <c r="G28" s="31">
        <f>189.63-273.15</f>
        <v>-83.519999999999982</v>
      </c>
      <c r="H28" s="31">
        <v>3.3647000000000001E-4</v>
      </c>
      <c r="I28">
        <v>0.59071910000000005</v>
      </c>
      <c r="J28" s="31">
        <v>17.399999999999999</v>
      </c>
      <c r="L28" s="31" t="s">
        <v>690</v>
      </c>
    </row>
    <row r="29" x14ac:dyDescent="0.25">
      <c r="A29" s="31" t="s">
        <v>698</v>
      </c>
      <c r="B29" s="31">
        <v>930.84</v>
      </c>
      <c r="C29" s="31">
        <v>76.524900000000002</v>
      </c>
      <c r="D29" s="31">
        <v>394.7</v>
      </c>
      <c r="E29" s="73">
        <f>1516.2/1000</f>
        <v>1.5162</v>
      </c>
      <c r="F29" s="31">
        <f>318.3-237.15</f>
        <v>81.150000000000006</v>
      </c>
      <c r="G29" s="31">
        <f>138.65-273.15</f>
        <v>-134.49999999999997</v>
      </c>
      <c r="H29" s="31">
        <v>3.1725999999999998E-4</v>
      </c>
      <c r="I29">
        <v>0.67283680000000001</v>
      </c>
      <c r="L29" s="31" t="s">
        <v>656</v>
      </c>
    </row>
    <row r="30" x14ac:dyDescent="0.25">
      <c r="A30" s="31" t="s">
        <v>699</v>
      </c>
    </row>
    <row r="31" x14ac:dyDescent="0.25">
      <c r="A31" s="31" t="s">
        <v>700</v>
      </c>
      <c r="B31" s="31">
        <v>601.91</v>
      </c>
      <c r="C31" s="31">
        <v>17.030519999999999</v>
      </c>
      <c r="D31" s="31">
        <v>1166.0999999999999</v>
      </c>
      <c r="E31" s="31">
        <v>4.6955</v>
      </c>
      <c r="F31" s="31">
        <f>239.72-273.15</f>
        <v>-33.429999999999978</v>
      </c>
      <c r="G31" s="31">
        <f>195.41-273.15</f>
        <v>-77.739999999999981</v>
      </c>
      <c r="I31">
        <v>0.46460682000000003</v>
      </c>
      <c r="J31" s="31">
        <v>15.7</v>
      </c>
      <c r="L31" s="31" t="s">
        <v>701</v>
      </c>
    </row>
    <row r="32" x14ac:dyDescent="0.25">
      <c r="A32" s="31" t="s">
        <v>702</v>
      </c>
      <c r="B32" s="31">
        <v>1017.1</v>
      </c>
      <c r="C32" s="31">
        <v>93.126499999999993</v>
      </c>
      <c r="D32" s="31">
        <v>596.74</v>
      </c>
      <c r="E32" s="31">
        <v>2.0550000000000002</v>
      </c>
      <c r="F32" s="31">
        <f>457.25-273.15</f>
        <v>184.10000000000002</v>
      </c>
      <c r="G32" s="31">
        <f>267.12-273.15</f>
        <v>-6.0299999999999727</v>
      </c>
      <c r="H32" s="31">
        <v>3.7161999999999998E-3</v>
      </c>
      <c r="I32">
        <v>0.73094275000000009</v>
      </c>
      <c r="J32" s="31">
        <v>5.0999999999999996</v>
      </c>
      <c r="L32" s="31" t="s">
        <v>690</v>
      </c>
    </row>
    <row r="33" ht="18.75" x14ac:dyDescent="0.35">
      <c r="A33" s="31" t="s">
        <v>703</v>
      </c>
      <c r="B33" s="31">
        <v>972.21</v>
      </c>
      <c r="C33" s="31">
        <v>178.22919999999999</v>
      </c>
      <c r="D33" s="31">
        <v>347.51</v>
      </c>
      <c r="E33" s="31">
        <v>2.0346000000000002</v>
      </c>
      <c r="F33" s="31">
        <f>615.18-273.15</f>
        <v>342.03</v>
      </c>
      <c r="G33" s="31">
        <f>488.93-273.15</f>
        <v>215.78000000000003</v>
      </c>
      <c r="I33">
        <v>1.0288021999999999</v>
      </c>
      <c r="K33" s="31" t="s">
        <v>665</v>
      </c>
      <c r="L33" s="66" t="s">
        <v>666</v>
      </c>
    </row>
    <row r="34" ht="18.75" x14ac:dyDescent="0.35">
      <c r="A34" s="31" t="s">
        <v>704</v>
      </c>
      <c r="B34" s="31">
        <v>2679.8</v>
      </c>
      <c r="C34" s="31">
        <v>228.119</v>
      </c>
      <c r="D34" s="31">
        <v>228.81</v>
      </c>
      <c r="E34" s="31">
        <v>0.54108000000000001</v>
      </c>
      <c r="F34" s="31">
        <f>493.4-273.15</f>
        <v>220.25</v>
      </c>
      <c r="G34" s="31">
        <f>346.55-273.15</f>
        <v>73.400000000000034</v>
      </c>
      <c r="I34">
        <v>1.2034164999999999</v>
      </c>
      <c r="K34" s="31" t="s">
        <v>665</v>
      </c>
      <c r="L34" s="66" t="s">
        <v>666</v>
      </c>
    </row>
    <row r="35" x14ac:dyDescent="0.25">
      <c r="A35" s="31" t="s">
        <v>705</v>
      </c>
    </row>
    <row r="36" ht="18.75" x14ac:dyDescent="0.35">
      <c r="A36" s="31" t="s">
        <v>706</v>
      </c>
      <c r="B36" s="31" t="s">
        <v>680</v>
      </c>
      <c r="C36" s="31">
        <v>74.921589999999995</v>
      </c>
      <c r="D36" s="31">
        <v>625.47</v>
      </c>
      <c r="E36" s="31">
        <v>0.39082</v>
      </c>
      <c r="F36" s="31" t="s">
        <v>680</v>
      </c>
      <c r="G36" s="31">
        <f>1090-273.15</f>
        <v>816.85</v>
      </c>
      <c r="I36">
        <v>0.66722556500000008</v>
      </c>
      <c r="K36" s="31" t="s">
        <v>665</v>
      </c>
      <c r="L36" s="66" t="s">
        <v>707</v>
      </c>
    </row>
    <row r="37" x14ac:dyDescent="0.25">
      <c r="A37" s="31" t="s">
        <v>708</v>
      </c>
    </row>
    <row r="38" x14ac:dyDescent="0.25">
      <c r="A38" s="69" t="s">
        <v>709</v>
      </c>
      <c r="B38" s="31" t="s">
        <v>680</v>
      </c>
      <c r="C38" s="31" t="s">
        <v>680</v>
      </c>
      <c r="D38" s="31" t="s">
        <v>680</v>
      </c>
      <c r="E38" s="31" t="s">
        <v>680</v>
      </c>
      <c r="F38" s="31" t="s">
        <v>680</v>
      </c>
      <c r="G38" s="31" t="s">
        <v>680</v>
      </c>
      <c r="K38" s="31" t="s">
        <v>665</v>
      </c>
      <c r="L38" s="31" t="s">
        <v>681</v>
      </c>
    </row>
    <row r="39" x14ac:dyDescent="0.25">
      <c r="A39" s="31" t="s">
        <v>710</v>
      </c>
      <c r="I39">
        <v>0.88564450000000006</v>
      </c>
      <c r="L39" s="31" t="s">
        <v>656</v>
      </c>
    </row>
    <row r="40" x14ac:dyDescent="0.25">
      <c r="A40" s="31" t="s">
        <v>711</v>
      </c>
    </row>
    <row r="41" ht="18.75" x14ac:dyDescent="0.35">
      <c r="A41" s="31" t="s">
        <v>712</v>
      </c>
      <c r="B41" s="31">
        <v>1245.9000000000001</v>
      </c>
      <c r="C41" s="31">
        <v>161.02853999999999</v>
      </c>
      <c r="D41" s="31">
        <v>301.54000000000002</v>
      </c>
      <c r="E41" s="31">
        <v>1.2042999999999999</v>
      </c>
      <c r="F41" s="31">
        <f>487-273.15</f>
        <v>213.85000000000002</v>
      </c>
      <c r="G41" s="31">
        <f>257-273.15</f>
        <v>-16.149999999999977</v>
      </c>
      <c r="H41" s="31">
        <v>1.6523E-3</v>
      </c>
      <c r="I41">
        <v>0.96859989000000002</v>
      </c>
      <c r="K41" s="31" t="s">
        <v>665</v>
      </c>
      <c r="L41" s="66" t="s">
        <v>713</v>
      </c>
    </row>
    <row r="42" x14ac:dyDescent="0.25">
      <c r="A42" s="31" t="s">
        <v>714</v>
      </c>
      <c r="B42" s="31">
        <v>873.14</v>
      </c>
      <c r="C42" s="31">
        <v>78.111840000000001</v>
      </c>
      <c r="D42" s="31">
        <v>433.73</v>
      </c>
      <c r="E42" s="31">
        <v>1.7468999999999999</v>
      </c>
      <c r="F42" s="31">
        <f>353.24-273.15</f>
        <v>80.090000000000032</v>
      </c>
      <c r="G42" s="31">
        <f>278.68-273.15</f>
        <v>5.5300000000000296</v>
      </c>
      <c r="H42" s="31">
        <v>5.9973000000000003E-4</v>
      </c>
      <c r="I42">
        <v>0.67839143999999996</v>
      </c>
      <c r="J42" s="31">
        <v>0</v>
      </c>
      <c r="L42" s="31" t="s">
        <v>701</v>
      </c>
    </row>
    <row r="43" x14ac:dyDescent="0.25">
      <c r="A43" s="69" t="s">
        <v>715</v>
      </c>
      <c r="B43" s="71"/>
      <c r="C43" s="71"/>
      <c r="D43" s="71"/>
      <c r="E43" s="71"/>
      <c r="F43" s="71"/>
      <c r="G43" s="71"/>
      <c r="H43" s="71"/>
      <c r="I43" s="71"/>
      <c r="J43" s="71"/>
      <c r="K43" s="31" t="s">
        <v>665</v>
      </c>
      <c r="L43" s="31" t="s">
        <v>681</v>
      </c>
    </row>
    <row r="44" ht="18.75" x14ac:dyDescent="0.35">
      <c r="A44" s="31" t="s">
        <v>716</v>
      </c>
      <c r="B44" s="31">
        <v>1207.4000000000001</v>
      </c>
      <c r="C44" s="31">
        <v>140.56700000000001</v>
      </c>
      <c r="D44" s="31">
        <v>356.4</v>
      </c>
      <c r="E44" s="31">
        <v>1.2498</v>
      </c>
      <c r="F44" s="31">
        <f>470.15-273.15</f>
        <v>197</v>
      </c>
      <c r="G44" s="31">
        <f>272.65-273.15</f>
        <v>-0.5</v>
      </c>
      <c r="H44" s="31">
        <v>1.1367E-3</v>
      </c>
      <c r="I44">
        <v>0.89698450000000007</v>
      </c>
      <c r="K44" s="31" t="s">
        <v>665</v>
      </c>
      <c r="L44" s="66" t="s">
        <v>713</v>
      </c>
    </row>
    <row r="45" ht="18.75" x14ac:dyDescent="0.35">
      <c r="A45" s="31" t="s">
        <v>717</v>
      </c>
      <c r="B45" s="31">
        <v>1097.3</v>
      </c>
      <c r="C45" s="31">
        <v>242.2268</v>
      </c>
      <c r="D45" s="31">
        <v>434.55</v>
      </c>
      <c r="E45" s="31">
        <v>1.5107999999999999</v>
      </c>
      <c r="F45" s="31">
        <f>669-273.15</f>
        <v>395.85</v>
      </c>
      <c r="G45" s="31">
        <f>378-273.15</f>
        <v>104.85000000000002</v>
      </c>
      <c r="I45">
        <v>1.2527938000000001</v>
      </c>
      <c r="K45" s="31" t="s">
        <v>665</v>
      </c>
      <c r="L45" s="66" t="s">
        <v>666</v>
      </c>
    </row>
    <row r="46" x14ac:dyDescent="0.25">
      <c r="A46" s="31" t="s">
        <v>718</v>
      </c>
      <c r="B46" s="31">
        <v>1096.8</v>
      </c>
      <c r="C46" s="31">
        <v>126.58347999999999</v>
      </c>
      <c r="D46" s="31">
        <v>385.82</v>
      </c>
      <c r="E46" s="31">
        <v>1.4432</v>
      </c>
      <c r="F46" s="31">
        <f>452.55-273.15</f>
        <v>179.40000000000003</v>
      </c>
      <c r="G46" s="31">
        <f>234.15-273.15</f>
        <v>-38.999999999999972</v>
      </c>
      <c r="H46" s="31">
        <v>1.1163E-3</v>
      </c>
      <c r="I46">
        <v>0.84804217999999998</v>
      </c>
      <c r="J46" s="31">
        <v>7.1</v>
      </c>
      <c r="L46" s="31" t="s">
        <v>701</v>
      </c>
    </row>
    <row r="47" ht="18.75" x14ac:dyDescent="0.35">
      <c r="A47" s="31" t="s">
        <v>719</v>
      </c>
      <c r="B47" s="31">
        <v>90.847999999999999</v>
      </c>
      <c r="C47" s="31">
        <v>9.0121819999999992</v>
      </c>
      <c r="D47" s="31">
        <v>34265</v>
      </c>
      <c r="E47" s="31">
        <v>3.1934</v>
      </c>
      <c r="F47" s="31">
        <f>2757-273.15</f>
        <v>2483.85</v>
      </c>
      <c r="G47" s="31">
        <f>1556-273.15</f>
        <v>1282.8499999999999</v>
      </c>
      <c r="I47">
        <v>0.43654263700000001</v>
      </c>
      <c r="K47" s="31" t="s">
        <v>665</v>
      </c>
      <c r="L47" s="66" t="s">
        <v>666</v>
      </c>
    </row>
    <row r="48" x14ac:dyDescent="0.25">
      <c r="A48" s="71" t="s">
        <v>720</v>
      </c>
      <c r="B48" s="71"/>
      <c r="C48" s="71"/>
      <c r="D48" s="71"/>
      <c r="E48" s="71"/>
      <c r="F48" s="71"/>
      <c r="G48" s="71"/>
      <c r="H48" s="71"/>
      <c r="I48" s="71"/>
      <c r="J48" s="71"/>
    </row>
    <row r="49" ht="18.75" x14ac:dyDescent="0.35">
      <c r="A49" s="31" t="s">
        <v>721</v>
      </c>
      <c r="B49" s="31">
        <v>990.81</v>
      </c>
      <c r="C49" s="31">
        <v>154.20779999999999</v>
      </c>
      <c r="D49" s="31">
        <v>396.4</v>
      </c>
      <c r="E49" s="31">
        <v>1.7423</v>
      </c>
      <c r="F49" s="31">
        <f>528.15-273.15</f>
        <v>255</v>
      </c>
      <c r="G49" s="31">
        <f>342.2-273.15</f>
        <v>69.050000000000011</v>
      </c>
      <c r="I49">
        <v>0.94472730000000005</v>
      </c>
      <c r="J49" s="31">
        <v>1</v>
      </c>
      <c r="K49" s="31" t="s">
        <v>665</v>
      </c>
      <c r="L49" s="66" t="s">
        <v>722</v>
      </c>
    </row>
    <row r="50" x14ac:dyDescent="0.25">
      <c r="A50" s="31" t="s">
        <v>723</v>
      </c>
      <c r="B50" s="31">
        <v>894.89</v>
      </c>
      <c r="C50" s="31">
        <v>128.16898</v>
      </c>
      <c r="D50" s="31">
        <v>379.44</v>
      </c>
      <c r="E50" s="31">
        <v>1.9723999999999999</v>
      </c>
      <c r="F50" s="31">
        <f>420.55-273.15</f>
        <v>147.40000000000003</v>
      </c>
      <c r="G50" s="31">
        <f>208.55-273.15</f>
        <v>-64.599999999999966</v>
      </c>
      <c r="H50" s="31">
        <v>8.5921000000000001E-4</v>
      </c>
      <c r="I50">
        <v>0.85359143000000004</v>
      </c>
      <c r="J50" s="31">
        <v>6.2</v>
      </c>
      <c r="L50" s="31" t="s">
        <v>690</v>
      </c>
    </row>
    <row r="51" x14ac:dyDescent="0.25">
      <c r="A51" s="71" t="s">
        <v>724</v>
      </c>
      <c r="B51" s="71"/>
      <c r="C51" s="71"/>
      <c r="D51" s="71"/>
      <c r="E51" s="71"/>
      <c r="F51" s="71"/>
      <c r="G51" s="71"/>
      <c r="H51" s="71"/>
      <c r="I51" s="71"/>
      <c r="J51" s="71"/>
      <c r="K51" s="31" t="s">
        <v>665</v>
      </c>
      <c r="L51" s="31" t="s">
        <v>681</v>
      </c>
    </row>
    <row r="52" x14ac:dyDescent="0.25">
      <c r="A52" s="31" t="s">
        <v>725</v>
      </c>
      <c r="I52"/>
    </row>
    <row r="53" x14ac:dyDescent="0.25">
      <c r="A53" s="31" t="s">
        <v>726</v>
      </c>
      <c r="B53" s="31">
        <v>1256.0999999999999</v>
      </c>
      <c r="C53" s="31">
        <v>76.140699999999995</v>
      </c>
      <c r="D53" s="31">
        <v>360.81</v>
      </c>
      <c r="E53" s="31">
        <v>1.0371999999999999</v>
      </c>
      <c r="F53" s="31">
        <f>319.65-273.15</f>
        <v>46.5</v>
      </c>
      <c r="G53" s="31">
        <f>161.11-273.15</f>
        <v>-112.03999999999996</v>
      </c>
      <c r="H53" s="31">
        <v>3.5312000000000001E-4</v>
      </c>
      <c r="I53">
        <v>0.67149245000000002</v>
      </c>
      <c r="J53" s="31">
        <v>0</v>
      </c>
      <c r="L53" s="31" t="s">
        <v>690</v>
      </c>
    </row>
    <row r="54" x14ac:dyDescent="0.25">
      <c r="A54" s="31" t="s">
        <v>727</v>
      </c>
      <c r="B54" s="31">
        <v>1583.5</v>
      </c>
      <c r="C54" s="31">
        <v>153.8227</v>
      </c>
      <c r="D54" s="31">
        <v>210.81</v>
      </c>
      <c r="E54" s="31">
        <v>0.85746</v>
      </c>
      <c r="F54" s="31">
        <f>349.79-273.15</f>
        <v>76.640000000000043</v>
      </c>
      <c r="G54" s="31">
        <f>250.33-273.15</f>
        <v>-22.819999999999965</v>
      </c>
      <c r="H54" s="31">
        <v>9.0616000000000004E-4</v>
      </c>
      <c r="I54">
        <v>0.94337945000000001</v>
      </c>
      <c r="J54" s="31">
        <v>0</v>
      </c>
      <c r="L54" s="31" t="s">
        <v>690</v>
      </c>
    </row>
    <row r="55" ht="18.75" x14ac:dyDescent="0.35">
      <c r="A55" s="31" t="s">
        <v>728</v>
      </c>
      <c r="B55" s="31">
        <v>1389.6</v>
      </c>
      <c r="C55" s="31">
        <v>60.075099999999999</v>
      </c>
      <c r="D55" s="31">
        <v>365.4</v>
      </c>
      <c r="E55" s="31">
        <v>1.2290000000000001</v>
      </c>
      <c r="F55" s="31">
        <f>222.87-273.15</f>
        <v>-50.279999999999973</v>
      </c>
      <c r="G55" s="31">
        <f>134.34-273.15</f>
        <v>-138.80999999999997</v>
      </c>
      <c r="I55">
        <v>0.61526285000000003</v>
      </c>
      <c r="K55" s="31" t="s">
        <v>665</v>
      </c>
      <c r="L55" s="66" t="s">
        <v>666</v>
      </c>
    </row>
    <row r="56" x14ac:dyDescent="0.25">
      <c r="A56" s="31" t="s">
        <v>729</v>
      </c>
      <c r="B56" s="31">
        <v>1155.9000000000001</v>
      </c>
      <c r="C56" s="31">
        <v>110.11064</v>
      </c>
      <c r="D56" s="31">
        <v>542.48</v>
      </c>
      <c r="E56" s="31">
        <v>1.6257999999999999</v>
      </c>
      <c r="F56" s="31">
        <f>518.65-273.15</f>
        <v>245.5</v>
      </c>
      <c r="G56" s="31">
        <f>377.6-273.15</f>
        <v>104.45000000000005</v>
      </c>
      <c r="I56">
        <v>0.79038850000000005</v>
      </c>
      <c r="L56" s="31" t="s">
        <v>656</v>
      </c>
    </row>
    <row r="57" x14ac:dyDescent="0.25">
      <c r="A57" s="71" t="s">
        <v>730</v>
      </c>
      <c r="B57" s="71"/>
      <c r="C57" s="71"/>
      <c r="D57" s="71"/>
      <c r="E57" s="71"/>
      <c r="F57" s="71"/>
      <c r="G57" s="71"/>
      <c r="H57" s="71"/>
      <c r="I57" s="71"/>
      <c r="J57" s="71"/>
      <c r="K57" s="31" t="s">
        <v>665</v>
      </c>
      <c r="L57" s="31" t="s">
        <v>681</v>
      </c>
    </row>
    <row r="58" x14ac:dyDescent="0.25">
      <c r="A58" s="71" t="s">
        <v>731</v>
      </c>
      <c r="B58" s="71"/>
      <c r="C58" s="71"/>
      <c r="D58" s="71"/>
      <c r="E58" s="71"/>
      <c r="F58" s="71"/>
      <c r="G58" s="71"/>
      <c r="H58" s="71"/>
      <c r="I58" s="71"/>
      <c r="J58" s="71"/>
      <c r="K58" s="31" t="s">
        <v>665</v>
      </c>
      <c r="L58" s="31" t="s">
        <v>681</v>
      </c>
    </row>
    <row r="59" ht="18.75" x14ac:dyDescent="0.35">
      <c r="A59" s="31" t="s">
        <v>732</v>
      </c>
      <c r="B59" s="31">
        <v>1393.9</v>
      </c>
      <c r="C59" s="31">
        <v>70.906000000000006</v>
      </c>
      <c r="D59" s="31">
        <v>251.08</v>
      </c>
      <c r="E59" s="31">
        <v>0.94640000000000002</v>
      </c>
      <c r="F59" s="31">
        <f>239.12-273.15</f>
        <v>-34.029999999999973</v>
      </c>
      <c r="G59" s="31">
        <f>172.12-273.15</f>
        <v>-101.02999999999997</v>
      </c>
      <c r="I59">
        <v>0.65317100000000006</v>
      </c>
      <c r="J59" s="31">
        <v>10</v>
      </c>
      <c r="K59" s="31" t="s">
        <v>665</v>
      </c>
      <c r="L59" s="66" t="s">
        <v>733</v>
      </c>
    </row>
    <row r="60" ht="18.75" x14ac:dyDescent="0.35">
      <c r="A60" s="31" t="s">
        <v>734</v>
      </c>
      <c r="B60" s="31">
        <v>1783.4</v>
      </c>
      <c r="C60" s="31">
        <v>67.451800000000006</v>
      </c>
      <c r="D60" s="31">
        <v>379.57</v>
      </c>
      <c r="E60" s="71" t="s">
        <v>680</v>
      </c>
      <c r="F60" s="31">
        <f>284.05-273.15</f>
        <v>10.900000000000034</v>
      </c>
      <c r="G60" s="31">
        <f>213.55-273.15</f>
        <v>-59.599999999999966</v>
      </c>
      <c r="I60">
        <v>0.64108130000000008</v>
      </c>
      <c r="K60" s="31" t="s">
        <v>665</v>
      </c>
      <c r="L60" s="66" t="s">
        <v>735</v>
      </c>
    </row>
    <row r="61" ht="18.75" x14ac:dyDescent="0.35">
      <c r="A61" s="31" t="s">
        <v>736</v>
      </c>
      <c r="B61" s="31">
        <v>1373.6</v>
      </c>
      <c r="C61" s="31">
        <v>94.497020000000006</v>
      </c>
      <c r="D61" s="31">
        <v>632.16</v>
      </c>
      <c r="E61" s="31">
        <v>1.6220000000000001</v>
      </c>
      <c r="F61" s="31">
        <f>462.5-273.15</f>
        <v>189.35000000000002</v>
      </c>
      <c r="G61" s="31">
        <f>333.15-273.15</f>
        <v>60</v>
      </c>
      <c r="I61">
        <v>0.73573957000000001</v>
      </c>
      <c r="K61" s="31" t="s">
        <v>665</v>
      </c>
      <c r="L61" s="66" t="s">
        <v>666</v>
      </c>
    </row>
    <row r="62" x14ac:dyDescent="0.25">
      <c r="A62" s="31" t="s">
        <v>737</v>
      </c>
      <c r="B62" s="31">
        <v>1100.4000000000001</v>
      </c>
      <c r="C62" s="31">
        <v>112.5569</v>
      </c>
      <c r="D62" s="31">
        <v>362.04</v>
      </c>
      <c r="E62" s="31">
        <v>1.3337000000000001</v>
      </c>
      <c r="F62" s="31">
        <f>404.87-273.15</f>
        <v>131.72000000000003</v>
      </c>
      <c r="G62" s="31">
        <f>227.95-273.15</f>
        <v>-45.199999999999989</v>
      </c>
      <c r="I62">
        <v>0.79894915000000011</v>
      </c>
      <c r="J62" s="31">
        <v>4.3</v>
      </c>
      <c r="L62" s="31" t="s">
        <v>738</v>
      </c>
    </row>
    <row r="63" ht="18.75" x14ac:dyDescent="0.35">
      <c r="A63" s="31" t="s">
        <v>739</v>
      </c>
      <c r="B63" s="31">
        <v>1191.2</v>
      </c>
      <c r="C63" s="31">
        <v>86.468446400000005</v>
      </c>
      <c r="D63" s="31">
        <v>184.44</v>
      </c>
      <c r="E63" s="31">
        <v>1.0656000000000001</v>
      </c>
      <c r="F63" s="31">
        <f>232.32-273.15</f>
        <v>-40.829999999999984</v>
      </c>
      <c r="G63" s="31">
        <f>115.73-273.15</f>
        <v>-157.41999999999996</v>
      </c>
      <c r="I63">
        <v>0.70763956240000003</v>
      </c>
      <c r="K63" s="31" t="s">
        <v>665</v>
      </c>
      <c r="L63" s="66" t="s">
        <v>713</v>
      </c>
    </row>
    <row r="64" x14ac:dyDescent="0.25">
      <c r="A64" s="31" t="s">
        <v>740</v>
      </c>
      <c r="B64" s="31">
        <v>889.35</v>
      </c>
      <c r="C64" s="31">
        <v>64.514099999999999</v>
      </c>
      <c r="D64" s="31">
        <v>375.91</v>
      </c>
      <c r="E64" s="31">
        <v>1.6226</v>
      </c>
      <c r="F64" s="31">
        <f>285.45-273.15</f>
        <v>12.300000000000011</v>
      </c>
      <c r="G64" s="31">
        <f>136.75-273.15</f>
        <v>-136.39999999999998</v>
      </c>
      <c r="H64" s="31">
        <v>2.4675000000000001E-4</v>
      </c>
      <c r="I64">
        <v>0.63079934999999998</v>
      </c>
      <c r="L64" s="31" t="s">
        <v>656</v>
      </c>
    </row>
    <row r="65" x14ac:dyDescent="0.25">
      <c r="A65" s="31" t="s">
        <v>741</v>
      </c>
      <c r="B65" s="31">
        <v>1482.9</v>
      </c>
      <c r="C65" s="31">
        <v>119.37764</v>
      </c>
      <c r="D65" s="31">
        <v>262.97000000000003</v>
      </c>
      <c r="E65" s="31">
        <v>0.95215000000000005</v>
      </c>
      <c r="F65" s="31">
        <f>334.33-273.15</f>
        <v>61.180000000000007</v>
      </c>
      <c r="G65" s="31">
        <f>209.63-273.15</f>
        <v>-63.519999999999982</v>
      </c>
      <c r="H65" s="31">
        <v>5.3868999999999998E-4</v>
      </c>
      <c r="I65">
        <v>0.82282173999999997</v>
      </c>
      <c r="J65" s="31">
        <v>3.1</v>
      </c>
      <c r="L65" s="31" t="s">
        <v>742</v>
      </c>
    </row>
    <row r="66" x14ac:dyDescent="0.25">
      <c r="A66" s="31" t="s">
        <v>743</v>
      </c>
      <c r="B66" s="31">
        <v>910.93</v>
      </c>
      <c r="C66" s="31">
        <v>50.487499999999997</v>
      </c>
      <c r="D66" s="31">
        <v>382.59</v>
      </c>
      <c r="E66" s="31">
        <v>1.6103000000000001</v>
      </c>
      <c r="F66" s="31">
        <f>248.95-273.15</f>
        <v>-24.199999999999989</v>
      </c>
      <c r="G66" s="31">
        <f>175.43-273.15</f>
        <v>-97.71999999999997</v>
      </c>
      <c r="I66">
        <v>0.58170624999999998</v>
      </c>
      <c r="L66" s="31" t="s">
        <v>656</v>
      </c>
    </row>
    <row r="67" x14ac:dyDescent="0.25">
      <c r="A67" s="71" t="s">
        <v>744</v>
      </c>
      <c r="B67" s="71"/>
      <c r="C67" s="71"/>
      <c r="D67" s="71"/>
      <c r="E67" s="71"/>
      <c r="F67" s="71"/>
      <c r="G67" s="71"/>
      <c r="H67" s="71"/>
      <c r="I67" s="71"/>
      <c r="J67" s="71"/>
      <c r="K67" s="31" t="s">
        <v>665</v>
      </c>
      <c r="L67" s="31" t="s">
        <v>681</v>
      </c>
    </row>
    <row r="68" x14ac:dyDescent="0.25">
      <c r="A68" s="71" t="s">
        <v>745</v>
      </c>
      <c r="B68" s="71"/>
      <c r="C68" s="71"/>
      <c r="D68" s="71"/>
      <c r="E68" s="71"/>
      <c r="F68" s="71"/>
      <c r="G68" s="71"/>
      <c r="H68" s="71"/>
      <c r="I68" s="71"/>
      <c r="J68" s="71"/>
      <c r="K68" s="31" t="s">
        <v>665</v>
      </c>
      <c r="L68" s="31" t="s">
        <v>681</v>
      </c>
    </row>
    <row r="69" x14ac:dyDescent="0.25">
      <c r="A69" s="31" t="s">
        <v>746</v>
      </c>
    </row>
    <row r="70" x14ac:dyDescent="0.25">
      <c r="A70" s="71" t="s">
        <v>747</v>
      </c>
      <c r="B70" s="71"/>
      <c r="C70" s="71"/>
      <c r="D70" s="71"/>
      <c r="E70" s="71"/>
      <c r="F70" s="71"/>
      <c r="G70" s="71"/>
      <c r="H70" s="71"/>
      <c r="I70" s="71"/>
      <c r="J70" s="71"/>
      <c r="K70" s="31" t="s">
        <v>665</v>
      </c>
      <c r="L70" s="31" t="s">
        <v>681</v>
      </c>
    </row>
    <row r="71" x14ac:dyDescent="0.25">
      <c r="A71" s="31" t="s">
        <v>748</v>
      </c>
    </row>
    <row r="72" x14ac:dyDescent="0.25">
      <c r="A72" s="71" t="s">
        <v>749</v>
      </c>
      <c r="B72" s="71">
        <v>8960</v>
      </c>
      <c r="C72" s="71">
        <v>63.54</v>
      </c>
      <c r="D72" s="71">
        <v>5069.24</v>
      </c>
      <c r="E72" s="71">
        <v>0.38500000000000001</v>
      </c>
      <c r="F72" s="71">
        <v>2562</v>
      </c>
      <c r="G72" s="71">
        <v>1085</v>
      </c>
      <c r="H72" s="71"/>
      <c r="I72" s="71"/>
      <c r="J72" s="71"/>
      <c r="K72" s="31" t="s">
        <v>665</v>
      </c>
      <c r="L72" s="31" t="s">
        <v>681</v>
      </c>
    </row>
    <row r="73" x14ac:dyDescent="0.25">
      <c r="A73" s="31" t="s">
        <v>750</v>
      </c>
    </row>
    <row r="74" x14ac:dyDescent="0.25">
      <c r="A74" s="71" t="s">
        <v>751</v>
      </c>
      <c r="B74" s="71"/>
      <c r="C74" s="71"/>
      <c r="D74" s="71"/>
      <c r="E74" s="71"/>
      <c r="F74" s="71"/>
      <c r="G74" s="71"/>
      <c r="H74" s="71"/>
      <c r="I74" s="71"/>
      <c r="J74" s="71"/>
      <c r="K74" s="31" t="s">
        <v>665</v>
      </c>
      <c r="L74" s="31" t="s">
        <v>681</v>
      </c>
    </row>
    <row r="75" x14ac:dyDescent="0.25">
      <c r="A75" s="31" t="s">
        <v>752</v>
      </c>
      <c r="B75" s="31">
        <v>859.09</v>
      </c>
      <c r="C75" s="31">
        <v>120.19158</v>
      </c>
      <c r="D75" s="31">
        <v>376.58</v>
      </c>
      <c r="E75" s="31">
        <v>1.7410000000000001</v>
      </c>
      <c r="F75" s="31">
        <f>425.56-273.15</f>
        <v>152.41000000000003</v>
      </c>
      <c r="G75" s="31">
        <f>177.14-273.15</f>
        <v>-96.009999999999991</v>
      </c>
      <c r="H75" s="31">
        <v>7.3746E-4</v>
      </c>
      <c r="I75">
        <v>0.82567053000000001</v>
      </c>
      <c r="L75" s="31" t="s">
        <v>656</v>
      </c>
    </row>
    <row r="76" x14ac:dyDescent="0.25">
      <c r="A76" s="31" t="s">
        <v>753</v>
      </c>
      <c r="B76" s="31">
        <v>1043.2</v>
      </c>
      <c r="C76" s="31">
        <v>152.19038</v>
      </c>
      <c r="D76" s="31">
        <v>459.29</v>
      </c>
      <c r="E76" s="31">
        <v>1.2191000000000001</v>
      </c>
      <c r="F76" s="31">
        <f>442.7-273.15</f>
        <v>169.55</v>
      </c>
      <c r="G76" s="31">
        <f>264.26-273.15</f>
        <v>-8.8899999999999864</v>
      </c>
      <c r="I76">
        <v>0.9376663300000001</v>
      </c>
      <c r="L76" s="31" t="s">
        <v>656</v>
      </c>
    </row>
    <row r="77" x14ac:dyDescent="0.25">
      <c r="A77" s="31" t="s">
        <v>754</v>
      </c>
    </row>
    <row r="78" x14ac:dyDescent="0.25">
      <c r="A78" s="31" t="s">
        <v>755</v>
      </c>
      <c r="B78" s="31">
        <v>773.13</v>
      </c>
      <c r="C78" s="31">
        <v>84.159480000000002</v>
      </c>
      <c r="D78" s="31">
        <v>391.29</v>
      </c>
      <c r="E78" s="31">
        <v>1.8399000000000001</v>
      </c>
      <c r="F78" s="31">
        <f>353.87-273.15</f>
        <v>80.720000000000027</v>
      </c>
      <c r="G78" s="31">
        <f>279.69-273.15</f>
        <v>6.5400000000000205</v>
      </c>
      <c r="H78" s="31">
        <v>8.9331000000000002E-4</v>
      </c>
      <c r="I78">
        <v>0.69955818000000003</v>
      </c>
      <c r="J78" s="31">
        <v>0</v>
      </c>
      <c r="L78" s="31" t="s">
        <v>738</v>
      </c>
    </row>
    <row r="79" x14ac:dyDescent="0.25">
      <c r="A79" s="31" t="s">
        <v>756</v>
      </c>
      <c r="B79" s="31">
        <v>947.12</v>
      </c>
      <c r="C79" s="31">
        <v>100.15888</v>
      </c>
      <c r="D79" s="31">
        <v>623.20000000000005</v>
      </c>
      <c r="E79" s="31">
        <v>2.1398000000000001</v>
      </c>
      <c r="F79" s="31">
        <f>434-273.15</f>
        <v>160.85000000000002</v>
      </c>
      <c r="G79" s="31">
        <f>296.6-273.15</f>
        <v>23.450000000000045</v>
      </c>
      <c r="H79" s="31">
        <v>5.6696999999999997E-2</v>
      </c>
      <c r="I79">
        <v>0.75555608000000007</v>
      </c>
      <c r="J79" s="31">
        <v>4.0999999999999996</v>
      </c>
      <c r="L79" s="31" t="s">
        <v>738</v>
      </c>
    </row>
    <row r="80" x14ac:dyDescent="0.25">
      <c r="A80" s="69" t="s">
        <v>757</v>
      </c>
      <c r="B80" s="69"/>
      <c r="C80" s="69"/>
      <c r="D80" s="69"/>
      <c r="E80" s="69"/>
      <c r="F80" s="69"/>
      <c r="G80" s="69"/>
      <c r="H80" s="69"/>
      <c r="I80" s="69"/>
      <c r="J80" s="69"/>
      <c r="K80" s="31" t="s">
        <v>665</v>
      </c>
      <c r="L80" s="31" t="s">
        <v>681</v>
      </c>
    </row>
    <row r="81" x14ac:dyDescent="0.25">
      <c r="A81" s="31" t="s">
        <v>758</v>
      </c>
      <c r="B81" s="31">
        <v>1048.5</v>
      </c>
      <c r="C81" s="31">
        <v>122.1677</v>
      </c>
      <c r="D81" s="31">
        <v>578.42999999999995</v>
      </c>
      <c r="E81" s="31">
        <v>2.3449</v>
      </c>
      <c r="F81" s="31">
        <f>557.15-273.15</f>
        <v>284</v>
      </c>
      <c r="G81" s="31">
        <f>371.25-273.15</f>
        <v>98.100000000000023</v>
      </c>
      <c r="I81">
        <v>0.83258695000000005</v>
      </c>
      <c r="K81" s="31" t="s">
        <v>759</v>
      </c>
      <c r="L81" s="31" t="s">
        <v>656</v>
      </c>
    </row>
    <row r="82" x14ac:dyDescent="0.25">
      <c r="A82" s="31" t="s">
        <v>760</v>
      </c>
      <c r="I82">
        <v>0.40500000000000003</v>
      </c>
      <c r="L82" s="31" t="s">
        <v>656</v>
      </c>
    </row>
    <row r="83" x14ac:dyDescent="0.25">
      <c r="A83" s="31" t="s">
        <v>761</v>
      </c>
      <c r="B83" s="31">
        <v>1040.0999999999999</v>
      </c>
      <c r="C83" s="31">
        <v>278.34300000000002</v>
      </c>
      <c r="D83" s="31">
        <v>342.82</v>
      </c>
      <c r="E83" s="31">
        <v>1.7</v>
      </c>
      <c r="F83" s="31">
        <f>613.15-273.15</f>
        <v>340</v>
      </c>
      <c r="G83" s="31">
        <f>238.15-273.15</f>
        <v>-34.999999999999972</v>
      </c>
      <c r="H83" s="31">
        <v>1.6489E-2</v>
      </c>
      <c r="I83">
        <v>1.3792005000000001</v>
      </c>
      <c r="J83" s="31">
        <v>8.6</v>
      </c>
      <c r="L83" s="31" t="s">
        <v>656</v>
      </c>
    </row>
    <row r="84" x14ac:dyDescent="0.25">
      <c r="A84" s="31" t="s">
        <v>762</v>
      </c>
      <c r="B84" s="31">
        <v>1308.8</v>
      </c>
      <c r="C84" s="31">
        <v>120.9135064</v>
      </c>
      <c r="D84" s="31">
        <v>139.69</v>
      </c>
      <c r="E84" s="31">
        <v>0.97474000000000005</v>
      </c>
      <c r="F84" s="31">
        <f>243.36-273.15</f>
        <v>-29.789999999999964</v>
      </c>
      <c r="G84" s="31">
        <f>115.15-273.15</f>
        <v>-157.99999999999997</v>
      </c>
      <c r="I84">
        <v>0.82819727240000007</v>
      </c>
      <c r="J84" s="31">
        <v>2</v>
      </c>
      <c r="L84" s="31" t="s">
        <v>688</v>
      </c>
    </row>
    <row r="85" x14ac:dyDescent="0.25">
      <c r="A85" s="31" t="s">
        <v>763</v>
      </c>
      <c r="B85" s="31">
        <v>1318.3</v>
      </c>
      <c r="C85" s="31">
        <v>84.932580000000002</v>
      </c>
      <c r="D85" s="31">
        <v>341.68</v>
      </c>
      <c r="E85" s="31">
        <v>1.1878</v>
      </c>
      <c r="F85" s="31">
        <f>312.9-273.15</f>
        <v>39.75</v>
      </c>
      <c r="G85" s="31">
        <f>178.01-273.15</f>
        <v>-95.139999999999986</v>
      </c>
      <c r="H85" s="31">
        <v>4.1334999999999999E-4</v>
      </c>
      <c r="I85">
        <v>0.70226403000000004</v>
      </c>
      <c r="J85" s="31">
        <v>6.3</v>
      </c>
      <c r="L85" s="31" t="s">
        <v>764</v>
      </c>
    </row>
    <row r="86" x14ac:dyDescent="0.25">
      <c r="A86" s="31" t="s">
        <v>765</v>
      </c>
      <c r="B86" s="31">
        <v>981.19</v>
      </c>
      <c r="C86" s="31">
        <v>132.20228</v>
      </c>
      <c r="D86" s="31">
        <v>333.05</v>
      </c>
      <c r="E86" s="31">
        <v>1.8335999999999999</v>
      </c>
      <c r="F86" s="31">
        <f>443-273.15</f>
        <v>169.85000000000002</v>
      </c>
      <c r="G86" s="31">
        <f>305.15-273.15</f>
        <v>32</v>
      </c>
      <c r="I86">
        <v>0.86770798000000005</v>
      </c>
      <c r="K86" s="31" t="s">
        <v>665</v>
      </c>
      <c r="L86" s="31" t="s">
        <v>766</v>
      </c>
    </row>
    <row r="87" x14ac:dyDescent="0.25">
      <c r="A87" s="31" t="s">
        <v>767</v>
      </c>
      <c r="B87" s="31">
        <v>1092.4000000000001</v>
      </c>
      <c r="C87" s="31">
        <v>105.13564</v>
      </c>
      <c r="D87" s="31">
        <v>822.04</v>
      </c>
      <c r="E87" s="31">
        <v>2.5712000000000002</v>
      </c>
      <c r="F87" s="31">
        <f>541.54-273.15</f>
        <v>268.39</v>
      </c>
      <c r="G87" s="31">
        <f>301.15-273.15</f>
        <v>28</v>
      </c>
      <c r="I87">
        <v>0.77297473999999999</v>
      </c>
      <c r="J87" s="31">
        <v>10.8</v>
      </c>
      <c r="K87" s="31" t="s">
        <v>665</v>
      </c>
      <c r="L87" s="31" t="s">
        <v>688</v>
      </c>
    </row>
    <row r="88" x14ac:dyDescent="0.25">
      <c r="A88" s="31" t="s">
        <v>768</v>
      </c>
      <c r="B88" s="31">
        <v>1173.8</v>
      </c>
      <c r="C88" s="31">
        <v>154.1848</v>
      </c>
      <c r="D88" s="31">
        <v>365.62</v>
      </c>
      <c r="E88" s="31">
        <v>1.3832</v>
      </c>
      <c r="F88" s="31">
        <f>482.65-273.15</f>
        <v>209.5</v>
      </c>
      <c r="G88" s="31">
        <f>248.15-273.15</f>
        <v>-24.999999999999972</v>
      </c>
      <c r="I88">
        <v>0.94464680000000001</v>
      </c>
      <c r="J88" s="31">
        <v>14.7</v>
      </c>
      <c r="K88" s="31" t="s">
        <v>665</v>
      </c>
      <c r="L88" s="31" t="s">
        <v>769</v>
      </c>
    </row>
    <row r="89" x14ac:dyDescent="0.25">
      <c r="A89" s="69" t="s">
        <v>770</v>
      </c>
      <c r="B89" s="69" t="s">
        <v>771</v>
      </c>
      <c r="C89" s="69"/>
      <c r="D89" s="69"/>
      <c r="E89" s="69"/>
      <c r="F89" s="69"/>
      <c r="G89" s="69"/>
      <c r="H89" s="69"/>
      <c r="I89" s="69"/>
      <c r="J89" s="69"/>
      <c r="K89" s="31" t="s">
        <v>665</v>
      </c>
      <c r="L89" s="31" t="s">
        <v>681</v>
      </c>
    </row>
    <row r="90" x14ac:dyDescent="0.25">
      <c r="A90" s="69" t="s">
        <v>772</v>
      </c>
      <c r="B90" s="69" t="s">
        <v>771</v>
      </c>
      <c r="C90" s="69"/>
      <c r="D90" s="69"/>
      <c r="E90" s="69"/>
      <c r="F90" s="69"/>
      <c r="G90" s="69"/>
      <c r="H90" s="69"/>
      <c r="I90" s="69"/>
      <c r="J90" s="69"/>
      <c r="K90" s="31" t="s">
        <v>665</v>
      </c>
      <c r="L90" s="31" t="s">
        <v>681</v>
      </c>
    </row>
    <row r="91" x14ac:dyDescent="0.25">
      <c r="A91" s="31" t="s">
        <v>773</v>
      </c>
      <c r="B91" s="31">
        <v>1188</v>
      </c>
      <c r="C91" s="31">
        <v>194.184</v>
      </c>
      <c r="D91" s="31">
        <v>384.41</v>
      </c>
      <c r="E91" s="31">
        <v>1.5591999999999999</v>
      </c>
      <c r="F91" s="31">
        <f>556.8-273.15</f>
        <v>283.64999999999998</v>
      </c>
      <c r="G91" s="31">
        <f>274.18-273.15</f>
        <v>1.0300000000000296</v>
      </c>
      <c r="H91" s="31">
        <v>1.3990000000000001E-2</v>
      </c>
      <c r="I91">
        <v>1.0846439999999999</v>
      </c>
      <c r="J91" s="31">
        <v>10.8</v>
      </c>
      <c r="L91" s="31" t="s">
        <v>688</v>
      </c>
    </row>
    <row r="92" x14ac:dyDescent="0.25">
      <c r="A92" s="31" t="s">
        <v>774</v>
      </c>
      <c r="B92" s="31">
        <v>1321.6</v>
      </c>
      <c r="C92" s="31">
        <v>126.13164</v>
      </c>
      <c r="D92" s="31">
        <v>384.53</v>
      </c>
      <c r="E92" s="31">
        <v>1.4487000000000001</v>
      </c>
      <c r="F92" s="31">
        <f>462.15-273.15</f>
        <v>189</v>
      </c>
      <c r="G92" s="31">
        <f>241.15-273.15</f>
        <v>-31.999999999999972</v>
      </c>
      <c r="H92" s="31">
        <v>1.7048E-3</v>
      </c>
      <c r="I92">
        <v>0.84646074000000004</v>
      </c>
      <c r="K92" s="31" t="s">
        <v>665</v>
      </c>
      <c r="L92" s="31" t="s">
        <v>775</v>
      </c>
    </row>
    <row r="93" x14ac:dyDescent="0.25">
      <c r="A93" s="31" t="s">
        <v>776</v>
      </c>
      <c r="B93" s="31">
        <v>650.16</v>
      </c>
      <c r="C93" s="31">
        <v>45.083680000000001</v>
      </c>
      <c r="D93" s="31">
        <v>556</v>
      </c>
      <c r="E93" s="31">
        <v>3.0562999999999998</v>
      </c>
      <c r="F93" s="31">
        <f>280.03-273.15</f>
        <v>6.8799999999999955</v>
      </c>
      <c r="G93" s="31">
        <f>180.96-273.15</f>
        <v>-92.189999999999969</v>
      </c>
      <c r="I93">
        <v>0.56279288000000005</v>
      </c>
      <c r="L93" s="31" t="s">
        <v>656</v>
      </c>
    </row>
    <row r="94" x14ac:dyDescent="0.25">
      <c r="A94" s="31" t="s">
        <v>777</v>
      </c>
    </row>
    <row r="95" x14ac:dyDescent="0.25">
      <c r="A95" s="31" t="s">
        <v>778</v>
      </c>
      <c r="B95" s="31">
        <v>1059.5</v>
      </c>
      <c r="C95" s="31">
        <v>169.22244000000001</v>
      </c>
      <c r="D95" s="31">
        <v>427.91</v>
      </c>
      <c r="E95" s="31">
        <v>1.6579999999999999</v>
      </c>
      <c r="F95" s="31">
        <f>575.15-273.15</f>
        <v>302</v>
      </c>
      <c r="G95" s="31">
        <f>326.15-273.15</f>
        <v>53</v>
      </c>
      <c r="I95">
        <v>0.99727854000000005</v>
      </c>
      <c r="K95" s="31" t="s">
        <v>665</v>
      </c>
      <c r="L95" s="31" t="s">
        <v>779</v>
      </c>
    </row>
    <row r="96" x14ac:dyDescent="0.25">
      <c r="A96" s="69" t="s">
        <v>780</v>
      </c>
      <c r="B96" s="69" t="s">
        <v>771</v>
      </c>
      <c r="C96" s="69"/>
      <c r="D96" s="69"/>
      <c r="E96" s="69"/>
      <c r="F96" s="69"/>
      <c r="G96" s="69"/>
      <c r="H96" s="69"/>
      <c r="I96" s="69"/>
      <c r="J96" s="69"/>
    </row>
    <row r="97" x14ac:dyDescent="0.25">
      <c r="A97" s="31" t="s">
        <v>781</v>
      </c>
      <c r="B97" s="31">
        <v>1173.9000000000001</v>
      </c>
      <c r="C97" s="31">
        <v>92.524199999999993</v>
      </c>
      <c r="D97" s="31">
        <v>453.55</v>
      </c>
      <c r="E97" s="31">
        <v>1.4229000000000001</v>
      </c>
      <c r="F97" s="31">
        <f>391.65-273.15</f>
        <v>118.5</v>
      </c>
      <c r="G97" s="31">
        <f>215.95-273.15</f>
        <v>-57.199999999999989</v>
      </c>
      <c r="H97" s="31">
        <v>1.0734E-3</v>
      </c>
      <c r="I97">
        <v>0.72883469999999995</v>
      </c>
      <c r="J97" s="31">
        <v>10.199999999999999</v>
      </c>
      <c r="L97" s="31" t="s">
        <v>688</v>
      </c>
    </row>
    <row r="98" x14ac:dyDescent="0.25">
      <c r="A98" s="31" t="s">
        <v>782</v>
      </c>
      <c r="B98" s="31">
        <v>916.57</v>
      </c>
      <c r="C98" s="31">
        <v>100.11582</v>
      </c>
      <c r="D98" s="31">
        <v>384.03</v>
      </c>
      <c r="E98" s="31">
        <v>1.7374000000000001</v>
      </c>
      <c r="F98" s="31">
        <f>372.65-273.15</f>
        <v>99.5</v>
      </c>
      <c r="G98" s="31">
        <f>201.95-273.15</f>
        <v>-71.199999999999989</v>
      </c>
      <c r="H98" s="31">
        <v>5.4146000000000001E-4</v>
      </c>
      <c r="I98">
        <v>0.75540537000000008</v>
      </c>
      <c r="J98" s="31">
        <v>7.1</v>
      </c>
      <c r="L98" s="31" t="s">
        <v>688</v>
      </c>
    </row>
    <row r="99" x14ac:dyDescent="0.25">
      <c r="A99" s="31" t="s">
        <v>783</v>
      </c>
      <c r="B99" s="31">
        <v>862.25</v>
      </c>
      <c r="C99" s="31">
        <v>106.16500000000001</v>
      </c>
      <c r="D99" s="31">
        <v>398.59</v>
      </c>
      <c r="E99" s="31">
        <v>1.7487999999999999</v>
      </c>
      <c r="F99" s="31">
        <f>409.31-273.15</f>
        <v>136.16000000000003</v>
      </c>
      <c r="G99" s="31">
        <f>178.2-273.15</f>
        <v>-94.949999999999989</v>
      </c>
      <c r="H99" s="31">
        <v>6.3469999999999998E-4</v>
      </c>
      <c r="I99">
        <v>0.77657750000000003</v>
      </c>
      <c r="J99" s="31">
        <v>0.6</v>
      </c>
      <c r="L99" s="31" t="s">
        <v>688</v>
      </c>
    </row>
    <row r="100" x14ac:dyDescent="0.25">
      <c r="A100" s="31" t="s">
        <v>784</v>
      </c>
      <c r="B100" s="31">
        <v>654.37</v>
      </c>
      <c r="C100" s="31">
        <v>28.053159999999998</v>
      </c>
      <c r="D100" s="31">
        <v>569.05999999999995</v>
      </c>
      <c r="E100" s="31">
        <v>2.4996</v>
      </c>
      <c r="F100" s="31">
        <f>169.41-273.15</f>
        <v>-103.73999999999998</v>
      </c>
      <c r="G100" s="31">
        <f>104-273.15</f>
        <v>-169.14999999999998</v>
      </c>
      <c r="I100">
        <v>0.50318605999999999</v>
      </c>
      <c r="J100" s="31">
        <v>2.7</v>
      </c>
      <c r="K100" s="31" t="s">
        <v>665</v>
      </c>
      <c r="L100" s="31" t="s">
        <v>785</v>
      </c>
    </row>
    <row r="101" x14ac:dyDescent="0.25">
      <c r="A101" s="31" t="s">
        <v>786</v>
      </c>
      <c r="B101" s="31">
        <v>1110.0999999999999</v>
      </c>
      <c r="C101" s="31">
        <v>62.067799999999998</v>
      </c>
      <c r="D101" s="31">
        <v>1083.0999999999999</v>
      </c>
      <c r="E101" s="31">
        <v>2.4140000000000001</v>
      </c>
      <c r="F101" s="31">
        <f>470.38-273.15</f>
        <v>197.23000000000002</v>
      </c>
      <c r="G101" s="31">
        <f>260.15-273.15</f>
        <v>-13</v>
      </c>
      <c r="I101">
        <v>0.62223729999999999</v>
      </c>
      <c r="J101" s="31">
        <v>11</v>
      </c>
      <c r="L101" s="31" t="s">
        <v>688</v>
      </c>
    </row>
    <row r="102" x14ac:dyDescent="0.25">
      <c r="A102" s="31" t="s">
        <v>787</v>
      </c>
      <c r="B102" s="31">
        <v>866.62</v>
      </c>
      <c r="C102" s="31">
        <v>44.05256</v>
      </c>
      <c r="D102" s="31">
        <v>563.64</v>
      </c>
      <c r="E102" s="31">
        <v>1.8848</v>
      </c>
      <c r="F102" s="31">
        <f>283.6-273.15</f>
        <v>10.450000000000045</v>
      </c>
      <c r="G102" s="31">
        <f>160.65-273.15</f>
        <v>-112.49999999999997</v>
      </c>
      <c r="K102" s="31" t="s">
        <v>665</v>
      </c>
      <c r="L102" s="31" t="s">
        <v>788</v>
      </c>
    </row>
    <row r="103" x14ac:dyDescent="0.25">
      <c r="A103" s="31" t="s">
        <v>789</v>
      </c>
      <c r="B103" s="31">
        <v>1168.0999999999999</v>
      </c>
      <c r="C103" s="31">
        <v>98.959159999999997</v>
      </c>
      <c r="D103" s="31">
        <v>311.52</v>
      </c>
      <c r="E103" s="31">
        <v>1.2789999999999999</v>
      </c>
      <c r="F103" s="31">
        <f>330.45-273.15</f>
        <v>57.300000000000011</v>
      </c>
      <c r="G103" s="31">
        <f>176.19-273.15</f>
        <v>-96.95999999999998</v>
      </c>
    </row>
    <row r="104" x14ac:dyDescent="0.25">
      <c r="A104" s="31" t="s">
        <v>790</v>
      </c>
      <c r="B104" s="31">
        <v>1705.6</v>
      </c>
      <c r="C104" s="31">
        <v>37.996806399999997</v>
      </c>
      <c r="D104" s="31">
        <v>197.6</v>
      </c>
      <c r="E104" s="31">
        <v>1.4583999999999999</v>
      </c>
      <c r="F104" s="31">
        <f>84.9499-273.15</f>
        <v>-188.20009999999996</v>
      </c>
      <c r="G104" s="31">
        <f>53.54-273.15</f>
        <v>-219.60999999999999</v>
      </c>
      <c r="K104" s="31" t="s">
        <v>791</v>
      </c>
    </row>
    <row r="105" x14ac:dyDescent="0.25">
      <c r="A105" s="31" t="s">
        <v>792</v>
      </c>
      <c r="B105" s="31">
        <v>765.86</v>
      </c>
      <c r="C105" s="31">
        <v>30.025980000000001</v>
      </c>
      <c r="D105" s="31">
        <v>679.76</v>
      </c>
      <c r="E105" s="31">
        <v>1.8319000000000001</v>
      </c>
      <c r="F105" s="31">
        <f>253.85-273.15</f>
        <v>-19.299999999999983</v>
      </c>
      <c r="G105" s="31">
        <f>155.15-273.15</f>
        <v>-117.99999999999997</v>
      </c>
      <c r="K105" s="31" t="s">
        <v>665</v>
      </c>
      <c r="L105" s="31" t="s">
        <v>788</v>
      </c>
    </row>
    <row r="106" x14ac:dyDescent="0.25">
      <c r="A106" s="31" t="s">
        <v>793</v>
      </c>
      <c r="B106" s="31">
        <v>1213.5999999999999</v>
      </c>
      <c r="C106" s="31">
        <v>46.025700000000001</v>
      </c>
      <c r="D106" s="31">
        <v>433.51</v>
      </c>
      <c r="E106" s="31">
        <v>2.1594000000000002</v>
      </c>
      <c r="F106" s="31">
        <f>373.71-273.15</f>
        <v>100.56</v>
      </c>
      <c r="G106" s="31">
        <f>281.55-273.15</f>
        <v>8.4000000000000341</v>
      </c>
      <c r="J106" s="31">
        <v>11.9</v>
      </c>
      <c r="L106" s="31" t="s">
        <v>794</v>
      </c>
    </row>
    <row r="107" x14ac:dyDescent="0.25">
      <c r="A107" s="69" t="s">
        <v>795</v>
      </c>
      <c r="B107" s="69" t="s">
        <v>771</v>
      </c>
      <c r="C107" s="69"/>
      <c r="D107" s="69"/>
      <c r="E107" s="69"/>
      <c r="F107" s="69"/>
      <c r="G107" s="69"/>
      <c r="H107" s="69"/>
      <c r="I107" s="69"/>
      <c r="J107" s="69"/>
    </row>
    <row r="108" x14ac:dyDescent="0.25">
      <c r="A108" s="31" t="s">
        <v>796</v>
      </c>
      <c r="B108" s="31">
        <v>1727</v>
      </c>
      <c r="C108" s="31">
        <v>284.78219999999999</v>
      </c>
      <c r="D108" s="31">
        <v>259.33999999999997</v>
      </c>
      <c r="E108" s="31">
        <v>1.2644</v>
      </c>
      <c r="F108" s="31">
        <f>582.55-273.15</f>
        <v>309.39999999999998</v>
      </c>
      <c r="G108" s="31">
        <f>501.7-273.15</f>
        <v>228.55</v>
      </c>
      <c r="K108" s="31" t="s">
        <v>665</v>
      </c>
      <c r="L108" s="31" t="s">
        <v>797</v>
      </c>
    </row>
    <row r="109" x14ac:dyDescent="0.25">
      <c r="A109" s="31" t="s">
        <v>798</v>
      </c>
      <c r="B109" s="31">
        <v>1648.1</v>
      </c>
      <c r="C109" s="31">
        <v>236.73939999999999</v>
      </c>
      <c r="D109" s="31">
        <v>168.08</v>
      </c>
      <c r="E109" s="31">
        <v>0.97994000000000003</v>
      </c>
      <c r="F109" s="31">
        <f>458-273.15</f>
        <v>184.85000000000002</v>
      </c>
      <c r="G109" s="31">
        <f>459.95-273.15</f>
        <v>186.8</v>
      </c>
      <c r="K109" s="31" t="s">
        <v>665</v>
      </c>
      <c r="L109" s="31" t="s">
        <v>797</v>
      </c>
    </row>
    <row r="110" x14ac:dyDescent="0.25">
      <c r="A110" s="31" t="s">
        <v>799</v>
      </c>
      <c r="B110" s="31">
        <v>1003.5</v>
      </c>
      <c r="C110" s="31">
        <v>32.045160000000003</v>
      </c>
      <c r="D110" s="31">
        <v>1385</v>
      </c>
      <c r="E110" s="31">
        <v>3.0849000000000002</v>
      </c>
      <c r="F110" s="31">
        <f>386.65-273.15</f>
        <v>113.5</v>
      </c>
      <c r="G110" s="31">
        <f>274.69-273.15</f>
        <v>1.5400000000000205</v>
      </c>
    </row>
    <row r="111" x14ac:dyDescent="0.25">
      <c r="A111" s="31" t="s">
        <v>800</v>
      </c>
      <c r="B111" s="31">
        <v>797.48</v>
      </c>
      <c r="C111" s="31">
        <v>36.460940000000001</v>
      </c>
      <c r="D111" s="31">
        <v>253.7</v>
      </c>
      <c r="E111" s="31">
        <v>1.7045999999999999</v>
      </c>
      <c r="F111" s="31">
        <f>188.15-273.15</f>
        <v>-84.999999999999972</v>
      </c>
      <c r="G111" s="31">
        <f>158.97-273.15</f>
        <v>-114.17999999999998</v>
      </c>
      <c r="K111" s="31" t="s">
        <v>665</v>
      </c>
      <c r="L111" s="31" t="s">
        <v>788</v>
      </c>
    </row>
    <row r="112" x14ac:dyDescent="0.25">
      <c r="A112" s="31" t="s">
        <v>801</v>
      </c>
      <c r="B112" s="31">
        <v>680.14</v>
      </c>
      <c r="C112" s="31">
        <v>27.025300000000001</v>
      </c>
      <c r="D112" s="31">
        <v>997.27</v>
      </c>
      <c r="E112" s="31">
        <v>2.6221999999999999</v>
      </c>
      <c r="F112" s="31">
        <f>298.8-273.15</f>
        <v>25.650000000000034</v>
      </c>
      <c r="G112" s="31">
        <f>259.86-273.15</f>
        <v>-13.289999999999964</v>
      </c>
    </row>
    <row r="113" x14ac:dyDescent="0.25">
      <c r="A113" s="31" t="s">
        <v>802</v>
      </c>
      <c r="B113" s="31">
        <v>966.26</v>
      </c>
      <c r="C113" s="31">
        <v>20.0063432</v>
      </c>
      <c r="D113" s="31">
        <v>384.96</v>
      </c>
      <c r="E113" s="31">
        <v>2.1431</v>
      </c>
      <c r="F113" s="31">
        <f>292.67-273.15</f>
        <v>19.520000000000039</v>
      </c>
      <c r="G113" s="31">
        <f>189.79-273.15</f>
        <v>-83.359999999999985</v>
      </c>
      <c r="K113" s="31" t="s">
        <v>665</v>
      </c>
      <c r="L113" s="31" t="s">
        <v>788</v>
      </c>
    </row>
    <row r="114" x14ac:dyDescent="0.25">
      <c r="A114" s="31" t="s">
        <v>803</v>
      </c>
      <c r="B114" s="31">
        <v>778.02</v>
      </c>
      <c r="C114" s="31">
        <v>34.080880000000001</v>
      </c>
      <c r="D114" s="31">
        <v>414.88</v>
      </c>
      <c r="E114" s="31">
        <v>2.16</v>
      </c>
      <c r="F114" s="31">
        <f>212.8-273.15</f>
        <v>-60.349999999999966</v>
      </c>
      <c r="G114" s="31">
        <f>187.68-273.15</f>
        <v>-85.46999999999997</v>
      </c>
      <c r="J114" s="31">
        <v>6</v>
      </c>
      <c r="L114" s="31" t="s">
        <v>804</v>
      </c>
    </row>
    <row r="115" x14ac:dyDescent="0.25">
      <c r="A115" s="31" t="s">
        <v>805</v>
      </c>
      <c r="B115" s="31">
        <v>1175.8</v>
      </c>
      <c r="C115" s="31">
        <v>110.111</v>
      </c>
      <c r="D115" s="31">
        <v>672.73</v>
      </c>
      <c r="E115" s="31">
        <v>2.3407</v>
      </c>
      <c r="F115" s="31">
        <f>559.2-273.15</f>
        <v>286.05000000000007</v>
      </c>
      <c r="G115" s="31">
        <f>443.7-273.15</f>
        <v>170.55</v>
      </c>
      <c r="K115" s="31" t="s">
        <v>665</v>
      </c>
      <c r="L115" s="31" t="s">
        <v>806</v>
      </c>
    </row>
    <row r="116" x14ac:dyDescent="0.25">
      <c r="A116" s="69" t="s">
        <v>807</v>
      </c>
      <c r="B116" s="69" t="s">
        <v>771</v>
      </c>
      <c r="C116" s="69"/>
      <c r="D116" s="69"/>
      <c r="E116" s="69"/>
      <c r="F116" s="69"/>
      <c r="G116" s="69"/>
      <c r="H116" s="69"/>
      <c r="I116" s="69"/>
      <c r="J116" s="69"/>
      <c r="K116" s="31" t="s">
        <v>665</v>
      </c>
      <c r="L116" s="31" t="s">
        <v>681</v>
      </c>
    </row>
    <row r="117" x14ac:dyDescent="0.25">
      <c r="A117" s="31" t="s">
        <v>808</v>
      </c>
    </row>
    <row r="118" x14ac:dyDescent="0.25">
      <c r="A118" s="69" t="s">
        <v>809</v>
      </c>
      <c r="B118" s="69" t="s">
        <v>771</v>
      </c>
      <c r="C118" s="69"/>
      <c r="D118" s="69"/>
      <c r="E118" s="69"/>
      <c r="F118" s="69"/>
      <c r="G118" s="69"/>
      <c r="H118" s="69"/>
      <c r="I118" s="69"/>
      <c r="J118" s="69"/>
      <c r="K118" s="31" t="s">
        <v>665</v>
      </c>
      <c r="L118" s="31" t="s">
        <v>681</v>
      </c>
    </row>
    <row r="119" x14ac:dyDescent="0.25">
      <c r="A119" s="31" t="s">
        <v>810</v>
      </c>
      <c r="B119" s="31">
        <v>1029.9000000000001</v>
      </c>
      <c r="C119" s="31">
        <v>108.13782</v>
      </c>
      <c r="D119" s="31">
        <v>581.45000000000005</v>
      </c>
      <c r="E119" s="31">
        <v>2.0804</v>
      </c>
      <c r="F119" s="31">
        <f>475.425-273.15</f>
        <v>202.27500000000003</v>
      </c>
      <c r="G119" s="31">
        <f>285.39-273.15</f>
        <v>12.240000000000009</v>
      </c>
      <c r="J119" s="31">
        <v>5.0999999999999996</v>
      </c>
      <c r="L119" s="31" t="s">
        <v>794</v>
      </c>
    </row>
    <row r="120" x14ac:dyDescent="0.25">
      <c r="A120" s="31" t="s">
        <v>811</v>
      </c>
      <c r="B120" s="31">
        <v>860.93</v>
      </c>
      <c r="C120" s="31">
        <v>106.16500000000001</v>
      </c>
      <c r="D120" s="31">
        <v>402.62</v>
      </c>
      <c r="E120" s="31">
        <v>1.7139</v>
      </c>
      <c r="F120" s="31">
        <f>412.22-273.15</f>
        <v>139.07000000000005</v>
      </c>
      <c r="G120" s="31">
        <f>225.3-273.15</f>
        <v>-47.849999999999966</v>
      </c>
      <c r="J120" s="31">
        <v>1</v>
      </c>
      <c r="L120" s="31" t="s">
        <v>812</v>
      </c>
    </row>
    <row r="121" x14ac:dyDescent="0.25">
      <c r="A121" s="31" t="s">
        <v>813</v>
      </c>
      <c r="B121" s="31">
        <v>1322.9</v>
      </c>
      <c r="C121" s="31">
        <v>98.056880000000007</v>
      </c>
      <c r="D121" s="31">
        <v>532.41</v>
      </c>
      <c r="E121" s="31">
        <v>1.5828</v>
      </c>
      <c r="F121" s="31">
        <f>475.15-273.15</f>
        <v>202</v>
      </c>
      <c r="G121" s="31">
        <f>326-273.15</f>
        <v>52.850000000000023</v>
      </c>
    </row>
    <row r="122" x14ac:dyDescent="0.25">
      <c r="A122" s="69" t="s">
        <v>814</v>
      </c>
      <c r="B122" s="69" t="s">
        <v>771</v>
      </c>
      <c r="C122" s="69"/>
      <c r="D122" s="69"/>
      <c r="E122" s="69"/>
      <c r="F122" s="69"/>
      <c r="G122" s="69"/>
      <c r="H122" s="69"/>
      <c r="I122" s="69"/>
      <c r="J122" s="69"/>
      <c r="K122" s="31" t="s">
        <v>665</v>
      </c>
      <c r="L122" s="31" t="s">
        <v>681</v>
      </c>
    </row>
    <row r="123" x14ac:dyDescent="0.25">
      <c r="A123" s="31" t="s">
        <v>815</v>
      </c>
    </row>
    <row r="124" x14ac:dyDescent="0.25">
      <c r="A124" s="31" t="s">
        <v>816</v>
      </c>
      <c r="B124" s="31">
        <v>13498</v>
      </c>
      <c r="C124" s="31">
        <v>200.59</v>
      </c>
      <c r="D124" s="31">
        <v>326.11</v>
      </c>
      <c r="E124" s="31">
        <v>0.13911999999999999</v>
      </c>
      <c r="F124" s="31">
        <f>629.84-273.15</f>
        <v>356.69000000000005</v>
      </c>
      <c r="G124" s="31">
        <f>234.29-273.15</f>
        <v>-38.859999999999985</v>
      </c>
    </row>
    <row r="125" x14ac:dyDescent="0.25">
      <c r="A125" s="31" t="s">
        <v>817</v>
      </c>
    </row>
    <row r="126" x14ac:dyDescent="0.25">
      <c r="A126" s="31" t="s">
        <v>818</v>
      </c>
      <c r="B126" s="31">
        <v>789.61</v>
      </c>
      <c r="C126" s="31">
        <v>32.04186</v>
      </c>
      <c r="D126" s="31">
        <v>1169.0999999999999</v>
      </c>
      <c r="E126" s="31">
        <v>2.5318000000000001</v>
      </c>
      <c r="F126" s="31">
        <f>337.85-273.15</f>
        <v>64.700000000000045</v>
      </c>
      <c r="G126" s="31">
        <f>175.47-273.15</f>
        <v>-97.679999999999978</v>
      </c>
      <c r="J126" s="31">
        <v>12.3</v>
      </c>
      <c r="L126" s="31" t="s">
        <v>812</v>
      </c>
    </row>
    <row r="127" x14ac:dyDescent="0.25">
      <c r="A127" s="31" t="s">
        <v>819</v>
      </c>
      <c r="B127" s="31">
        <v>948.73</v>
      </c>
      <c r="C127" s="31">
        <v>86.089240000000004</v>
      </c>
      <c r="D127" s="31">
        <v>406.4</v>
      </c>
      <c r="E127" s="31">
        <v>1.8794</v>
      </c>
      <c r="F127" s="31">
        <f>353.35-273.15</f>
        <v>80.200000000000045</v>
      </c>
      <c r="G127" s="31">
        <f>196.32-273.15</f>
        <v>-76.829999999999984</v>
      </c>
      <c r="J127" s="31">
        <v>9.3000000000000007</v>
      </c>
      <c r="L127" s="31" t="s">
        <v>794</v>
      </c>
    </row>
    <row r="128" x14ac:dyDescent="0.25">
      <c r="A128" s="31" t="s">
        <v>820</v>
      </c>
      <c r="B128" s="31">
        <v>796.99</v>
      </c>
      <c r="C128" s="31">
        <v>100.15900000000001</v>
      </c>
      <c r="D128" s="31">
        <v>408.18</v>
      </c>
      <c r="E128" s="31">
        <v>2.1392000000000002</v>
      </c>
      <c r="F128" s="31">
        <f>389.15-273.15</f>
        <v>116</v>
      </c>
      <c r="G128" s="31">
        <f>189.15-273.15</f>
        <v>-83.999999999999972</v>
      </c>
      <c r="J128" s="31">
        <v>6.1</v>
      </c>
      <c r="L128" s="31" t="s">
        <v>794</v>
      </c>
    </row>
    <row r="129" x14ac:dyDescent="0.25">
      <c r="A129" s="31" t="s">
        <v>821</v>
      </c>
      <c r="B129" s="31">
        <v>937.98</v>
      </c>
      <c r="C129" s="31">
        <v>100.11582</v>
      </c>
      <c r="D129" s="31">
        <v>393.29</v>
      </c>
      <c r="E129" s="31">
        <v>1.8959999999999999</v>
      </c>
      <c r="F129" s="31">
        <f>373.45-273.15</f>
        <v>100.30000000000001</v>
      </c>
      <c r="G129" s="31">
        <f>224.95-273.15</f>
        <v>-48.199999999999989</v>
      </c>
      <c r="J129" s="31">
        <v>5.5</v>
      </c>
      <c r="L129" s="31" t="s">
        <v>794</v>
      </c>
    </row>
    <row r="130" x14ac:dyDescent="0.25">
      <c r="A130" s="31" t="s">
        <v>822</v>
      </c>
      <c r="B130" s="31">
        <v>735.97</v>
      </c>
      <c r="C130" s="31">
        <v>88.148200000000003</v>
      </c>
      <c r="D130" s="31">
        <v>341.04</v>
      </c>
      <c r="E130" s="31">
        <f>2.1341</f>
        <v>2.1341000000000001</v>
      </c>
      <c r="F130" s="31">
        <f>328.2-273.15</f>
        <v>55.050000000000011</v>
      </c>
      <c r="G130" s="31">
        <f>164.55-273.15</f>
        <v>-108.59999999999997</v>
      </c>
    </row>
    <row r="131" x14ac:dyDescent="0.25">
      <c r="A131" s="69" t="s">
        <v>823</v>
      </c>
      <c r="B131" s="69" t="s">
        <v>771</v>
      </c>
      <c r="C131" s="69"/>
      <c r="D131" s="69"/>
      <c r="E131" s="69"/>
      <c r="F131" s="69"/>
      <c r="G131" s="69"/>
      <c r="H131" s="69"/>
      <c r="I131" s="69"/>
      <c r="J131" s="69"/>
      <c r="K131" s="31" t="s">
        <v>665</v>
      </c>
      <c r="L131" s="31" t="s">
        <v>681</v>
      </c>
    </row>
    <row r="132" x14ac:dyDescent="0.25">
      <c r="A132" s="69" t="s">
        <v>824</v>
      </c>
      <c r="B132" s="69" t="s">
        <v>771</v>
      </c>
      <c r="C132" s="69"/>
      <c r="D132" s="69"/>
      <c r="E132" s="69"/>
      <c r="F132" s="69"/>
      <c r="G132" s="69"/>
      <c r="H132" s="69"/>
      <c r="I132" s="69"/>
      <c r="J132" s="69"/>
      <c r="K132" s="31" t="s">
        <v>665</v>
      </c>
      <c r="L132" s="31" t="s">
        <v>681</v>
      </c>
    </row>
    <row r="133" x14ac:dyDescent="0.25">
      <c r="A133" s="31" t="s">
        <v>825</v>
      </c>
      <c r="B133" s="31">
        <v>951.24</v>
      </c>
      <c r="C133" s="31">
        <v>121.17964000000001</v>
      </c>
      <c r="D133" s="31">
        <v>410.62</v>
      </c>
      <c r="E133" s="31">
        <v>1.6908000000000001</v>
      </c>
      <c r="F133" s="31">
        <f>466.69-273.15</f>
        <v>193.54000000000002</v>
      </c>
      <c r="G133" s="31">
        <f>275.65-273.15</f>
        <v>2.5</v>
      </c>
    </row>
    <row r="134" x14ac:dyDescent="0.25">
      <c r="A134" s="31" t="s">
        <v>826</v>
      </c>
      <c r="B134" s="31">
        <v>944.48</v>
      </c>
      <c r="C134" s="31">
        <v>73.093779999999995</v>
      </c>
      <c r="D134" s="31">
        <v>641.51</v>
      </c>
      <c r="E134" s="31">
        <v>2.0202</v>
      </c>
      <c r="F134" s="31">
        <f>425.15-273.15</f>
        <v>152</v>
      </c>
      <c r="G134" s="31">
        <f>212.72-273.15</f>
        <v>-60.429999999999978</v>
      </c>
      <c r="K134" s="31" t="s">
        <v>665</v>
      </c>
      <c r="L134" s="31" t="s">
        <v>788</v>
      </c>
    </row>
    <row r="135" x14ac:dyDescent="0.25">
      <c r="A135" s="31" t="s">
        <v>827</v>
      </c>
      <c r="B135" s="31">
        <v>804.03</v>
      </c>
      <c r="C135" s="31">
        <v>74.121600000000001</v>
      </c>
      <c r="D135" s="31">
        <v>722.26</v>
      </c>
      <c r="E135" s="31">
        <v>2.3997000000000002</v>
      </c>
      <c r="F135" s="31">
        <f>391.9-273.15</f>
        <v>118.75</v>
      </c>
      <c r="G135" s="31">
        <f>183.85-273.15</f>
        <v>-89.299999999999983</v>
      </c>
    </row>
    <row r="136" x14ac:dyDescent="0.25">
      <c r="A136" s="31" t="s">
        <v>828</v>
      </c>
      <c r="B136" s="31">
        <v>656.01</v>
      </c>
      <c r="C136" s="31">
        <v>86.175359999999998</v>
      </c>
      <c r="D136" s="31">
        <v>366.11</v>
      </c>
      <c r="E136" s="31">
        <v>2.2768000000000002</v>
      </c>
      <c r="F136" s="31">
        <f>341.86-273.15</f>
        <v>68.710000000000036</v>
      </c>
      <c r="G136" s="31">
        <f>177.83-273.15</f>
        <v>-95.319999999999965</v>
      </c>
      <c r="J136" s="31">
        <v>0</v>
      </c>
      <c r="L136" s="31" t="s">
        <v>812</v>
      </c>
    </row>
    <row r="137" x14ac:dyDescent="0.25">
      <c r="A137" s="31" t="s">
        <v>829</v>
      </c>
      <c r="B137" s="31">
        <v>1026.0999999999999</v>
      </c>
      <c r="C137" s="31">
        <v>99.131060000000005</v>
      </c>
      <c r="D137" s="31">
        <v>553.30999999999995</v>
      </c>
      <c r="E137" s="31">
        <v>1.6180000000000001</v>
      </c>
      <c r="F137" s="31">
        <f>477.42-273.15</f>
        <v>204.27000000000004</v>
      </c>
      <c r="G137" s="31">
        <f>249.15-273.15</f>
        <v>-23.999999999999972</v>
      </c>
      <c r="J137" s="31">
        <v>12.3</v>
      </c>
      <c r="K137" s="31" t="s">
        <v>665</v>
      </c>
      <c r="L137" s="31" t="s">
        <v>830</v>
      </c>
    </row>
    <row r="138" x14ac:dyDescent="0.25">
      <c r="A138" s="69" t="s">
        <v>831</v>
      </c>
      <c r="B138" s="69" t="s">
        <v>771</v>
      </c>
      <c r="C138" s="69"/>
      <c r="D138" s="69"/>
      <c r="E138" s="69"/>
      <c r="F138" s="69"/>
      <c r="G138" s="69"/>
      <c r="H138" s="69"/>
      <c r="I138" s="69"/>
      <c r="J138" s="69"/>
    </row>
    <row r="139" x14ac:dyDescent="0.25">
      <c r="A139" s="31" t="s">
        <v>832</v>
      </c>
      <c r="B139" s="31">
        <v>993.9</v>
      </c>
      <c r="C139" s="31">
        <v>128.17052000000001</v>
      </c>
      <c r="D139" s="31">
        <v>397.54</v>
      </c>
      <c r="E139" s="31">
        <v>1.6870000000000001</v>
      </c>
      <c r="F139" s="31">
        <f>491.143-273.15</f>
        <v>217.99299999999999</v>
      </c>
      <c r="G139" s="31">
        <f>353.434-273.15</f>
        <v>80.284000000000049</v>
      </c>
      <c r="K139" s="31" t="s">
        <v>665</v>
      </c>
      <c r="L139" s="31" t="s">
        <v>806</v>
      </c>
    </row>
    <row r="140" x14ac:dyDescent="0.25">
      <c r="A140" s="69" t="s">
        <v>833</v>
      </c>
      <c r="B140" s="69" t="s">
        <v>771</v>
      </c>
      <c r="C140" s="69"/>
      <c r="D140" s="69"/>
      <c r="E140" s="69"/>
      <c r="F140" s="69"/>
      <c r="G140" s="69"/>
      <c r="H140" s="69"/>
      <c r="I140" s="69"/>
      <c r="J140" s="69"/>
      <c r="K140" s="31" t="s">
        <v>665</v>
      </c>
      <c r="L140" s="31" t="s">
        <v>681</v>
      </c>
    </row>
    <row r="141" x14ac:dyDescent="0.25">
      <c r="A141" s="31" t="s">
        <v>834</v>
      </c>
    </row>
    <row r="142" x14ac:dyDescent="0.25">
      <c r="A142" s="69" t="s">
        <v>835</v>
      </c>
      <c r="B142" s="69" t="s">
        <v>771</v>
      </c>
      <c r="C142" s="69"/>
      <c r="D142" s="69"/>
      <c r="E142" s="69"/>
      <c r="F142" s="69"/>
      <c r="G142" s="69"/>
      <c r="H142" s="69"/>
      <c r="I142" s="69"/>
      <c r="J142" s="69"/>
      <c r="K142" s="31" t="s">
        <v>665</v>
      </c>
      <c r="L142" s="31" t="s">
        <v>681</v>
      </c>
    </row>
    <row r="143" x14ac:dyDescent="0.25">
      <c r="A143" s="31" t="s">
        <v>836</v>
      </c>
    </row>
    <row r="144" x14ac:dyDescent="0.25">
      <c r="A144" s="31" t="s">
        <v>837</v>
      </c>
      <c r="B144" s="31" t="s">
        <v>838</v>
      </c>
      <c r="C144" s="31">
        <v>63.012839999999997</v>
      </c>
      <c r="D144" s="31">
        <v>620.95000000000005</v>
      </c>
      <c r="E144" s="31">
        <v>1.7464999999999999</v>
      </c>
      <c r="F144" s="31">
        <f>356.15-273.15</f>
        <v>83</v>
      </c>
      <c r="G144" s="31">
        <f>231.55-273.15</f>
        <v>-41.599999999999966</v>
      </c>
    </row>
    <row r="145" x14ac:dyDescent="0.25">
      <c r="A145" s="31" t="s">
        <v>839</v>
      </c>
      <c r="B145" s="31">
        <v>1198.5</v>
      </c>
      <c r="C145" s="31">
        <v>123.10939999999999</v>
      </c>
      <c r="D145" s="31">
        <v>446.75</v>
      </c>
      <c r="E145" s="31">
        <v>1.4726999999999999</v>
      </c>
      <c r="F145" s="31">
        <f>483.95-273.15</f>
        <v>210.8</v>
      </c>
      <c r="G145" s="31">
        <f>278.91-273.15</f>
        <v>5.7600000000000477</v>
      </c>
      <c r="J145" s="31">
        <v>8.6</v>
      </c>
      <c r="L145" s="31" t="s">
        <v>812</v>
      </c>
    </row>
    <row r="146" x14ac:dyDescent="0.25">
      <c r="A146" s="69" t="s">
        <v>840</v>
      </c>
      <c r="B146" s="69" t="s">
        <v>771</v>
      </c>
      <c r="C146" s="69"/>
      <c r="D146" s="69"/>
      <c r="E146" s="69"/>
      <c r="F146" s="69"/>
      <c r="G146" s="69"/>
      <c r="H146" s="69"/>
      <c r="I146" s="69"/>
      <c r="J146" s="69"/>
      <c r="K146" s="31" t="s">
        <v>665</v>
      </c>
      <c r="L146" s="31" t="s">
        <v>681</v>
      </c>
    </row>
    <row r="147" x14ac:dyDescent="0.25">
      <c r="A147" s="31" t="s">
        <v>841</v>
      </c>
      <c r="B147" s="31">
        <v>1128.7</v>
      </c>
      <c r="C147" s="31">
        <v>61.040019999999998</v>
      </c>
      <c r="D147" s="31">
        <v>626.6</v>
      </c>
      <c r="E147" s="31">
        <v>1.7464</v>
      </c>
      <c r="F147" s="31">
        <f>374.35-273.15</f>
        <v>101.20000000000005</v>
      </c>
      <c r="G147" s="31">
        <f>244.6-273.15</f>
        <v>-28.549999999999983</v>
      </c>
      <c r="J147" s="31">
        <v>18.8</v>
      </c>
      <c r="L147" s="31" t="s">
        <v>794</v>
      </c>
    </row>
    <row r="148" x14ac:dyDescent="0.25">
      <c r="A148" s="31" t="s">
        <v>842</v>
      </c>
      <c r="B148" s="31">
        <v>949.04</v>
      </c>
      <c r="C148" s="31">
        <v>220.35046</v>
      </c>
      <c r="D148" s="31">
        <v>479.13</v>
      </c>
      <c r="E148" s="31">
        <v>2.13</v>
      </c>
      <c r="F148" s="31">
        <f>590.76-273.15</f>
        <v>317.61</v>
      </c>
      <c r="K148" s="31" t="s">
        <v>665</v>
      </c>
      <c r="L148" s="31" t="s">
        <v>843</v>
      </c>
    </row>
    <row r="149" x14ac:dyDescent="0.25">
      <c r="A149" s="69" t="s">
        <v>844</v>
      </c>
      <c r="B149" s="69" t="s">
        <v>771</v>
      </c>
      <c r="C149" s="69"/>
      <c r="D149" s="69"/>
      <c r="E149" s="69"/>
      <c r="F149" s="69"/>
      <c r="G149" s="69"/>
      <c r="H149" s="69"/>
      <c r="I149" s="69"/>
      <c r="J149" s="69"/>
    </row>
    <row r="150" x14ac:dyDescent="0.25">
      <c r="A150" s="31" t="s">
        <v>845</v>
      </c>
      <c r="B150" s="31">
        <v>1035.2</v>
      </c>
      <c r="C150" s="31">
        <v>108.13782</v>
      </c>
      <c r="D150" s="31">
        <v>560.41</v>
      </c>
      <c r="E150" s="31">
        <v>2.1543999999999999</v>
      </c>
      <c r="F150" s="31">
        <f>464.154-273.15</f>
        <v>191.00400000000002</v>
      </c>
      <c r="G150" s="31">
        <f>304.19-273.15</f>
        <v>31.04000000000002</v>
      </c>
      <c r="K150" s="31" t="s">
        <v>665</v>
      </c>
    </row>
    <row r="151" x14ac:dyDescent="0.25">
      <c r="A151" s="31" t="s">
        <v>846</v>
      </c>
      <c r="B151" s="31">
        <v>994.46</v>
      </c>
      <c r="C151" s="31">
        <v>107.15306</v>
      </c>
      <c r="D151" s="31">
        <v>537.33000000000004</v>
      </c>
      <c r="E151" s="31">
        <v>2.0417999999999998</v>
      </c>
      <c r="F151" s="31">
        <f>473.49-273.15</f>
        <v>200.34000000000003</v>
      </c>
      <c r="G151" s="31">
        <f>256.8-273.15</f>
        <v>-16.349999999999966</v>
      </c>
      <c r="J151" s="31">
        <v>4.2</v>
      </c>
      <c r="L151" s="31" t="s">
        <v>847</v>
      </c>
    </row>
    <row r="152" x14ac:dyDescent="0.25">
      <c r="A152" s="31" t="s">
        <v>848</v>
      </c>
      <c r="B152" s="31">
        <v>875.38</v>
      </c>
      <c r="C152" s="31">
        <v>106.16500000000001</v>
      </c>
      <c r="D152" s="31">
        <v>409.87</v>
      </c>
      <c r="E152" s="31">
        <v>1.768</v>
      </c>
      <c r="F152" s="31">
        <f>417.44-273.15</f>
        <v>144.29000000000002</v>
      </c>
      <c r="G152" s="31">
        <f>247.98-273.15</f>
        <v>-25.169999999999987</v>
      </c>
      <c r="J152" s="31">
        <v>1</v>
      </c>
      <c r="L152" s="31" t="s">
        <v>849</v>
      </c>
    </row>
    <row r="153" x14ac:dyDescent="0.25">
      <c r="A153" s="31" t="s">
        <v>850</v>
      </c>
      <c r="B153" s="31">
        <v>1601.3</v>
      </c>
      <c r="C153" s="31">
        <v>47.998199999999997</v>
      </c>
      <c r="D153" s="31">
        <v>339.87</v>
      </c>
      <c r="E153" s="31">
        <v>1.7782</v>
      </c>
      <c r="F153" s="31">
        <f>161.85-273.15</f>
        <v>-111.29999999999998</v>
      </c>
      <c r="G153" s="31">
        <f>80.15-273.15</f>
        <v>-192.99999999999997</v>
      </c>
      <c r="K153" s="31" t="s">
        <v>665</v>
      </c>
      <c r="L153" s="31" t="s">
        <v>806</v>
      </c>
    </row>
    <row r="154" x14ac:dyDescent="0.25">
      <c r="A154" s="31" t="s">
        <v>851</v>
      </c>
      <c r="B154" s="31">
        <v>1021.8</v>
      </c>
      <c r="C154" s="31">
        <v>108.13782</v>
      </c>
      <c r="D154" s="31">
        <v>607.66999999999996</v>
      </c>
      <c r="E154" s="31">
        <v>2.1029</v>
      </c>
      <c r="F154" s="31">
        <f>475.133-273.15</f>
        <v>201.983</v>
      </c>
      <c r="G154" s="31">
        <f>307.93-273.15</f>
        <v>34.78000000000003</v>
      </c>
      <c r="K154" s="31" t="s">
        <v>665</v>
      </c>
      <c r="L154" s="31" t="s">
        <v>806</v>
      </c>
    </row>
    <row r="155" x14ac:dyDescent="0.25">
      <c r="A155" s="31" t="s">
        <v>852</v>
      </c>
      <c r="B155" s="31">
        <v>1058.2</v>
      </c>
      <c r="C155" s="31">
        <v>108.14112</v>
      </c>
      <c r="D155" s="31">
        <v>612.65</v>
      </c>
      <c r="E155" s="31">
        <v>2.4584999999999999</v>
      </c>
      <c r="F155" s="31">
        <f>540-273.15</f>
        <v>266.85000000000002</v>
      </c>
      <c r="G155" s="31">
        <f>413-273.15</f>
        <v>139.85000000000002</v>
      </c>
      <c r="K155" s="31" t="s">
        <v>665</v>
      </c>
      <c r="L155" s="31" t="s">
        <v>806</v>
      </c>
    </row>
    <row r="156" x14ac:dyDescent="0.25">
      <c r="A156" s="69" t="s">
        <v>853</v>
      </c>
      <c r="B156" s="69" t="s">
        <v>771</v>
      </c>
      <c r="C156" s="69"/>
      <c r="D156" s="69"/>
      <c r="E156" s="69"/>
      <c r="F156" s="69"/>
      <c r="G156" s="69"/>
      <c r="H156" s="69"/>
      <c r="I156" s="69"/>
      <c r="J156" s="69"/>
    </row>
    <row r="157" x14ac:dyDescent="0.25">
      <c r="A157" s="31" t="s">
        <v>854</v>
      </c>
      <c r="B157" s="31">
        <v>1212.3</v>
      </c>
      <c r="C157" s="31">
        <v>76.051349999999999</v>
      </c>
      <c r="D157" s="31">
        <v>608.13</v>
      </c>
      <c r="E157" s="31">
        <v>2.0489999999999999</v>
      </c>
      <c r="F157" s="31">
        <f>383-273.15</f>
        <v>109.85000000000002</v>
      </c>
      <c r="G157" s="31">
        <f>272.95-273.15</f>
        <v>-0.19999999999998863</v>
      </c>
    </row>
    <row r="158" x14ac:dyDescent="0.25">
      <c r="A158" s="69" t="s">
        <v>855</v>
      </c>
      <c r="B158" s="69" t="s">
        <v>771</v>
      </c>
      <c r="C158" s="69"/>
      <c r="D158" s="69"/>
      <c r="E158" s="69"/>
      <c r="F158" s="69"/>
      <c r="G158" s="69"/>
      <c r="H158" s="69"/>
      <c r="I158" s="69"/>
      <c r="J158" s="69"/>
    </row>
    <row r="159" x14ac:dyDescent="0.25">
      <c r="A159" s="31" t="s">
        <v>856</v>
      </c>
      <c r="B159" s="31">
        <v>1067</v>
      </c>
      <c r="C159" s="31">
        <v>178.22900000000001</v>
      </c>
      <c r="D159" s="31">
        <v>396.03</v>
      </c>
      <c r="E159" s="31">
        <v>1.6745000000000001</v>
      </c>
      <c r="F159" s="31">
        <f>612.7-273.15</f>
        <v>339.55000000000007</v>
      </c>
      <c r="G159" s="31">
        <f>372.38-273.15</f>
        <v>99.230000000000018</v>
      </c>
      <c r="K159" s="31" t="s">
        <v>665</v>
      </c>
      <c r="L159" s="31" t="s">
        <v>806</v>
      </c>
    </row>
    <row r="160" x14ac:dyDescent="0.25">
      <c r="A160" s="31" t="s">
        <v>857</v>
      </c>
      <c r="B160" s="31">
        <v>1058.2</v>
      </c>
      <c r="C160" s="31">
        <v>94.111239999999995</v>
      </c>
      <c r="D160" s="31">
        <v>613.48</v>
      </c>
      <c r="E160" s="31">
        <v>2.1408</v>
      </c>
      <c r="F160" s="31">
        <f>454.99-273.15</f>
        <v>181.84000000000003</v>
      </c>
      <c r="G160" s="31">
        <f>314.06-273.15</f>
        <v>40.910000000000025</v>
      </c>
      <c r="J160" s="31">
        <v>5.9</v>
      </c>
      <c r="K160" s="31" t="s">
        <v>791</v>
      </c>
      <c r="L160" s="31" t="s">
        <v>858</v>
      </c>
    </row>
    <row r="161" x14ac:dyDescent="0.25">
      <c r="A161" s="69" t="s">
        <v>859</v>
      </c>
      <c r="B161" s="69" t="s">
        <v>771</v>
      </c>
      <c r="C161" s="69"/>
      <c r="D161" s="69"/>
      <c r="E161" s="69"/>
      <c r="F161" s="69"/>
      <c r="G161" s="69"/>
      <c r="H161" s="69"/>
      <c r="I161" s="69"/>
      <c r="J161" s="69"/>
    </row>
    <row r="162" x14ac:dyDescent="0.25">
      <c r="A162" s="31" t="s">
        <v>860</v>
      </c>
      <c r="B162" s="31">
        <v>1362.9</v>
      </c>
      <c r="C162" s="31">
        <v>98.9161</v>
      </c>
      <c r="D162" s="31">
        <v>237.87</v>
      </c>
      <c r="E162" s="31">
        <v>1.0657000000000001</v>
      </c>
      <c r="F162" s="31">
        <f>280.71-273.15</f>
        <v>7.5600000000000023</v>
      </c>
      <c r="G162" s="31">
        <f>145.37-273.15</f>
        <v>-127.77999999999997</v>
      </c>
      <c r="K162" s="31" t="s">
        <v>665</v>
      </c>
      <c r="L162" s="31" t="s">
        <v>861</v>
      </c>
    </row>
    <row r="163" x14ac:dyDescent="0.25">
      <c r="A163" s="66" t="s">
        <v>862</v>
      </c>
      <c r="B163" s="31">
        <v>1742.9</v>
      </c>
      <c r="C163" s="31">
        <v>30.973759999999999</v>
      </c>
      <c r="D163" s="31">
        <v>1788.8</v>
      </c>
      <c r="E163" s="31">
        <v>0.78566999999999998</v>
      </c>
      <c r="F163" s="31">
        <f>553.45-273.15</f>
        <v>280.30000000000007</v>
      </c>
      <c r="G163" s="31">
        <f>317.3-273.15</f>
        <v>44.150000000000034</v>
      </c>
      <c r="K163" s="31" t="s">
        <v>665</v>
      </c>
      <c r="L163" s="31" t="s">
        <v>863</v>
      </c>
    </row>
    <row r="164" x14ac:dyDescent="0.25">
      <c r="A164" s="31" t="s">
        <v>864</v>
      </c>
      <c r="B164" s="31">
        <v>1217.8</v>
      </c>
      <c r="C164" s="31">
        <v>148.11555999999999</v>
      </c>
      <c r="D164" s="31">
        <v>421.95</v>
      </c>
      <c r="E164" s="31">
        <v>1.6704000000000001</v>
      </c>
      <c r="F164" s="31">
        <f>557.65-273.15</f>
        <v>284.5</v>
      </c>
      <c r="G164" s="31">
        <f>404.26-273.15</f>
        <v>131.11000000000001</v>
      </c>
      <c r="K164" s="31" t="s">
        <v>665</v>
      </c>
      <c r="L164" s="31" t="s">
        <v>806</v>
      </c>
    </row>
    <row r="165" x14ac:dyDescent="0.25">
      <c r="A165" s="69" t="s">
        <v>865</v>
      </c>
      <c r="B165" s="69"/>
      <c r="C165" s="69"/>
      <c r="D165" s="69"/>
      <c r="E165" s="69"/>
      <c r="F165" s="69"/>
      <c r="G165" s="69"/>
      <c r="H165" s="69"/>
      <c r="I165" s="69"/>
      <c r="J165" s="69"/>
    </row>
    <row r="166" x14ac:dyDescent="0.25">
      <c r="A166" s="69" t="s">
        <v>866</v>
      </c>
      <c r="B166" s="69"/>
      <c r="C166" s="69"/>
      <c r="D166" s="69"/>
      <c r="E166" s="69"/>
      <c r="F166" s="69"/>
      <c r="G166" s="69"/>
      <c r="H166" s="69"/>
      <c r="I166" s="69"/>
      <c r="J166" s="69"/>
    </row>
    <row r="167" x14ac:dyDescent="0.25">
      <c r="A167" s="31" t="s">
        <v>867</v>
      </c>
    </row>
    <row r="168" x14ac:dyDescent="0.25">
      <c r="A168" s="69" t="s">
        <v>868</v>
      </c>
      <c r="B168" s="69"/>
      <c r="C168" s="69"/>
      <c r="D168" s="69"/>
      <c r="E168" s="69"/>
      <c r="F168" s="69"/>
      <c r="G168" s="69"/>
      <c r="H168" s="69"/>
      <c r="I168" s="69"/>
      <c r="J168" s="69"/>
    </row>
    <row r="169" x14ac:dyDescent="0.25">
      <c r="A169" s="31" t="s">
        <v>869</v>
      </c>
      <c r="B169" s="31">
        <v>944.97</v>
      </c>
      <c r="C169" s="31">
        <v>56.063299999999998</v>
      </c>
      <c r="D169" s="31">
        <v>763.17</v>
      </c>
      <c r="E169" s="31">
        <v>2.5939000000000001</v>
      </c>
      <c r="F169" s="31">
        <f>386.65-273.15</f>
        <v>113.5</v>
      </c>
      <c r="G169" s="31">
        <f>221.35-273.15</f>
        <v>-51.799999999999983</v>
      </c>
    </row>
    <row r="170" x14ac:dyDescent="0.25">
      <c r="A170" s="31" t="s">
        <v>870</v>
      </c>
      <c r="B170" s="31">
        <v>791.22</v>
      </c>
      <c r="C170" s="31">
        <v>58.079140000000002</v>
      </c>
      <c r="D170" s="31">
        <v>520.72</v>
      </c>
      <c r="E170" s="31">
        <v>2.2736000000000001</v>
      </c>
      <c r="F170" s="31">
        <f>322.15-273.15</f>
        <v>49</v>
      </c>
      <c r="G170" s="31">
        <f>165-273.15</f>
        <v>-108.14999999999998</v>
      </c>
    </row>
    <row r="171" x14ac:dyDescent="0.25">
      <c r="A171" s="31" t="s">
        <v>871</v>
      </c>
      <c r="B171" s="31">
        <v>505.52</v>
      </c>
      <c r="C171" s="31">
        <v>42.079740000000001</v>
      </c>
      <c r="D171" s="31">
        <v>338.4</v>
      </c>
      <c r="E171" s="31">
        <v>2.5808</v>
      </c>
      <c r="F171" s="31">
        <f>225.45-273.15</f>
        <v>-47.699999999999989</v>
      </c>
      <c r="G171" s="31">
        <f>87.9-273.15</f>
        <v>-185.24999999999997</v>
      </c>
    </row>
    <row r="172" x14ac:dyDescent="0.25">
      <c r="A172" s="31" t="s">
        <v>872</v>
      </c>
      <c r="B172" s="31">
        <v>823.26</v>
      </c>
      <c r="C172" s="31">
        <v>58.079140000000002</v>
      </c>
      <c r="D172" s="31">
        <v>477.89</v>
      </c>
      <c r="E172" s="31">
        <v>2.0731000000000002</v>
      </c>
      <c r="F172" s="31">
        <f>207.65-273.15</f>
        <v>-65.499999999999972</v>
      </c>
      <c r="G172" s="31">
        <f>161.22-273.15</f>
        <v>-111.92999999999998</v>
      </c>
    </row>
    <row r="173" x14ac:dyDescent="0.25">
      <c r="A173" s="31" t="s">
        <v>873</v>
      </c>
      <c r="B173" s="31">
        <v>977.98</v>
      </c>
      <c r="C173" s="31">
        <v>79.099900000000005</v>
      </c>
      <c r="D173" s="31">
        <v>508.44</v>
      </c>
      <c r="E173" s="31">
        <v>1.677</v>
      </c>
      <c r="F173" s="31">
        <f>388.41-273.15</f>
        <v>115.26000000000005</v>
      </c>
      <c r="G173" s="31">
        <f>231.53-273.15</f>
        <v>-41.619999999999976</v>
      </c>
      <c r="J173" s="31">
        <v>8.8000000000000007</v>
      </c>
      <c r="L173" s="31" t="s">
        <v>794</v>
      </c>
    </row>
    <row r="174" x14ac:dyDescent="0.25">
      <c r="A174" s="31" t="s">
        <v>874</v>
      </c>
      <c r="B174" s="31">
        <v>802.3</v>
      </c>
      <c r="C174" s="31">
        <v>74.121600000000001</v>
      </c>
      <c r="D174" s="31">
        <v>679.51</v>
      </c>
      <c r="E174" s="31">
        <v>2.6642999999999999</v>
      </c>
      <c r="F174" s="31">
        <f>372.9-273.15</f>
        <v>99.75</v>
      </c>
      <c r="G174" s="31">
        <f>158.45-273.15</f>
        <v>-114.69999999999999</v>
      </c>
    </row>
    <row r="175" x14ac:dyDescent="0.25">
      <c r="A175" s="69" t="s">
        <v>875</v>
      </c>
      <c r="B175" s="69"/>
      <c r="C175" s="69"/>
      <c r="D175" s="69"/>
      <c r="E175" s="69"/>
      <c r="F175" s="69"/>
      <c r="G175" s="69"/>
      <c r="H175" s="69"/>
      <c r="I175" s="69"/>
      <c r="J175" s="69"/>
    </row>
    <row r="176" x14ac:dyDescent="0.25">
      <c r="A176" s="31" t="s">
        <v>876</v>
      </c>
      <c r="B176" s="31">
        <v>9296.1</v>
      </c>
      <c r="C176" s="31">
        <v>107.8682</v>
      </c>
      <c r="D176" s="31">
        <v>2655</v>
      </c>
      <c r="E176" s="31">
        <v>0.28315000000000001</v>
      </c>
      <c r="F176" s="31">
        <f>2485-273.15</f>
        <v>2211.85</v>
      </c>
      <c r="G176" s="31">
        <f>1234-273.15</f>
        <v>960.85</v>
      </c>
      <c r="K176" s="31" t="s">
        <v>665</v>
      </c>
      <c r="L176" s="31" t="s">
        <v>806</v>
      </c>
    </row>
    <row r="177" x14ac:dyDescent="0.25">
      <c r="A177" s="31" t="s">
        <v>877</v>
      </c>
    </row>
    <row r="178" x14ac:dyDescent="0.25">
      <c r="A178" s="31" t="s">
        <v>878</v>
      </c>
      <c r="B178" s="31">
        <v>1810.3</v>
      </c>
      <c r="C178" s="31">
        <v>68.995267999999996</v>
      </c>
      <c r="E178" s="31" t="s">
        <v>879</v>
      </c>
      <c r="F178" s="31">
        <f>593.15-273.15</f>
        <v>320</v>
      </c>
      <c r="G178" s="31">
        <f>557.15-273.15</f>
        <v>284</v>
      </c>
      <c r="K178" s="31" t="s">
        <v>665</v>
      </c>
      <c r="L178" s="31" t="s">
        <v>880</v>
      </c>
    </row>
    <row r="179" x14ac:dyDescent="0.25">
      <c r="A179" s="31" t="s">
        <v>881</v>
      </c>
      <c r="B179" s="31">
        <v>901.37</v>
      </c>
      <c r="C179" s="31">
        <v>104.149</v>
      </c>
      <c r="D179" s="31">
        <v>426.49</v>
      </c>
      <c r="E179" s="31">
        <v>1.756</v>
      </c>
      <c r="F179" s="31">
        <f>418.31-273.15</f>
        <v>145.16000000000003</v>
      </c>
      <c r="G179" s="31">
        <f>242.54-273.15</f>
        <v>-30.609999999999985</v>
      </c>
      <c r="J179" s="31">
        <v>1</v>
      </c>
      <c r="L179" s="31" t="s">
        <v>794</v>
      </c>
    </row>
    <row r="180" x14ac:dyDescent="0.25">
      <c r="A180" s="31" t="s">
        <v>882</v>
      </c>
      <c r="B180" s="31">
        <v>1828.6</v>
      </c>
      <c r="C180" s="31">
        <v>98.078479999999999</v>
      </c>
      <c r="D180" s="31">
        <v>592.97</v>
      </c>
      <c r="E180" s="31">
        <v>1.4181999999999999</v>
      </c>
      <c r="F180" s="31">
        <f>610-273.15</f>
        <v>336.85</v>
      </c>
      <c r="G180" s="31">
        <f>283.46-273.15</f>
        <v>10.310000000000002</v>
      </c>
      <c r="K180" s="31" t="s">
        <v>665</v>
      </c>
      <c r="L180" s="31" t="s">
        <v>883</v>
      </c>
    </row>
    <row r="181" x14ac:dyDescent="0.25">
      <c r="A181" s="69" t="s">
        <v>884</v>
      </c>
      <c r="B181" s="69"/>
      <c r="C181" s="69"/>
      <c r="D181" s="69"/>
      <c r="E181" s="69"/>
      <c r="F181" s="69"/>
      <c r="G181" s="69"/>
      <c r="H181" s="69"/>
      <c r="I181" s="69"/>
      <c r="J181" s="69"/>
    </row>
    <row r="182" x14ac:dyDescent="0.25">
      <c r="A182" s="31" t="s">
        <v>885</v>
      </c>
      <c r="B182" s="31">
        <v>782.43</v>
      </c>
      <c r="C182" s="31">
        <v>74.121600000000001</v>
      </c>
      <c r="D182" s="31">
        <v>627.91</v>
      </c>
      <c r="E182" s="31">
        <v>2.9702999999999999</v>
      </c>
      <c r="F182" s="31">
        <f>355.57-273.15</f>
        <v>82.420000000000016</v>
      </c>
      <c r="G182" s="31">
        <f>298.97-273.15</f>
        <v>25.82000000000005</v>
      </c>
      <c r="K182" s="31" t="s">
        <v>665</v>
      </c>
      <c r="L182" s="31" t="s">
        <v>886</v>
      </c>
    </row>
    <row r="183" x14ac:dyDescent="0.25">
      <c r="A183" s="69" t="s">
        <v>887</v>
      </c>
      <c r="B183" s="69"/>
      <c r="C183" s="69"/>
      <c r="D183" s="69"/>
      <c r="E183" s="69"/>
      <c r="F183" s="69"/>
      <c r="G183" s="69"/>
      <c r="H183" s="69"/>
      <c r="I183" s="69"/>
      <c r="J183" s="69"/>
    </row>
    <row r="184" x14ac:dyDescent="0.25">
      <c r="A184" s="31" t="s">
        <v>888</v>
      </c>
      <c r="B184" s="31">
        <v>1613.1</v>
      </c>
      <c r="C184" s="31">
        <v>165.83340000000001</v>
      </c>
      <c r="D184" s="31">
        <v>237.63</v>
      </c>
      <c r="E184" s="31">
        <v>0.85016000000000003</v>
      </c>
      <c r="F184" s="31">
        <f>394.4-273.15</f>
        <v>121.25</v>
      </c>
      <c r="G184" s="31">
        <f>250.8-273.15</f>
        <v>-22.349999999999966</v>
      </c>
      <c r="J184" s="31">
        <v>6.5</v>
      </c>
      <c r="L184" s="31" t="s">
        <v>794</v>
      </c>
    </row>
    <row r="185" x14ac:dyDescent="0.25">
      <c r="A185" s="31" t="s">
        <v>889</v>
      </c>
      <c r="B185" s="31">
        <v>914.32</v>
      </c>
      <c r="C185" s="31">
        <v>100.01501279999999</v>
      </c>
      <c r="D185" s="31">
        <v>61.850999999999999</v>
      </c>
      <c r="E185" s="31">
        <v>1.0596000000000001</v>
      </c>
      <c r="F185" s="31">
        <f>197.51-273.15</f>
        <v>-75.639999999999986</v>
      </c>
      <c r="G185" s="31">
        <f>142-273.15</f>
        <v>-131.14999999999998</v>
      </c>
      <c r="K185" s="31" t="s">
        <v>665</v>
      </c>
      <c r="L185" s="31" t="s">
        <v>890</v>
      </c>
    </row>
    <row r="186" x14ac:dyDescent="0.25">
      <c r="A186" s="31" t="s">
        <v>891</v>
      </c>
      <c r="B186" s="31">
        <v>839.84</v>
      </c>
      <c r="C186" s="31">
        <v>76.120859999999993</v>
      </c>
      <c r="D186" s="31">
        <v>783.45</v>
      </c>
      <c r="E186" s="31">
        <v>1.9934000000000001</v>
      </c>
      <c r="F186" s="31">
        <f>536-273.15</f>
        <v>262.85000000000002</v>
      </c>
      <c r="G186" s="31">
        <f>454.15-273.15</f>
        <v>181</v>
      </c>
      <c r="K186" s="31" t="s">
        <v>665</v>
      </c>
      <c r="L186" s="31" t="s">
        <v>806</v>
      </c>
    </row>
    <row r="187" x14ac:dyDescent="0.25">
      <c r="A187" s="69" t="s">
        <v>892</v>
      </c>
      <c r="B187" s="69"/>
      <c r="C187" s="69"/>
      <c r="D187" s="69"/>
      <c r="E187" s="69"/>
      <c r="F187" s="69"/>
      <c r="G187" s="69"/>
      <c r="H187" s="69"/>
      <c r="I187" s="69"/>
      <c r="J187" s="69"/>
    </row>
    <row r="188" x14ac:dyDescent="0.25">
      <c r="A188" s="31" t="s">
        <v>893</v>
      </c>
      <c r="B188" s="31">
        <v>1716.5</v>
      </c>
      <c r="C188" s="31">
        <v>189.679</v>
      </c>
      <c r="D188" s="31">
        <v>207.58</v>
      </c>
      <c r="E188" s="31">
        <v>0.76554</v>
      </c>
      <c r="F188" s="31">
        <f>409-273.15</f>
        <v>135.85000000000002</v>
      </c>
      <c r="G188" s="31">
        <f>249.05-273.15</f>
        <v>-24.099999999999966</v>
      </c>
    </row>
    <row r="189" x14ac:dyDescent="0.25">
      <c r="A189" s="31" t="s">
        <v>894</v>
      </c>
      <c r="B189" s="31">
        <v>863.91</v>
      </c>
      <c r="C189" s="31">
        <v>92.138419999999996</v>
      </c>
      <c r="D189" s="31">
        <v>411.69</v>
      </c>
      <c r="E189" s="31">
        <v>1.6987000000000001</v>
      </c>
      <c r="F189" s="31">
        <f>383.78-273.15</f>
        <v>110.63</v>
      </c>
      <c r="G189" s="31">
        <f>178.18-273.15</f>
        <v>-94.96999999999997</v>
      </c>
      <c r="J189" s="31">
        <v>1.4</v>
      </c>
      <c r="L189" s="31" t="s">
        <v>812</v>
      </c>
    </row>
    <row r="190" x14ac:dyDescent="0.25">
      <c r="A190" s="69" t="s">
        <v>895</v>
      </c>
      <c r="B190" s="69"/>
      <c r="C190" s="69"/>
      <c r="D190" s="69"/>
      <c r="E190" s="69"/>
      <c r="F190" s="69"/>
      <c r="G190" s="69"/>
      <c r="H190" s="69"/>
      <c r="I190" s="69"/>
      <c r="J190" s="69"/>
    </row>
    <row r="191" x14ac:dyDescent="0.25">
      <c r="A191" s="69" t="s">
        <v>896</v>
      </c>
      <c r="B191" s="69"/>
      <c r="C191" s="69"/>
      <c r="D191" s="69"/>
      <c r="E191" s="69"/>
      <c r="F191" s="69"/>
      <c r="G191" s="69"/>
      <c r="H191" s="69"/>
      <c r="I191" s="69"/>
      <c r="J191" s="69"/>
    </row>
    <row r="192" x14ac:dyDescent="0.25">
      <c r="A192" s="69" t="s">
        <v>897</v>
      </c>
      <c r="B192" s="69"/>
      <c r="C192" s="69"/>
      <c r="D192" s="69"/>
      <c r="E192" s="69"/>
      <c r="F192" s="69"/>
      <c r="G192" s="69"/>
      <c r="H192" s="69"/>
      <c r="I192" s="69"/>
      <c r="J192" s="69"/>
    </row>
    <row r="193" x14ac:dyDescent="0.25">
      <c r="A193" s="31" t="s">
        <v>898</v>
      </c>
      <c r="B193" s="31">
        <v>1457.7</v>
      </c>
      <c r="C193" s="31">
        <v>131.38834</v>
      </c>
      <c r="D193" s="31">
        <v>260.45999999999998</v>
      </c>
      <c r="E193" s="31">
        <v>0.96113000000000004</v>
      </c>
      <c r="F193" s="31">
        <f>360.1-273.15</f>
        <v>86.950000000000045</v>
      </c>
      <c r="G193" s="31">
        <f>188.4-273.15</f>
        <v>-84.749999999999972</v>
      </c>
      <c r="J193" s="31">
        <v>3.1</v>
      </c>
      <c r="L193" s="31" t="s">
        <v>812</v>
      </c>
    </row>
    <row r="194" x14ac:dyDescent="0.25">
      <c r="A194" s="31" t="s">
        <v>899</v>
      </c>
      <c r="B194" s="31">
        <v>724.48</v>
      </c>
      <c r="C194" s="31">
        <v>101.19</v>
      </c>
      <c r="D194" s="31">
        <v>343.03</v>
      </c>
      <c r="E194" s="31">
        <v>2.1863999999999999</v>
      </c>
      <c r="F194" s="31">
        <f>361.92-273.15</f>
        <v>88.770000000000039</v>
      </c>
      <c r="G194" s="31">
        <f>158.45-273.15</f>
        <v>-114.69999999999999</v>
      </c>
      <c r="J194" s="31">
        <v>0.4</v>
      </c>
      <c r="L194" s="31" t="s">
        <v>812</v>
      </c>
    </row>
    <row r="195" x14ac:dyDescent="0.25">
      <c r="A195" s="31" t="s">
        <v>900</v>
      </c>
      <c r="C195" s="31">
        <v>50.941499999999998</v>
      </c>
      <c r="D195" s="31">
        <v>9472.6</v>
      </c>
      <c r="E195" s="31">
        <v>0.90700000000000003</v>
      </c>
      <c r="F195" s="31">
        <f>3682-273.15</f>
        <v>3408.85</v>
      </c>
      <c r="G195" s="31">
        <f>2190-273.15</f>
        <v>1916.85</v>
      </c>
      <c r="K195" s="31" t="s">
        <v>665</v>
      </c>
      <c r="L195" s="31" t="s">
        <v>901</v>
      </c>
    </row>
    <row r="196" x14ac:dyDescent="0.25">
      <c r="A196" s="31" t="s">
        <v>902</v>
      </c>
    </row>
    <row r="197" x14ac:dyDescent="0.25">
      <c r="A197" s="31" t="s">
        <v>903</v>
      </c>
      <c r="B197" s="31">
        <v>926.2</v>
      </c>
      <c r="C197" s="31">
        <v>86.089240000000004</v>
      </c>
      <c r="D197" s="31">
        <v>404.45</v>
      </c>
      <c r="E197" s="31">
        <v>1.9918</v>
      </c>
      <c r="F197" s="31">
        <f>345.65-273.15</f>
        <v>72.5</v>
      </c>
      <c r="G197" s="31">
        <f>180.35-273.15</f>
        <v>-92.799999999999983</v>
      </c>
      <c r="J197" s="31">
        <v>2.2000000000000002</v>
      </c>
      <c r="L197" s="31" t="s">
        <v>904</v>
      </c>
    </row>
    <row r="198" x14ac:dyDescent="0.25">
      <c r="A198" s="31" t="s">
        <v>905</v>
      </c>
      <c r="B198" s="31">
        <v>902.85</v>
      </c>
      <c r="C198" s="31">
        <v>62.498220000000003</v>
      </c>
      <c r="D198" s="31">
        <v>317.44</v>
      </c>
      <c r="E198" s="31">
        <v>1.3748</v>
      </c>
      <c r="F198" s="31">
        <f>259.25-273.15</f>
        <v>-13.899999999999977</v>
      </c>
      <c r="G198" s="31">
        <f>119.36-273.15</f>
        <v>-153.78999999999996</v>
      </c>
      <c r="J198" s="31">
        <v>7.8</v>
      </c>
      <c r="L198" s="31" t="s">
        <v>904</v>
      </c>
    </row>
    <row r="199" x14ac:dyDescent="0.25">
      <c r="A199" s="31" t="s">
        <v>906</v>
      </c>
      <c r="B199" s="31">
        <v>625.87</v>
      </c>
      <c r="C199" s="31">
        <v>46.043619999999997</v>
      </c>
      <c r="D199" s="31">
        <v>217.36</v>
      </c>
      <c r="E199" s="31">
        <v>1.738</v>
      </c>
      <c r="F199" s="31">
        <f>200.95-273.15</f>
        <v>-72.199999999999989</v>
      </c>
      <c r="G199" s="31">
        <f>112.65-273.15</f>
        <v>-160.49999999999997</v>
      </c>
      <c r="K199" s="31" t="s">
        <v>665</v>
      </c>
      <c r="L199" s="31" t="s">
        <v>861</v>
      </c>
    </row>
    <row r="200" x14ac:dyDescent="0.25">
      <c r="A200" s="31" t="s">
        <v>907</v>
      </c>
      <c r="B200" s="31">
        <v>1206</v>
      </c>
      <c r="C200" s="31">
        <v>96.943280000000001</v>
      </c>
      <c r="D200" s="31">
        <v>273.2</v>
      </c>
      <c r="E200" s="31">
        <v>1.1484000000000001</v>
      </c>
      <c r="F200" s="31">
        <f>304.71-273.15</f>
        <v>31.560000000000002</v>
      </c>
      <c r="G200" s="31">
        <f>150.59-273.15</f>
        <v>-122.55999999999997</v>
      </c>
    </row>
    <row r="201" x14ac:dyDescent="0.25">
      <c r="A201" s="69" t="s">
        <v>908</v>
      </c>
      <c r="B201" s="69"/>
      <c r="C201" s="69"/>
      <c r="D201" s="69"/>
      <c r="E201" s="69"/>
      <c r="F201" s="69"/>
      <c r="G201" s="69"/>
      <c r="H201" s="69"/>
      <c r="I201" s="69"/>
      <c r="J201" s="69"/>
    </row>
    <row r="202" x14ac:dyDescent="0.25">
      <c r="A202" s="31" t="s">
        <v>909</v>
      </c>
    </row>
    <row r="203" x14ac:dyDescent="0.25">
      <c r="A203" s="31" t="s">
        <v>910</v>
      </c>
    </row>
    <row r="204" x14ac:dyDescent="0.25">
      <c r="A204" s="31" t="s">
        <v>911</v>
      </c>
      <c r="B204" s="31">
        <v>1050</v>
      </c>
      <c r="C204" s="31">
        <v>150.16999999999999</v>
      </c>
      <c r="D204" s="31">
        <v>366.27</v>
      </c>
      <c r="E204" s="31">
        <v>1.63</v>
      </c>
      <c r="F204" s="31">
        <v>213.4</v>
      </c>
      <c r="G204" s="31">
        <v>-34.700000000000003</v>
      </c>
      <c r="H204" s="31">
        <v>1.9824E-3</v>
      </c>
      <c r="I204" s="31">
        <v>0.93061075000000004</v>
      </c>
    </row>
    <row r="205" x14ac:dyDescent="0.25">
      <c r="A205" s="31" t="s">
        <v>912</v>
      </c>
      <c r="B205" s="31">
        <v>1340</v>
      </c>
      <c r="C205" s="31">
        <v>192</v>
      </c>
      <c r="D205" s="31">
        <v>114</v>
      </c>
      <c r="E205" s="31">
        <v>1.13944</v>
      </c>
      <c r="F205" s="31">
        <v>300</v>
      </c>
      <c r="G205" s="31">
        <v>260</v>
      </c>
      <c r="I205" s="31">
        <f>0.0035*C205+0.405</f>
        <v>1.077</v>
      </c>
    </row>
    <row r="206" x14ac:dyDescent="0.25">
      <c r="A206" t="s">
        <v>913</v>
      </c>
      <c r="B206" s="74">
        <v>1400</v>
      </c>
      <c r="C206" s="74">
        <v>46.07</v>
      </c>
      <c r="D206">
        <v>1</v>
      </c>
      <c r="E206" s="74">
        <v>1.4466399999999999</v>
      </c>
      <c r="F206" s="31">
        <v>210</v>
      </c>
      <c r="G206" s="31">
        <v>-20</v>
      </c>
    </row>
    <row r="207" x14ac:dyDescent="0.25">
      <c r="A207" s="30" t="s">
        <v>629</v>
      </c>
      <c r="B207" s="31">
        <v>1380</v>
      </c>
      <c r="C207" s="31">
        <v>428.92</v>
      </c>
      <c r="D207" s="61">
        <v>1140.4764</v>
      </c>
      <c r="E207" s="31">
        <v>1.3</v>
      </c>
      <c r="F207" s="31">
        <v>1</v>
      </c>
      <c r="G207" s="31">
        <v>1</v>
      </c>
    </row>
    <row r="208" x14ac:dyDescent="0.25">
      <c r="A208" s="31" t="s">
        <v>943</v>
      </c>
      <c r="B208" s="31">
        <v>1000</v>
      </c>
      <c r="C208" s="31">
        <v>18.02</v>
      </c>
      <c r="D208" s="31">
        <v>2260</v>
      </c>
      <c r="E208" s="31">
        <v>4.1820000000000004</v>
      </c>
      <c r="F208" s="31">
        <v>100</v>
      </c>
      <c r="G208" s="31">
        <v>0</v>
      </c>
    </row>
    <row r="209" x14ac:dyDescent="0.25">
      <c r="A209" t="s">
        <v>944</v>
      </c>
      <c r="B209" s="31">
        <v>786</v>
      </c>
      <c r="C209" s="31">
        <v>60</v>
      </c>
      <c r="D209" s="31">
        <v>664</v>
      </c>
      <c r="E209" s="31">
        <v>2.3199999999999998</v>
      </c>
      <c r="F209" s="31">
        <v>82.5</v>
      </c>
      <c r="G209" s="31">
        <v>-89</v>
      </c>
    </row>
  </sheetData>
  <mergeCells count="2">
    <mergeCell ref="M3:Q9"/>
    <mergeCell ref="M10:Q10"/>
  </mergeCells>
  <conditionalFormatting sqref="A1">
    <cfRule type="containsText" dxfId="62" priority="6" operator="containsText" text="Compounds">
      <formula>NOT(ISERROR(SEARCH("Compounds",A1)))</formula>
    </cfRule>
    <cfRule type="containsText" dxfId="61" priority="7" operator="containsText" text="Dust">
      <formula>NOT(ISERROR(SEARCH("Dust",A1)))</formula>
    </cfRule>
  </conditionalFormatting>
  <conditionalFormatting sqref="A1:A206 A208 A210:A1048576">
    <cfRule type="containsText" dxfId="60" priority="4" operator="containsText" text="Dust">
      <formula>NOT(ISERROR(SEARCH("Dust",A1)))</formula>
    </cfRule>
    <cfRule type="containsText" dxfId="59" priority="5" operator="containsText" text="Compounds">
      <formula>NOT(ISERROR(SEARCH("Compounds",A1)))</formula>
    </cfRule>
  </conditionalFormatting>
  <conditionalFormatting sqref="K1:K1048576">
    <cfRule type="containsText" dxfId="58" priority="3" operator="containsText" text="Yes">
      <formula>NOT(ISERROR(SEARCH("Yes",K1)))</formula>
    </cfRule>
  </conditionalFormatting>
  <conditionalFormatting sqref="A84:C84 A89:J90 C150:J150 B149:J149 A149:A150 A1:J1 A15:J20 A2:H14 J2:J9 J11:J13 A24:J24 A21:H23 J21:J23 A30:J30 A25:H29 J25:J29 A35:J35 A31:H34 J31:J34 A37:J38 A36:H36 J36 A43:J43 A41:H42 J41:J42 A48:J48 A44:H47 J44:J47 A51:J51 A49:H50 J49:J50 A57:J58 A52:H56 J52:J56 A67:J74 A59:H66 J59:J66 A77:J77 A75:H76 J75:J76 A80:J80 A78:H79 J78:J79 A81:H83 J81:J83 A85:H88 J85:J88 A94:J94 A91:H93 J91:J93 A96:J96 A95:H95 J95 A102:J148 A97:H101 J97:J101 A40:J40 A39:H39 J39 A151:J206 A208:J208 H207:J207 A210:J1048576 B209:J209">
    <cfRule type="containsText" dxfId="57" priority="2" operator="containsText" text="N/A">
      <formula>NOT(ISERROR(SEARCH("N/A",A1)))</formula>
    </cfRule>
  </conditionalFormatting>
  <conditionalFormatting sqref="B207:G207">
    <cfRule type="containsText" dxfId="56" priority="1" operator="containsText" text="N/A">
      <formula>NOT(ISERROR(SEARCH("N/A",B207)))</formula>
    </cfRule>
  </conditionalFormatting>
  <hyperlinks>
    <hyperlink ref="L9" r:id="rId1"/>
  </hyperlinks>
  <pageMargins left="0.7" right="0.7" top="0.75" bottom="0.75" header="0.3" footer="0.3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F10:AP30"/>
  <sheetViews>
    <sheetView topLeftCell="C13" zoomScaleNormal="100" workbookViewId="0">
      <selection activeCell="AH30" sqref="AH30"/>
    </sheetView>
  </sheetViews>
  <sheetFormatPr defaultRowHeight="15" x14ac:dyDescent="0.25"/>
  <cols>
    <col min="33" max="33" width="9.7109375" bestFit="true" customWidth="true"/>
    <col min="34" max="34" width="15.42578125" bestFit="true" customWidth="true"/>
    <col min="35" max="35" width="13.7109375" bestFit="true" customWidth="true"/>
  </cols>
  <sheetData>
    <row r="10" x14ac:dyDescent="0.25">
      <c r="AM10" t="s">
        <v>571</v>
      </c>
      <c r="AP10" t="s">
        <v>576</v>
      </c>
    </row>
    <row r="11" x14ac:dyDescent="0.25">
      <c r="AM11" t="s">
        <v>575</v>
      </c>
    </row>
    <row r="18" x14ac:dyDescent="0.25">
      <c r="AF18" s="48"/>
      <c r="AG18" s="49" t="s">
        <v>583</v>
      </c>
      <c r="AH18" s="49" t="s">
        <v>571</v>
      </c>
      <c r="AI18" s="50" t="s">
        <v>580</v>
      </c>
    </row>
    <row r="19" x14ac:dyDescent="0.25">
      <c r="AF19" s="51" t="s">
        <v>572</v>
      </c>
      <c r="AG19" s="52" t="s">
        <v>584</v>
      </c>
      <c r="AH19" s="52" t="s">
        <v>579</v>
      </c>
      <c r="AI19" s="53"/>
    </row>
    <row r="20" x14ac:dyDescent="0.25">
      <c r="AF20" s="51" t="s">
        <v>573</v>
      </c>
      <c r="AG20" s="52"/>
      <c r="AH20" s="52"/>
      <c r="AI20" s="53"/>
    </row>
    <row r="21" x14ac:dyDescent="0.25">
      <c r="AF21" s="51" t="s">
        <v>578</v>
      </c>
      <c r="AG21" s="52"/>
      <c r="AH21" s="52" t="s">
        <v>582</v>
      </c>
      <c r="AI21" s="53">
        <v>95</v>
      </c>
    </row>
    <row r="22" x14ac:dyDescent="0.25">
      <c r="AF22" s="51" t="s">
        <v>2</v>
      </c>
      <c r="AG22" s="52"/>
      <c r="AH22" s="52"/>
      <c r="AI22" s="53"/>
    </row>
    <row r="23" x14ac:dyDescent="0.25">
      <c r="AF23" s="51"/>
      <c r="AG23" s="52"/>
      <c r="AH23" s="52"/>
      <c r="AI23" s="53"/>
    </row>
    <row r="24" x14ac:dyDescent="0.25">
      <c r="AF24" s="54"/>
      <c r="AG24" s="55"/>
      <c r="AH24" s="55"/>
      <c r="AI24" s="56"/>
    </row>
    <row r="26" x14ac:dyDescent="0.25">
      <c r="AI26" t="s">
        <v>585</v>
      </c>
      <c r="AJ26" t="s">
        <v>574</v>
      </c>
      <c r="AK26" t="s">
        <v>581</v>
      </c>
    </row>
    <row r="27" x14ac:dyDescent="0.25">
      <c r="AH27" s="57" t="s">
        <v>572</v>
      </c>
      <c r="AI27" t="s">
        <v>586</v>
      </c>
      <c r="AJ27">
        <v>0</v>
      </c>
      <c r="AK27">
        <v>95</v>
      </c>
    </row>
    <row r="28" x14ac:dyDescent="0.25">
      <c r="AH28" s="57" t="s">
        <v>573</v>
      </c>
      <c r="AI28" t="s">
        <v>587</v>
      </c>
      <c r="AJ28">
        <v>0</v>
      </c>
      <c r="AK28">
        <v>0</v>
      </c>
    </row>
    <row r="29" x14ac:dyDescent="0.25">
      <c r="AH29" s="57" t="s">
        <v>578</v>
      </c>
      <c r="AI29" t="s">
        <v>586</v>
      </c>
      <c r="AJ29">
        <v>95</v>
      </c>
      <c r="AK29" s="58">
        <v>0</v>
      </c>
    </row>
    <row r="30" x14ac:dyDescent="0.25">
      <c r="AH30" s="57" t="s">
        <v>2</v>
      </c>
      <c r="AI30" t="s">
        <v>587</v>
      </c>
      <c r="AJ30">
        <v>0</v>
      </c>
      <c r="AK30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5" sqref="I5"/>
    </sheetView>
  </sheetViews>
  <sheetFormatPr defaultRowHeight="15" x14ac:dyDescent="0.25"/>
  <cols>
    <col min="1" max="1" width="3.93359375" bestFit="true" customWidth="true"/>
    <col min="2" max="2" width="3.82421875" customWidth="true"/>
    <col min="3" max="3" width="4.15625" bestFit="true" customWidth="true"/>
    <col min="6" max="6" width="4.28515625" bestFit="true" customWidth="true"/>
    <col min="7" max="7" width="3.7109375" bestFit="true" customWidth="true"/>
    <col min="8" max="8" width="4.140625" customWidth="true"/>
    <col min="4" max="4" width="9.140625"/>
    <col min="5" max="5" width="9.140625"/>
    <col min="9" max="9" width="9.140625"/>
    <col min="10" max="10" width="9.140625"/>
    <col min="11" max="11" width="9.140625"/>
    <col min="12" max="12" width="9.140625"/>
    <col min="13" max="13" width="9.140625"/>
    <col min="14" max="14" width="9.140625"/>
    <col min="15" max="15" width="9.140625"/>
    <col min="16" max="16" width="9.140625"/>
    <col min="17" max="17" width="9.140625"/>
    <col min="18" max="18" width="9.140625"/>
    <col min="19" max="19" width="9.140625"/>
    <col min="20" max="20" width="9.140625"/>
    <col min="21" max="21" width="9.140625"/>
    <col min="22" max="22" width="9.140625"/>
    <col min="23" max="23" width="9.140625"/>
    <col min="24" max="24" width="9.140625"/>
    <col min="25" max="25" width="9.140625"/>
    <col min="26" max="26" width="9.140625"/>
    <col min="27" max="27" width="9.140625"/>
    <col min="28" max="28" width="9.140625"/>
    <col min="29" max="29" width="9.140625"/>
    <col min="30" max="30" width="9.140625"/>
  </cols>
  <sheetData>
    <row r="1" x14ac:dyDescent="0.25">
      <c r="A1" s="80" t="s">
        <v>1155</v>
      </c>
      <c r="B1" s="80" t="s">
        <v>1157</v>
      </c>
      <c r="C1" s="80" t="s">
        <v>1158</v>
      </c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</row>
    <row r="2" x14ac:dyDescent="0.25">
      <c r="A2" s="80" t="s">
        <v>1156</v>
      </c>
      <c r="B2" s="0">
        <v>0.69999999999999996</v>
      </c>
      <c r="C2" s="0">
        <v>0.001</v>
      </c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</row>
    <row r="3" x14ac:dyDescent="0.25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</row>
    <row r="8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opLeftCell="D1" workbookViewId="0">
      <selection activeCell="I8" sqref="I8"/>
    </sheetView>
  </sheetViews>
  <sheetFormatPr defaultColWidth="15.5703125" defaultRowHeight="15" x14ac:dyDescent="0.25"/>
  <cols>
    <col min="1" max="1" width="10.82421875" bestFit="true" customWidth="true"/>
    <col min="2" max="2" width="14.046875" bestFit="true" customWidth="true"/>
    <col min="3" max="3" width="22.15625" bestFit="true" customWidth="true"/>
    <col min="4" max="4" width="24.15625" bestFit="true" customWidth="true"/>
    <col min="5" max="5" width="20.7109375" bestFit="true" customWidth="true"/>
    <col min="6" max="6" width="15.26953125" bestFit="true" customWidth="true"/>
    <col min="7" max="7" width="15.93359375" bestFit="true" customWidth="true"/>
    <col min="8" max="8" width="5.93359375" bestFit="true" customWidth="true"/>
    <col min="9" max="9" width="7.26953125" bestFit="true" customWidth="true"/>
    <col min="10" max="10" width="9.6015625" bestFit="true" customWidth="true"/>
    <col min="11" max="11" width="7.7109375" bestFit="true" customWidth="true"/>
    <col min="12" max="12" width="12.48828125" bestFit="true" customWidth="true"/>
    <col min="13" max="13" width="6.046875" bestFit="true" customWidth="true"/>
    <col min="14" max="14" width="9.93359375" bestFit="true" customWidth="true"/>
    <col min="15" max="15" width="7.7109375" bestFit="true" customWidth="true"/>
    <col min="16" max="16" width="5.6015625" bestFit="true" customWidth="true"/>
    <col min="17" max="17" width="7.26953125" bestFit="true" customWidth="true"/>
    <col min="18" max="18" width="9.93359375" bestFit="true" customWidth="true"/>
    <col min="19" max="19" width="6.6015625" bestFit="true" customWidth="true"/>
    <col min="21" max="21" width="6.046875" bestFit="true" customWidth="true"/>
    <col min="22" max="22" width="7.26953125" bestFit="true" customWidth="true"/>
    <col min="23" max="23" width="6.046875" bestFit="true" customWidth="true"/>
    <col min="24" max="24" width="5.046875" bestFit="true" customWidth="true"/>
    <col min="25" max="25" width="7.26953125" bestFit="true" customWidth="true"/>
    <col min="26" max="26" width="7"/>
    <col min="20" max="20" width="6.6015625" bestFit="true" customWidth="true"/>
    <col min="27" max="27" width="7"/>
    <col min="28" max="28" width="7"/>
    <col min="29" max="29" width="7"/>
    <col min="30" max="30" width="7"/>
  </cols>
  <sheetData>
    <row r="1" ht="15.75" thickBot="true" x14ac:dyDescent="0.3">
      <c r="A1" t="s">
        <v>0</v>
      </c>
      <c r="B1" s="76">
        <v>0</v>
      </c>
      <c r="M1" s="94" t="s">
        <v>577</v>
      </c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</row>
    <row r="2" x14ac:dyDescent="0.25">
      <c r="A2" s="77" t="s">
        <v>1063</v>
      </c>
      <c r="B2" s="77" t="s">
        <v>1066</v>
      </c>
      <c r="C2" s="77" t="s">
        <v>1067</v>
      </c>
      <c r="D2" s="77" t="s">
        <v>1068</v>
      </c>
      <c r="E2" s="77" t="s">
        <v>1069</v>
      </c>
      <c r="F2" s="77" t="s">
        <v>1070</v>
      </c>
      <c r="G2" s="77" t="s">
        <v>1071</v>
      </c>
      <c r="H2" s="77" t="s">
        <v>1072</v>
      </c>
      <c r="I2" s="77" t="s">
        <v>1074</v>
      </c>
      <c r="J2" s="77" t="s">
        <v>1077</v>
      </c>
      <c r="K2" s="77" t="s">
        <v>1080</v>
      </c>
      <c r="L2" s="77" t="s">
        <v>1081</v>
      </c>
      <c r="M2" s="77" t="s">
        <v>1082</v>
      </c>
      <c r="N2" s="77" t="s">
        <v>1083</v>
      </c>
      <c r="O2" s="77" t="s">
        <v>1084</v>
      </c>
      <c r="P2" s="77" t="s">
        <v>1085</v>
      </c>
      <c r="Q2" s="77" t="s">
        <v>1086</v>
      </c>
      <c r="R2" s="77" t="s">
        <v>1087</v>
      </c>
      <c r="S2" s="77" t="s">
        <v>1088</v>
      </c>
      <c r="T2" s="77" t="s">
        <v>1089</v>
      </c>
      <c r="U2" s="77" t="s">
        <v>1090</v>
      </c>
      <c r="V2" s="77" t="s">
        <v>1091</v>
      </c>
      <c r="W2" s="77" t="s">
        <v>1092</v>
      </c>
      <c r="X2" s="77" t="s">
        <v>1093</v>
      </c>
      <c r="Y2" s="77" t="s">
        <v>1094</v>
      </c>
      <c r="Z2" s="0"/>
      <c r="AA2" s="0"/>
      <c r="AB2" s="0"/>
      <c r="AC2" s="0"/>
      <c r="AD2" s="0"/>
    </row>
    <row r="3" x14ac:dyDescent="0.25">
      <c r="A3" s="77" t="s">
        <v>1064</v>
      </c>
      <c r="B3" s="0">
        <v>786</v>
      </c>
      <c r="C3" s="0">
        <v>60</v>
      </c>
      <c r="D3" s="0">
        <v>664</v>
      </c>
      <c r="E3" s="0">
        <v>2.3199999999999998</v>
      </c>
      <c r="F3" s="0">
        <v>82.5</v>
      </c>
      <c r="G3" s="0">
        <v>-89</v>
      </c>
      <c r="H3" s="77" t="s">
        <v>1073</v>
      </c>
      <c r="I3" s="77" t="s">
        <v>1075</v>
      </c>
      <c r="J3" s="77" t="s">
        <v>1078</v>
      </c>
      <c r="K3" s="0">
        <v>0.69999999999999996</v>
      </c>
      <c r="L3" s="0">
        <v>0.5</v>
      </c>
      <c r="M3" s="0">
        <v>0.059999999999999998</v>
      </c>
      <c r="N3" s="0">
        <v>0.059999999999999998</v>
      </c>
      <c r="O3" s="0">
        <v>0.059999999999999998</v>
      </c>
      <c r="P3" s="0">
        <v>0.050000000000000003</v>
      </c>
      <c r="Q3" s="0">
        <v>0.050000000000000003</v>
      </c>
      <c r="R3" s="0">
        <v>0.050000000000000003</v>
      </c>
      <c r="S3" s="0">
        <v>0.050000000000000003</v>
      </c>
      <c r="T3" s="0">
        <v>0.050000000000000003</v>
      </c>
      <c r="U3" s="0">
        <v>0.050000000000000003</v>
      </c>
      <c r="V3" s="0">
        <v>0.050000000000000003</v>
      </c>
      <c r="W3" s="0">
        <v>0.050000000000000003</v>
      </c>
      <c r="X3" s="0">
        <v>0.050000000000000003</v>
      </c>
      <c r="Y3" s="0">
        <v>0.050000000000000003</v>
      </c>
      <c r="Z3" s="0"/>
      <c r="AA3" s="0"/>
      <c r="AB3" s="0"/>
      <c r="AC3" s="0"/>
      <c r="AD3" s="0"/>
    </row>
    <row r="4" x14ac:dyDescent="0.25">
      <c r="A4" s="77" t="s">
        <v>1065</v>
      </c>
      <c r="B4" s="0">
        <v>1000</v>
      </c>
      <c r="C4" s="0">
        <v>18.02</v>
      </c>
      <c r="D4" s="0">
        <v>2260</v>
      </c>
      <c r="E4" s="0">
        <v>4.1820000000000004</v>
      </c>
      <c r="F4" s="0">
        <v>100</v>
      </c>
      <c r="G4" s="0">
        <v>0</v>
      </c>
      <c r="H4" s="77" t="s">
        <v>1073</v>
      </c>
      <c r="I4" s="77" t="s">
        <v>1076</v>
      </c>
      <c r="J4" s="77" t="s">
        <v>1079</v>
      </c>
      <c r="K4" s="0">
        <v>0</v>
      </c>
      <c r="L4" s="0">
        <v>0.5</v>
      </c>
      <c r="M4" s="0">
        <v>0.40000000000000002</v>
      </c>
      <c r="N4" s="0">
        <v>0.40000000000000002</v>
      </c>
      <c r="O4" s="0">
        <v>0.40000000000000002</v>
      </c>
      <c r="P4" s="0">
        <v>0.40000000000000002</v>
      </c>
      <c r="Q4" s="0">
        <v>0.40000000000000002</v>
      </c>
      <c r="R4" s="0">
        <v>0.40000000000000002</v>
      </c>
      <c r="S4" s="0">
        <v>0.40000000000000002</v>
      </c>
      <c r="T4" s="0">
        <v>0.40000000000000002</v>
      </c>
      <c r="U4" s="0">
        <v>0.40000000000000002</v>
      </c>
      <c r="V4" s="0">
        <v>0.40000000000000002</v>
      </c>
      <c r="W4" s="0">
        <v>0.40000000000000002</v>
      </c>
      <c r="X4" s="0">
        <v>0.40000000000000002</v>
      </c>
      <c r="Y4" s="0">
        <v>0.40000000000000002</v>
      </c>
      <c r="Z4" s="0"/>
      <c r="AA4" s="0"/>
      <c r="AB4" s="0"/>
      <c r="AC4" s="0"/>
      <c r="AD4" s="0"/>
    </row>
    <row r="5" x14ac:dyDescent="0.25">
      <c r="A5" s="0"/>
      <c r="B5" s="0"/>
      <c r="C5" s="0"/>
      <c r="D5" s="0"/>
      <c r="E5" s="0"/>
      <c r="F5" s="0"/>
      <c r="G5" s="0"/>
      <c r="H5" s="0"/>
      <c r="I5" s="0"/>
      <c r="J5" s="77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</row>
    <row r="6" x14ac:dyDescent="0.25">
      <c r="A6" s="91"/>
      <c r="B6" s="0"/>
      <c r="C6" s="0"/>
      <c r="D6" s="0"/>
      <c r="E6" s="0"/>
      <c r="F6" s="0"/>
      <c r="G6" s="0"/>
      <c r="H6" s="0"/>
      <c r="I6" s="0"/>
      <c r="J6" s="77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</row>
    <row r="7" x14ac:dyDescent="0.25">
      <c r="A7" s="91"/>
      <c r="B7" s="0"/>
      <c r="C7" s="0"/>
      <c r="D7" s="0"/>
      <c r="E7" s="0"/>
      <c r="F7" s="0"/>
      <c r="G7" s="0"/>
      <c r="H7" s="0"/>
      <c r="I7" s="0"/>
      <c r="J7" s="77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</row>
    <row r="8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</row>
  </sheetData>
  <mergeCells count="1">
    <mergeCell ref="M1:Y1"/>
  </mergeCells>
  <conditionalFormatting sqref="Z3:Z4 J3:L4 J5:K7">
    <cfRule type="containsText" dxfId="55" priority="25" operator="containsText" text="N/A">
      <formula>NOT(ISERROR(SEARCH("N/A",J3)))</formula>
    </cfRule>
  </conditionalFormatting>
  <conditionalFormatting sqref="B5:I5">
    <cfRule type="containsText" dxfId="54" priority="22" operator="containsText" text="N/A">
      <formula>NOT(ISERROR(SEARCH("N/A",B5)))</formula>
    </cfRule>
  </conditionalFormatting>
  <conditionalFormatting sqref="B6:C6 L6:Y6 E6:E7 G6:I6">
    <cfRule type="containsText" dxfId="53" priority="21" operator="containsText" text="N/A">
      <formula>NOT(ISERROR(SEARCH("N/A",B6)))</formula>
    </cfRule>
  </conditionalFormatting>
  <conditionalFormatting sqref="B3:I3 B4:E4">
    <cfRule type="containsText" dxfId="52" priority="20" operator="containsText" text="N/A">
      <formula>NOT(ISERROR(SEARCH("N/A",B3)))</formula>
    </cfRule>
  </conditionalFormatting>
  <conditionalFormatting sqref="U3:U4">
    <cfRule type="containsText" dxfId="51" priority="9" operator="containsText" text="N/A">
      <formula>NOT(ISERROR(SEARCH("N/A",U3)))</formula>
    </cfRule>
  </conditionalFormatting>
  <conditionalFormatting sqref="N3:R4 X3:X4">
    <cfRule type="containsText" dxfId="50" priority="8" operator="containsText" text="N/A">
      <formula>NOT(ISERROR(SEARCH("N/A",N3)))</formula>
    </cfRule>
  </conditionalFormatting>
  <conditionalFormatting sqref="S3:T4">
    <cfRule type="containsText" dxfId="49" priority="7" operator="containsText" text="N/A">
      <formula>NOT(ISERROR(SEARCH("N/A",S3)))</formula>
    </cfRule>
  </conditionalFormatting>
  <conditionalFormatting sqref="W3:W4">
    <cfRule type="containsText" dxfId="48" priority="6" operator="containsText" text="N/A">
      <formula>NOT(ISERROR(SEARCH("N/A",W3)))</formula>
    </cfRule>
  </conditionalFormatting>
  <conditionalFormatting sqref="V3:V4">
    <cfRule type="containsText" dxfId="47" priority="5" operator="containsText" text="N/A">
      <formula>NOT(ISERROR(SEARCH("N/A",V3)))</formula>
    </cfRule>
  </conditionalFormatting>
  <conditionalFormatting sqref="Y3:Y4">
    <cfRule type="containsText" dxfId="46" priority="4" operator="containsText" text="N/A">
      <formula>NOT(ISERROR(SEARCH("N/A",Y3)))</formula>
    </cfRule>
  </conditionalFormatting>
  <conditionalFormatting sqref="D6:D7">
    <cfRule type="containsText" dxfId="45" priority="3" operator="containsText" text="N/A">
      <formula>NOT(ISERROR(SEARCH("N/A",D6)))</formula>
    </cfRule>
  </conditionalFormatting>
  <conditionalFormatting sqref="F6:F7">
    <cfRule type="containsText" dxfId="44" priority="1" operator="containsText" text="N/A">
      <formula>NOT(ISERROR(SEARCH("N/A",F6)))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workbookViewId="0">
      <selection activeCell="O11" sqref="O11"/>
    </sheetView>
  </sheetViews>
  <sheetFormatPr defaultColWidth="15.5703125" defaultRowHeight="15" x14ac:dyDescent="0.25"/>
  <cols>
    <col min="1" max="1" width="10.82421875" bestFit="true" customWidth="true"/>
    <col min="2" max="2" width="14.046875" bestFit="true" customWidth="true"/>
    <col min="3" max="3" width="22.15625" bestFit="true" customWidth="true"/>
    <col min="4" max="4" width="24.15625" bestFit="true" customWidth="true"/>
    <col min="5" max="5" width="20.7109375" bestFit="true" customWidth="true"/>
    <col min="6" max="6" width="15.26953125" bestFit="true" customWidth="true"/>
    <col min="7" max="7" width="15.93359375" bestFit="true" customWidth="true"/>
    <col min="8" max="8" width="5.93359375" bestFit="true" customWidth="true"/>
    <col min="9" max="9" width="7.26953125" bestFit="true" customWidth="true"/>
    <col min="10" max="10" width="9.6015625" bestFit="true" customWidth="true"/>
    <col min="11" max="11" width="7.7109375" bestFit="true" customWidth="true"/>
    <col min="12" max="12" width="12.48828125" bestFit="true" customWidth="true"/>
    <col min="13" max="13" width="6.046875" bestFit="true" customWidth="true"/>
    <col min="14" max="14" width="9.93359375" bestFit="true" customWidth="true"/>
    <col min="15" max="15" width="7.7109375" bestFit="true" customWidth="true"/>
    <col min="16" max="16" width="5.6015625" bestFit="true" customWidth="true"/>
    <col min="17" max="17" width="7.26953125" bestFit="true" customWidth="true"/>
    <col min="18" max="18" width="9.93359375" bestFit="true" customWidth="true"/>
    <col min="19" max="19" width="6.6015625" bestFit="true" customWidth="true"/>
    <col min="21" max="21" width="6.046875" bestFit="true" customWidth="true"/>
    <col min="22" max="22" width="7.26953125" bestFit="true" customWidth="true"/>
    <col min="23" max="23" width="6.046875" bestFit="true" customWidth="true"/>
    <col min="24" max="24" width="5.046875" customWidth="true"/>
    <col min="25" max="25" width="7.26953125" customWidth="true"/>
    <col min="26" max="26" width="7"/>
    <col min="20" max="20" width="6.6015625" bestFit="true" customWidth="true"/>
    <col min="27" max="27" width="7"/>
    <col min="28" max="28" width="7"/>
    <col min="29" max="29" width="7"/>
    <col min="30" max="30" width="7"/>
  </cols>
  <sheetData>
    <row r="1" x14ac:dyDescent="0.25">
      <c r="A1" t="s">
        <v>0</v>
      </c>
      <c r="B1">
        <f>Chem_Props!B1</f>
        <v>500</v>
      </c>
      <c r="E1" t="s">
        <v>555</v>
      </c>
      <c r="F1">
        <f>MATCH(MAX(L3:L14),L1:L14,0)</f>
        <v>4</v>
      </c>
      <c r="G1" s="46" t="s">
        <v>556</v>
      </c>
      <c r="H1" s="47" cm="1">
        <f t="array" aca="true" ref="H1" ca="true">INDIRECT(ADDRESS(F1,2))</f>
        <v>786</v>
      </c>
    </row>
    <row r="2" x14ac:dyDescent="0.25">
      <c r="A2" s="79" t="s">
        <v>1120</v>
      </c>
      <c r="B2" s="79" t="s">
        <v>1123</v>
      </c>
      <c r="C2" s="79" t="s">
        <v>1124</v>
      </c>
      <c r="D2" s="79" t="s">
        <v>1125</v>
      </c>
      <c r="E2" s="79" t="s">
        <v>1126</v>
      </c>
      <c r="F2" s="79" t="s">
        <v>1127</v>
      </c>
      <c r="G2" s="79" t="s">
        <v>1128</v>
      </c>
      <c r="H2" s="79" t="s">
        <v>1129</v>
      </c>
      <c r="I2" s="79" t="s">
        <v>1131</v>
      </c>
      <c r="J2" s="79" t="s">
        <v>1134</v>
      </c>
      <c r="K2" s="79" t="s">
        <v>1137</v>
      </c>
      <c r="L2" s="79" t="s">
        <v>1138</v>
      </c>
      <c r="M2" s="79" t="s">
        <v>1139</v>
      </c>
      <c r="N2" s="79" t="s">
        <v>1140</v>
      </c>
      <c r="O2" s="79" t="s">
        <v>1141</v>
      </c>
      <c r="P2" s="79" t="s">
        <v>1142</v>
      </c>
      <c r="Q2" s="79" t="s">
        <v>1143</v>
      </c>
      <c r="R2" s="79" t="s">
        <v>1144</v>
      </c>
      <c r="S2" s="79" t="s">
        <v>1145</v>
      </c>
      <c r="T2" s="79" t="s">
        <v>1146</v>
      </c>
      <c r="U2" s="79" t="s">
        <v>1147</v>
      </c>
      <c r="V2" s="79" t="s">
        <v>1148</v>
      </c>
      <c r="W2" s="79" t="s">
        <v>1149</v>
      </c>
      <c r="X2" s="79" t="s">
        <v>1150</v>
      </c>
      <c r="Y2" s="79" t="s">
        <v>1151</v>
      </c>
      <c r="Z2" s="0"/>
      <c r="AA2" s="0"/>
      <c r="AB2" s="0"/>
      <c r="AC2" s="0"/>
      <c r="AD2" s="0"/>
    </row>
    <row r="3" x14ac:dyDescent="0.25">
      <c r="A3" s="79" t="s">
        <v>1121</v>
      </c>
      <c r="B3" s="0">
        <v>786</v>
      </c>
      <c r="C3" s="0">
        <v>60</v>
      </c>
      <c r="D3" s="0">
        <v>664</v>
      </c>
      <c r="E3" s="0">
        <v>2.3199999999999998</v>
      </c>
      <c r="F3" s="0">
        <v>82.5</v>
      </c>
      <c r="G3" s="0">
        <v>-89</v>
      </c>
      <c r="H3" s="79" t="s">
        <v>1130</v>
      </c>
      <c r="I3" s="79" t="s">
        <v>1132</v>
      </c>
      <c r="J3" s="79" t="s">
        <v>1135</v>
      </c>
      <c r="K3" s="0">
        <v>0.69999999999999996</v>
      </c>
      <c r="L3" s="0">
        <v>0.5</v>
      </c>
      <c r="M3" s="0">
        <v>0.059999999999999998</v>
      </c>
      <c r="N3" s="0">
        <v>0.059999999999999998</v>
      </c>
      <c r="O3" s="0">
        <v>0.059999999999999998</v>
      </c>
      <c r="P3" s="0">
        <v>0.050000000000000003</v>
      </c>
      <c r="Q3" s="0">
        <v>0.050000000000000003</v>
      </c>
      <c r="R3" s="0">
        <v>0.050000000000000003</v>
      </c>
      <c r="S3" s="0">
        <v>0.050000000000000003</v>
      </c>
      <c r="T3" s="0">
        <v>0.050000000000000003</v>
      </c>
      <c r="U3" s="0">
        <v>0.050000000000000003</v>
      </c>
      <c r="V3" s="0">
        <v>0.050000000000000003</v>
      </c>
      <c r="W3" s="0">
        <v>0.050000000000000003</v>
      </c>
      <c r="X3" s="0">
        <v>0.050000000000000003</v>
      </c>
      <c r="Y3" s="0">
        <v>0.050000000000000003</v>
      </c>
      <c r="Z3" s="0"/>
      <c r="AA3" s="0"/>
      <c r="AB3" s="0"/>
      <c r="AC3" s="0"/>
      <c r="AD3" s="0"/>
    </row>
    <row r="4" x14ac:dyDescent="0.25">
      <c r="A4" s="79" t="s">
        <v>1122</v>
      </c>
      <c r="B4" s="0">
        <v>1000</v>
      </c>
      <c r="C4" s="0">
        <v>18.02</v>
      </c>
      <c r="D4" s="0">
        <v>2260</v>
      </c>
      <c r="E4" s="0">
        <v>4.1820000000000004</v>
      </c>
      <c r="F4" s="0">
        <v>100</v>
      </c>
      <c r="G4" s="0">
        <v>0</v>
      </c>
      <c r="H4" s="79" t="s">
        <v>1130</v>
      </c>
      <c r="I4" s="79" t="s">
        <v>1133</v>
      </c>
      <c r="J4" s="79" t="s">
        <v>1136</v>
      </c>
      <c r="K4" s="0">
        <v>0</v>
      </c>
      <c r="L4" s="0">
        <v>0.5</v>
      </c>
      <c r="M4" s="0">
        <v>0.40000000000000002</v>
      </c>
      <c r="N4" s="0">
        <v>0.40000000000000002</v>
      </c>
      <c r="O4" s="0">
        <v>0.40000000000000002</v>
      </c>
      <c r="P4" s="0">
        <v>0.40000000000000002</v>
      </c>
      <c r="Q4" s="0">
        <v>0.40000000000000002</v>
      </c>
      <c r="R4" s="0">
        <v>0.40000000000000002</v>
      </c>
      <c r="S4" s="0">
        <v>0.40000000000000002</v>
      </c>
      <c r="T4" s="0">
        <v>0.40000000000000002</v>
      </c>
      <c r="U4" s="0">
        <v>0.40000000000000002</v>
      </c>
      <c r="V4" s="0">
        <v>0.40000000000000002</v>
      </c>
      <c r="W4" s="0">
        <v>0.40000000000000002</v>
      </c>
      <c r="X4" s="0">
        <v>0.40000000000000002</v>
      </c>
      <c r="Y4" s="0">
        <v>0.40000000000000002</v>
      </c>
      <c r="Z4" s="0"/>
      <c r="AA4" s="0"/>
      <c r="AB4" s="0"/>
      <c r="AC4" s="0"/>
      <c r="AD4" s="0"/>
    </row>
    <row r="5" x14ac:dyDescent="0.25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</row>
    <row r="8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</row>
  </sheetData>
  <conditionalFormatting sqref="B4:G4 H4:I5">
    <cfRule type="containsText" dxfId="43" priority="10" operator="containsText" text="N/A">
      <formula>NOT(ISERROR(SEARCH("N/A",B4)))</formula>
    </cfRule>
  </conditionalFormatting>
  <conditionalFormatting sqref="B5:G5">
    <cfRule type="containsText" dxfId="42" priority="9" operator="containsText" text="N/A">
      <formula>NOT(ISERROR(SEARCH("N/A",B5)))</formula>
    </cfRule>
  </conditionalFormatting>
  <conditionalFormatting sqref="B3:E3 H3:J3 L3">
    <cfRule type="containsText" dxfId="41" priority="8" operator="containsText" text="N/A">
      <formula>NOT(ISERROR(SEARCH("N/A",B3)))</formula>
    </cfRule>
  </conditionalFormatting>
  <conditionalFormatting sqref="U3">
    <cfRule type="containsText" dxfId="40" priority="6" operator="containsText" text="N/A">
      <formula>NOT(ISERROR(SEARCH("N/A",U3)))</formula>
    </cfRule>
  </conditionalFormatting>
  <conditionalFormatting sqref="N3:R3 X3">
    <cfRule type="containsText" dxfId="39" priority="5" operator="containsText" text="N/A">
      <formula>NOT(ISERROR(SEARCH("N/A",N3)))</formula>
    </cfRule>
  </conditionalFormatting>
  <conditionalFormatting sqref="S3:T3">
    <cfRule type="containsText" dxfId="38" priority="4" operator="containsText" text="N/A">
      <formula>NOT(ISERROR(SEARCH("N/A",S3)))</formula>
    </cfRule>
  </conditionalFormatting>
  <conditionalFormatting sqref="W3">
    <cfRule type="containsText" dxfId="37" priority="3" operator="containsText" text="N/A">
      <formula>NOT(ISERROR(SEARCH("N/A",W3)))</formula>
    </cfRule>
  </conditionalFormatting>
  <conditionalFormatting sqref="V3">
    <cfRule type="containsText" dxfId="36" priority="2" operator="containsText" text="N/A">
      <formula>NOT(ISERROR(SEARCH("N/A",V3)))</formula>
    </cfRule>
  </conditionalFormatting>
  <conditionalFormatting sqref="Y3">
    <cfRule type="containsText" dxfId="35" priority="1" operator="containsText" text="N/A">
      <formula>NOT(ISERROR(SEARCH("N/A",Y3)))</formula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workbookViewId="0">
      <selection activeCell="M3" sqref="M3:Y3"/>
    </sheetView>
  </sheetViews>
  <sheetFormatPr defaultColWidth="15.5703125" defaultRowHeight="15" x14ac:dyDescent="0.25"/>
  <cols>
    <col min="1" max="1" width="8.6015625" bestFit="true" customWidth="true"/>
    <col min="2" max="2" width="14.046875" bestFit="true" customWidth="true"/>
    <col min="3" max="3" width="22.15625" bestFit="true" customWidth="true"/>
    <col min="4" max="4" width="24.15625" bestFit="true" customWidth="true"/>
    <col min="5" max="5" width="20.7109375" bestFit="true" customWidth="true"/>
    <col min="6" max="6" width="15.26953125" bestFit="true" customWidth="true"/>
    <col min="7" max="7" width="15.93359375" bestFit="true" customWidth="true"/>
    <col min="8" max="8" width="5.37890625" bestFit="true" customWidth="true"/>
    <col min="9" max="9" width="7.26953125" bestFit="true" customWidth="true"/>
    <col min="10" max="10" width="9.6015625" bestFit="true" customWidth="true"/>
    <col min="11" max="11" width="7.7109375" bestFit="true" customWidth="true"/>
    <col min="12" max="12" width="12.48828125" bestFit="true" customWidth="true"/>
    <col min="13" max="13" width="6.046875" bestFit="true" customWidth="true"/>
    <col min="14" max="14" width="9.93359375" bestFit="true" customWidth="true"/>
    <col min="15" max="15" width="7.7109375" bestFit="true" customWidth="true"/>
    <col min="16" max="16" width="5.6015625" bestFit="true" customWidth="true"/>
    <col min="17" max="17" width="7.26953125" bestFit="true" customWidth="true"/>
    <col min="18" max="18" width="9.93359375" bestFit="true" customWidth="true"/>
    <col min="19" max="19" width="6.6015625" bestFit="true" customWidth="true"/>
    <col min="21" max="21" width="6.046875" bestFit="true" customWidth="true"/>
    <col min="22" max="22" width="7.26953125" bestFit="true" customWidth="true"/>
    <col min="23" max="23" width="6.046875" bestFit="true" customWidth="true"/>
    <col min="24" max="24" width="5.046875" customWidth="true"/>
    <col min="25" max="25" width="7.26953125" customWidth="true"/>
    <col min="26" max="26" width="7"/>
    <col min="20" max="20" width="6.6015625" bestFit="true" customWidth="true"/>
    <col min="27" max="27" width="7"/>
    <col min="28" max="28" width="7"/>
    <col min="29" max="29" width="7"/>
    <col min="30" max="30" width="7"/>
  </cols>
  <sheetData>
    <row r="1" x14ac:dyDescent="0.25">
      <c r="A1" s="78" t="s">
        <v>1095</v>
      </c>
      <c r="B1" s="78" t="s">
        <v>1096</v>
      </c>
      <c r="C1" s="78" t="s">
        <v>1097</v>
      </c>
      <c r="D1" s="78" t="s">
        <v>1098</v>
      </c>
      <c r="E1" s="78" t="s">
        <v>1099</v>
      </c>
      <c r="F1" s="78" t="s">
        <v>1100</v>
      </c>
      <c r="G1" s="78" t="s">
        <v>1101</v>
      </c>
      <c r="H1" s="78" t="s">
        <v>1102</v>
      </c>
      <c r="I1" s="78" t="s">
        <v>1103</v>
      </c>
      <c r="J1" s="78" t="s">
        <v>1104</v>
      </c>
      <c r="K1" s="78" t="s">
        <v>1105</v>
      </c>
      <c r="L1" s="78" t="s">
        <v>1106</v>
      </c>
      <c r="M1" s="78" t="s">
        <v>1107</v>
      </c>
      <c r="N1" s="78" t="s">
        <v>1108</v>
      </c>
      <c r="O1" s="78" t="s">
        <v>1109</v>
      </c>
      <c r="P1" s="78" t="s">
        <v>1110</v>
      </c>
      <c r="Q1" s="78" t="s">
        <v>1111</v>
      </c>
      <c r="R1" s="78" t="s">
        <v>1112</v>
      </c>
      <c r="S1" s="78" t="s">
        <v>1113</v>
      </c>
      <c r="T1" s="78" t="s">
        <v>1114</v>
      </c>
      <c r="U1" s="78" t="s">
        <v>1115</v>
      </c>
      <c r="V1" s="78" t="s">
        <v>1116</v>
      </c>
      <c r="W1" s="78" t="s">
        <v>1117</v>
      </c>
      <c r="X1" s="78" t="s">
        <v>1118</v>
      </c>
      <c r="Y1" s="78" t="s">
        <v>1119</v>
      </c>
    </row>
    <row r="2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</row>
    <row r="8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</row>
  </sheetData>
  <conditionalFormatting sqref="B4:G4 H4:I5">
    <cfRule type="containsText" dxfId="34" priority="12" operator="containsText" text="N/A">
      <formula>NOT(ISERROR(SEARCH("N/A",B4)))</formula>
    </cfRule>
  </conditionalFormatting>
  <conditionalFormatting sqref="B5:G5">
    <cfRule type="containsText" dxfId="33" priority="11" operator="containsText" text="N/A">
      <formula>NOT(ISERROR(SEARCH("N/A",B5)))</formula>
    </cfRule>
  </conditionalFormatting>
  <conditionalFormatting sqref="B3:J3 L3">
    <cfRule type="containsText" dxfId="32" priority="8" operator="containsText" text="N/A">
      <formula>NOT(ISERROR(SEARCH("N/A",B3)))</formula>
    </cfRule>
  </conditionalFormatting>
  <conditionalFormatting sqref="U3">
    <cfRule type="containsText" dxfId="31" priority="6" operator="containsText" text="N/A">
      <formula>NOT(ISERROR(SEARCH("N/A",U3)))</formula>
    </cfRule>
  </conditionalFormatting>
  <conditionalFormatting sqref="N3:R3 X3">
    <cfRule type="containsText" dxfId="30" priority="5" operator="containsText" text="N/A">
      <formula>NOT(ISERROR(SEARCH("N/A",N3)))</formula>
    </cfRule>
  </conditionalFormatting>
  <conditionalFormatting sqref="S3:T3">
    <cfRule type="containsText" dxfId="29" priority="4" operator="containsText" text="N/A">
      <formula>NOT(ISERROR(SEARCH("N/A",S3)))</formula>
    </cfRule>
  </conditionalFormatting>
  <conditionalFormatting sqref="W3">
    <cfRule type="containsText" dxfId="28" priority="3" operator="containsText" text="N/A">
      <formula>NOT(ISERROR(SEARCH("N/A",W3)))</formula>
    </cfRule>
  </conditionalFormatting>
  <conditionalFormatting sqref="V3">
    <cfRule type="containsText" dxfId="27" priority="2" operator="containsText" text="N/A">
      <formula>NOT(ISERROR(SEARCH("N/A",V3)))</formula>
    </cfRule>
  </conditionalFormatting>
  <conditionalFormatting sqref="Y3">
    <cfRule type="containsText" dxfId="26" priority="1" operator="containsText" text="N/A">
      <formula>NOT(ISERROR(SEARCH("N/A",Y3)))</formula>
    </cfRule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K13" sqref="K13"/>
    </sheetView>
  </sheetViews>
  <sheetFormatPr defaultColWidth="8.140625" defaultRowHeight="15" x14ac:dyDescent="0.25"/>
  <cols>
    <col min="1" max="1" width="10.28515625" bestFit="true" customWidth="true"/>
  </cols>
  <sheetData>
    <row r="1" x14ac:dyDescent="0.25">
      <c r="A1" s="59" t="s">
        <v>591</v>
      </c>
      <c r="B1" s="13" t="s">
        <v>589</v>
      </c>
      <c r="C1" s="13" t="s">
        <v>590</v>
      </c>
    </row>
    <row r="2" x14ac:dyDescent="0.25">
      <c r="A2" s="13" t="s">
        <v>69</v>
      </c>
      <c r="B2" s="32">
        <v>1</v>
      </c>
      <c r="C2" s="32">
        <v>15</v>
      </c>
    </row>
    <row r="3" x14ac:dyDescent="0.25">
      <c r="A3" s="13" t="s">
        <v>601</v>
      </c>
      <c r="B3" s="32">
        <v>2</v>
      </c>
      <c r="C3" s="32">
        <v>30</v>
      </c>
    </row>
    <row r="4" x14ac:dyDescent="0.25">
      <c r="A4" s="13" t="s">
        <v>77</v>
      </c>
      <c r="B4" s="32">
        <v>1</v>
      </c>
      <c r="C4" s="32">
        <v>25</v>
      </c>
    </row>
    <row r="5" x14ac:dyDescent="0.25">
      <c r="A5" s="13" t="s">
        <v>598</v>
      </c>
      <c r="B5" s="32">
        <v>1.01</v>
      </c>
      <c r="C5" s="32">
        <v>35</v>
      </c>
    </row>
    <row r="6" x14ac:dyDescent="0.25">
      <c r="A6" s="13" t="s">
        <v>599</v>
      </c>
      <c r="B6" s="32">
        <v>1.01</v>
      </c>
      <c r="C6" s="32">
        <v>35</v>
      </c>
    </row>
    <row r="7" x14ac:dyDescent="0.25">
      <c r="A7" s="13" t="s">
        <v>600</v>
      </c>
      <c r="B7" s="32">
        <v>1</v>
      </c>
      <c r="C7" s="32">
        <v>100</v>
      </c>
    </row>
    <row r="8" x14ac:dyDescent="0.25">
      <c r="A8" s="13" t="s">
        <v>109</v>
      </c>
      <c r="B8" s="32">
        <v>1E-4</v>
      </c>
      <c r="C8" s="32">
        <v>40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5"/>
  <sheetViews>
    <sheetView zoomScale="80" zoomScaleNormal="80" workbookViewId="0">
      <selection activeCell="G5" sqref="G5"/>
    </sheetView>
  </sheetViews>
  <sheetFormatPr defaultRowHeight="15" x14ac:dyDescent="0.25"/>
  <cols>
    <col min="1" max="1" width="17.85546875" bestFit="true" customWidth="true"/>
    <col min="2" max="2" width="12.7109375" bestFit="true" customWidth="true"/>
    <col min="9" max="9" width="25.42578125" customWidth="true"/>
    <col min="11" max="11" width="18.5703125" customWidth="true"/>
  </cols>
  <sheetData>
    <row r="1" x14ac:dyDescent="0.25">
      <c r="A1" s="3" t="s">
        <v>3</v>
      </c>
      <c r="B1" s="3" t="s">
        <v>4</v>
      </c>
      <c r="C1" s="3" t="s">
        <v>5</v>
      </c>
      <c r="I1" t="s">
        <v>222</v>
      </c>
      <c r="J1" t="s">
        <v>528</v>
      </c>
      <c r="K1" t="s">
        <v>529</v>
      </c>
      <c r="L1" t="s">
        <v>530</v>
      </c>
      <c r="M1" t="s">
        <v>531</v>
      </c>
      <c r="AB1" s="1" t="s">
        <v>0</v>
      </c>
      <c r="AC1" s="1">
        <v>2379</v>
      </c>
      <c r="AD1" s="1" t="s">
        <v>6</v>
      </c>
    </row>
    <row r="2" x14ac:dyDescent="0.25">
      <c r="A2" s="1" t="s">
        <v>7</v>
      </c>
      <c r="B2" s="1">
        <v>9.8000000000000007</v>
      </c>
      <c r="C2" s="1" t="s">
        <v>8</v>
      </c>
      <c r="AB2" s="1" t="s">
        <v>9</v>
      </c>
      <c r="AC2" s="2">
        <v>1340</v>
      </c>
      <c r="AD2" s="1" t="s">
        <v>10</v>
      </c>
    </row>
    <row r="3" x14ac:dyDescent="0.25">
      <c r="A3" s="1" t="s">
        <v>11</v>
      </c>
      <c r="B3" s="1">
        <v>3.1415999999999999</v>
      </c>
      <c r="C3" s="1"/>
      <c r="AB3" s="1" t="s">
        <v>12</v>
      </c>
      <c r="AC3" s="2">
        <v>1050</v>
      </c>
      <c r="AD3" s="1" t="s">
        <v>10</v>
      </c>
    </row>
    <row r="4" ht="30" x14ac:dyDescent="0.25">
      <c r="A4" s="1" t="s">
        <v>13</v>
      </c>
      <c r="B4" s="1">
        <v>30</v>
      </c>
      <c r="C4" s="1" t="s">
        <v>14</v>
      </c>
      <c r="AB4" s="1" t="s">
        <v>15</v>
      </c>
      <c r="AC4" s="2">
        <v>1400</v>
      </c>
      <c r="AD4" s="1" t="s">
        <v>10</v>
      </c>
    </row>
    <row r="5" x14ac:dyDescent="0.25">
      <c r="A5" s="1" t="s">
        <v>16</v>
      </c>
      <c r="B5" s="0">
        <v>7920</v>
      </c>
      <c r="C5" s="1" t="s">
        <v>17</v>
      </c>
      <c r="AB5" s="1" t="s">
        <v>18</v>
      </c>
      <c r="AC5" s="2">
        <v>784</v>
      </c>
      <c r="AD5" s="1" t="s">
        <v>10</v>
      </c>
    </row>
    <row r="6" x14ac:dyDescent="0.25">
      <c r="A6" s="1" t="s">
        <v>630</v>
      </c>
      <c r="B6" s="1">
        <v>0.1</v>
      </c>
      <c r="C6" s="1"/>
      <c r="AB6" s="1" t="s">
        <v>20</v>
      </c>
      <c r="AC6" s="2">
        <v>192.2</v>
      </c>
      <c r="AD6" s="1" t="s">
        <v>21</v>
      </c>
    </row>
    <row r="7" x14ac:dyDescent="0.25">
      <c r="A7" s="1" t="s">
        <v>631</v>
      </c>
      <c r="B7" s="1">
        <v>25</v>
      </c>
      <c r="C7" s="1"/>
      <c r="AB7" s="1" t="s">
        <v>23</v>
      </c>
      <c r="AC7" s="2">
        <v>150.16999999999999</v>
      </c>
      <c r="AD7" s="1" t="s">
        <v>21</v>
      </c>
    </row>
    <row r="8" ht="30" x14ac:dyDescent="0.25">
      <c r="A8" s="1" t="s">
        <v>19</v>
      </c>
      <c r="B8" s="1">
        <f>B6*(1+B6)^B7/((1+B6)^B7-1)</f>
        <v>0.11016807219002084</v>
      </c>
      <c r="C8" s="1"/>
      <c r="AB8" s="1" t="s">
        <v>25</v>
      </c>
      <c r="AC8" s="2">
        <v>46.07</v>
      </c>
      <c r="AD8" s="1" t="s">
        <v>21</v>
      </c>
    </row>
    <row r="9" ht="30" x14ac:dyDescent="0.25">
      <c r="A9" s="1" t="s">
        <v>22</v>
      </c>
      <c r="B9" s="1">
        <v>5.4</v>
      </c>
      <c r="C9" s="1"/>
      <c r="AB9" s="1" t="s">
        <v>28</v>
      </c>
      <c r="AC9" s="2">
        <v>114</v>
      </c>
      <c r="AD9" s="1" t="s">
        <v>29</v>
      </c>
    </row>
    <row r="10" ht="30" x14ac:dyDescent="0.25">
      <c r="A10" s="1" t="s">
        <v>24</v>
      </c>
      <c r="B10" s="1">
        <v>2000</v>
      </c>
      <c r="C10" s="1" t="s">
        <v>17</v>
      </c>
      <c r="I10">
        <v>7920</v>
      </c>
      <c r="AB10" s="1" t="s">
        <v>32</v>
      </c>
      <c r="AC10" s="2">
        <v>366.27</v>
      </c>
      <c r="AD10" s="1" t="s">
        <v>29</v>
      </c>
    </row>
    <row r="11" ht="30" x14ac:dyDescent="0.25">
      <c r="A11" s="10" t="s">
        <v>26</v>
      </c>
      <c r="B11" s="11">
        <v>4.18</v>
      </c>
      <c r="C11" s="10" t="s">
        <v>27</v>
      </c>
      <c r="I11">
        <v>3552</v>
      </c>
      <c r="AB11" s="1" t="s">
        <v>34</v>
      </c>
      <c r="AC11" s="2">
        <v>569</v>
      </c>
      <c r="AD11" s="1" t="s">
        <v>29</v>
      </c>
    </row>
    <row r="12" x14ac:dyDescent="0.25">
      <c r="A12" s="1" t="s">
        <v>30</v>
      </c>
      <c r="B12" s="1">
        <v>1.2E-2</v>
      </c>
      <c r="C12" s="1" t="s">
        <v>31</v>
      </c>
      <c r="AB12" s="1" t="s">
        <v>37</v>
      </c>
      <c r="AC12" s="2">
        <v>44.04</v>
      </c>
      <c r="AD12" s="1" t="s">
        <v>21</v>
      </c>
    </row>
    <row r="13" x14ac:dyDescent="0.25">
      <c r="A13" s="1" t="s">
        <v>33</v>
      </c>
      <c r="B13" s="1">
        <v>5.0000000000000002E-5</v>
      </c>
      <c r="C13" s="1" t="s">
        <v>31</v>
      </c>
      <c r="AB13" s="1" t="s">
        <v>39</v>
      </c>
      <c r="AC13" s="17">
        <f>219/(192.2)</f>
        <v>1.1394380853277837</v>
      </c>
      <c r="AD13" s="1" t="s">
        <v>27</v>
      </c>
    </row>
    <row r="14" x14ac:dyDescent="0.25">
      <c r="A14" s="1" t="s">
        <v>35</v>
      </c>
      <c r="B14" s="1">
        <v>0.1</v>
      </c>
      <c r="C14" s="1" t="s">
        <v>36</v>
      </c>
      <c r="AB14" s="1" t="s">
        <v>41</v>
      </c>
      <c r="AC14" s="2">
        <f>246/150.7</f>
        <v>1.6323822163238222</v>
      </c>
      <c r="AD14" s="1" t="s">
        <v>27</v>
      </c>
    </row>
    <row r="15" x14ac:dyDescent="0.25">
      <c r="A15" s="1" t="s">
        <v>38</v>
      </c>
      <c r="B15" s="1">
        <v>5.0000000000000002E-5</v>
      </c>
      <c r="C15" s="1" t="s">
        <v>31</v>
      </c>
      <c r="AB15" s="1" t="s">
        <v>43</v>
      </c>
      <c r="AC15" s="2">
        <v>1.4466399999999999</v>
      </c>
      <c r="AD15" s="1" t="s">
        <v>27</v>
      </c>
    </row>
    <row r="16" x14ac:dyDescent="0.25">
      <c r="A16" s="1" t="s">
        <v>40</v>
      </c>
      <c r="B16" s="1">
        <v>25</v>
      </c>
      <c r="C16" s="1"/>
      <c r="AB16" s="1" t="s">
        <v>45</v>
      </c>
      <c r="AC16" s="2">
        <v>2.0219999999999998</v>
      </c>
      <c r="AD16" s="1" t="s">
        <v>27</v>
      </c>
    </row>
    <row r="17" ht="30" x14ac:dyDescent="0.25">
      <c r="A17" s="1" t="s">
        <v>42</v>
      </c>
      <c r="B17" s="1">
        <v>30</v>
      </c>
      <c r="C17" s="1"/>
      <c r="AB17" s="9" t="s">
        <v>47</v>
      </c>
      <c r="AC17" s="32">
        <v>4.2034468263976464E-2</v>
      </c>
      <c r="AD17" s="9" t="s">
        <v>48</v>
      </c>
    </row>
    <row r="18" ht="30" x14ac:dyDescent="0.25">
      <c r="A18" s="1" t="s">
        <v>44</v>
      </c>
      <c r="B18" s="1">
        <v>2115.6799999999998</v>
      </c>
      <c r="C18" s="1" t="s">
        <v>29</v>
      </c>
      <c r="AB18" s="9" t="s">
        <v>49</v>
      </c>
      <c r="AC18" s="32">
        <v>0.95754518705338376</v>
      </c>
      <c r="AD18" s="9" t="s">
        <v>48</v>
      </c>
    </row>
    <row r="19" ht="30" x14ac:dyDescent="0.25">
      <c r="A19" s="1" t="s">
        <v>46</v>
      </c>
      <c r="B19" s="1">
        <v>2675</v>
      </c>
      <c r="C19" s="1" t="s">
        <v>29</v>
      </c>
      <c r="AB19" s="9" t="s">
        <v>50</v>
      </c>
      <c r="AC19" s="32">
        <v>2.101723413198823E-4</v>
      </c>
      <c r="AD19" s="9" t="s">
        <v>48</v>
      </c>
    </row>
    <row r="20" ht="30" x14ac:dyDescent="0.25">
      <c r="AB20" s="9" t="s">
        <v>51</v>
      </c>
      <c r="AC20" s="32">
        <v>2.101723413198823E-4</v>
      </c>
      <c r="AD20" s="9" t="s">
        <v>48</v>
      </c>
    </row>
    <row r="25" x14ac:dyDescent="0.25">
      <c r="AB25" t="s">
        <v>52</v>
      </c>
      <c r="AC25">
        <f>SUM(AC17:AC20)</f>
        <v>1</v>
      </c>
    </row>
    <row r="40" x14ac:dyDescent="0.25">
      <c r="B40" s="3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tabSelected="true" workbookViewId="0">
      <selection sqref="A1:I3"/>
    </sheetView>
  </sheetViews>
  <sheetFormatPr defaultRowHeight="15" x14ac:dyDescent="0.25"/>
  <cols>
    <col min="1" max="1" width="10.28515625" bestFit="true" customWidth="true"/>
    <col min="2" max="9" width="15.7109375" customWidth="true"/>
    <col min="16" max="16" width="14.28515625" bestFit="true" customWidth="true"/>
  </cols>
  <sheetData>
    <row r="1" x14ac:dyDescent="0.25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</row>
    <row r="2" x14ac:dyDescent="0.25">
      <c r="A2" t="s">
        <v>62</v>
      </c>
      <c r="B2">
        <v>0.7</v>
      </c>
      <c r="C2">
        <v>1</v>
      </c>
      <c r="D2">
        <v>720</v>
      </c>
      <c r="E2">
        <v>24</v>
      </c>
      <c r="F2">
        <v>0.4</v>
      </c>
      <c r="G2">
        <v>4</v>
      </c>
      <c r="H2">
        <f>60/3600</f>
        <v>1.6666666666666666E-2</v>
      </c>
      <c r="I2">
        <v>0.5</v>
      </c>
    </row>
    <row r="3" x14ac:dyDescent="0.25">
      <c r="A3" t="s">
        <v>63</v>
      </c>
      <c r="B3">
        <v>0.7</v>
      </c>
      <c r="C3">
        <v>1</v>
      </c>
      <c r="D3">
        <v>720</v>
      </c>
      <c r="E3">
        <v>24</v>
      </c>
      <c r="F3">
        <v>0.4</v>
      </c>
      <c r="G3">
        <v>4</v>
      </c>
      <c r="H3">
        <f>60/3600</f>
        <v>1.6666666666666666E-2</v>
      </c>
      <c r="I3">
        <v>0.5</v>
      </c>
    </row>
    <row r="4" x14ac:dyDescent="0.25">
      <c r="P4" t="s">
        <v>3</v>
      </c>
      <c r="Q4" t="s">
        <v>5</v>
      </c>
      <c r="R4" t="s">
        <v>544</v>
      </c>
    </row>
    <row r="5" x14ac:dyDescent="0.25">
      <c r="P5" t="s">
        <v>54</v>
      </c>
      <c r="Q5" t="s">
        <v>632</v>
      </c>
      <c r="R5" t="s">
        <v>539</v>
      </c>
    </row>
    <row r="6" x14ac:dyDescent="0.25">
      <c r="P6" t="s">
        <v>55</v>
      </c>
      <c r="Q6" t="s">
        <v>633</v>
      </c>
      <c r="R6" t="s">
        <v>540</v>
      </c>
    </row>
    <row r="7" x14ac:dyDescent="0.25">
      <c r="P7" t="s">
        <v>56</v>
      </c>
      <c r="Q7" t="s">
        <v>633</v>
      </c>
      <c r="R7" t="s">
        <v>541</v>
      </c>
      <c r="T7" t="s">
        <v>642</v>
      </c>
    </row>
    <row r="8" x14ac:dyDescent="0.25">
      <c r="P8" t="s">
        <v>57</v>
      </c>
      <c r="Q8" t="s">
        <v>31</v>
      </c>
      <c r="R8" t="s">
        <v>917</v>
      </c>
    </row>
    <row r="9" x14ac:dyDescent="0.25">
      <c r="P9" t="s">
        <v>58</v>
      </c>
      <c r="Q9" t="s">
        <v>632</v>
      </c>
      <c r="R9" t="s">
        <v>543</v>
      </c>
    </row>
    <row r="10" ht="17.25" x14ac:dyDescent="0.25">
      <c r="P10" t="s">
        <v>59</v>
      </c>
      <c r="Q10" t="s">
        <v>636</v>
      </c>
      <c r="R10" t="s">
        <v>542</v>
      </c>
    </row>
    <row r="11" x14ac:dyDescent="0.25">
      <c r="P11" t="s">
        <v>60</v>
      </c>
      <c r="Q11" t="s">
        <v>633</v>
      </c>
      <c r="R11" t="s">
        <v>643</v>
      </c>
    </row>
    <row r="12" x14ac:dyDescent="0.25">
      <c r="P12" t="s">
        <v>61</v>
      </c>
      <c r="Q12" t="s">
        <v>635</v>
      </c>
      <c r="R12" t="s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workbookViewId="0">
      <selection activeCell="Q5" sqref="Q5:Q10"/>
    </sheetView>
  </sheetViews>
  <sheetFormatPr defaultRowHeight="15" x14ac:dyDescent="0.25"/>
  <cols>
    <col min="1" max="1" width="11.140625" bestFit="true" customWidth="true"/>
    <col min="2" max="6" width="15.7109375" customWidth="true"/>
    <col min="16" max="16" width="9.7109375" bestFit="true" customWidth="true"/>
  </cols>
  <sheetData>
    <row r="1" x14ac:dyDescent="0.25">
      <c r="A1" t="s">
        <v>53</v>
      </c>
      <c r="B1" s="4" t="s">
        <v>64</v>
      </c>
      <c r="C1" s="4" t="s">
        <v>65</v>
      </c>
      <c r="D1" s="4" t="s">
        <v>66</v>
      </c>
      <c r="E1" s="4" t="s">
        <v>67</v>
      </c>
      <c r="F1" s="4" t="s">
        <v>68</v>
      </c>
      <c r="G1" s="4" t="s">
        <v>553</v>
      </c>
      <c r="H1" s="4" t="s">
        <v>554</v>
      </c>
    </row>
    <row r="2" x14ac:dyDescent="0.25">
      <c r="A2" t="s">
        <v>69</v>
      </c>
      <c r="B2" s="4">
        <v>0.5</v>
      </c>
      <c r="C2" s="4">
        <v>0.7</v>
      </c>
      <c r="D2" s="4">
        <v>0.99</v>
      </c>
      <c r="E2" s="4">
        <v>2.5000000000000001E-4</v>
      </c>
      <c r="F2" s="5">
        <v>8.8999999999999995E-4</v>
      </c>
      <c r="G2">
        <f>MAX(Solid_Props!B3:B13)</f>
        <v>0</v>
      </c>
      <c r="H2">
        <f ca="true">Sol_Props!H1</f>
        <v>786</v>
      </c>
    </row>
    <row r="4" x14ac:dyDescent="0.25">
      <c r="P4" t="s">
        <v>3</v>
      </c>
      <c r="Q4" t="s">
        <v>5</v>
      </c>
      <c r="R4" t="s">
        <v>544</v>
      </c>
    </row>
    <row r="5" x14ac:dyDescent="0.25">
      <c r="P5" s="4" t="s">
        <v>64</v>
      </c>
      <c r="Q5" t="s">
        <v>919</v>
      </c>
      <c r="R5" t="s">
        <v>918</v>
      </c>
    </row>
    <row r="6" x14ac:dyDescent="0.25">
      <c r="P6" s="4" t="s">
        <v>65</v>
      </c>
      <c r="Q6" t="s">
        <v>632</v>
      </c>
      <c r="R6" t="s">
        <v>545</v>
      </c>
    </row>
    <row r="7" x14ac:dyDescent="0.25">
      <c r="P7" s="4" t="s">
        <v>67</v>
      </c>
      <c r="Q7" t="s">
        <v>552</v>
      </c>
      <c r="R7" t="s">
        <v>551</v>
      </c>
    </row>
    <row r="8" x14ac:dyDescent="0.25">
      <c r="P8" s="4" t="s">
        <v>68</v>
      </c>
      <c r="Q8" t="s">
        <v>920</v>
      </c>
      <c r="R8" t="s">
        <v>546</v>
      </c>
    </row>
    <row r="9" ht="17.25" x14ac:dyDescent="0.25">
      <c r="P9" s="4" t="s">
        <v>553</v>
      </c>
      <c r="Q9" t="s">
        <v>636</v>
      </c>
      <c r="R9" t="s">
        <v>558</v>
      </c>
    </row>
    <row r="10" ht="17.25" x14ac:dyDescent="0.25">
      <c r="P10" s="4" t="s">
        <v>554</v>
      </c>
      <c r="Q10" t="s">
        <v>636</v>
      </c>
      <c r="R10" t="s">
        <v>559</v>
      </c>
    </row>
    <row r="19" x14ac:dyDescent="0.25">
      <c r="P19" s="4" t="s">
        <v>66</v>
      </c>
      <c r="Q19" t="s">
        <v>938</v>
      </c>
      <c r="R19" t="s">
        <v>939</v>
      </c>
    </row>
  </sheetData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workbookViewId="0">
      <selection activeCell="N7" sqref="N7:N10"/>
    </sheetView>
  </sheetViews>
  <sheetFormatPr defaultRowHeight="15" x14ac:dyDescent="0.25"/>
  <cols>
    <col min="1" max="1" width="11.140625" bestFit="true" customWidth="true"/>
    <col min="2" max="4" width="15.7109375" customWidth="true"/>
    <col min="16" max="16" width="14.7109375" bestFit="true" customWidth="true"/>
  </cols>
  <sheetData>
    <row r="1" x14ac:dyDescent="0.25">
      <c r="A1" t="s">
        <v>53</v>
      </c>
      <c r="B1" t="s">
        <v>70</v>
      </c>
      <c r="C1" t="s">
        <v>71</v>
      </c>
      <c r="D1" t="s">
        <v>72</v>
      </c>
    </row>
    <row r="2" x14ac:dyDescent="0.25">
      <c r="A2" t="s">
        <v>73</v>
      </c>
      <c r="B2">
        <v>1000</v>
      </c>
      <c r="C2">
        <v>2</v>
      </c>
      <c r="D2">
        <v>0.3</v>
      </c>
    </row>
    <row r="4" x14ac:dyDescent="0.25">
      <c r="P4" t="s">
        <v>3</v>
      </c>
      <c r="Q4" t="s">
        <v>5</v>
      </c>
      <c r="R4" t="s">
        <v>544</v>
      </c>
    </row>
    <row r="5" ht="17.25" x14ac:dyDescent="0.25">
      <c r="P5" t="s">
        <v>70</v>
      </c>
      <c r="Q5" t="s">
        <v>636</v>
      </c>
      <c r="R5" t="s">
        <v>547</v>
      </c>
    </row>
    <row r="6" x14ac:dyDescent="0.25">
      <c r="P6" t="s">
        <v>71</v>
      </c>
      <c r="Q6" t="s">
        <v>632</v>
      </c>
      <c r="R6" t="s">
        <v>921</v>
      </c>
    </row>
    <row r="7" x14ac:dyDescent="0.25">
      <c r="P7" t="s">
        <v>72</v>
      </c>
      <c r="Q7" t="s">
        <v>31</v>
      </c>
      <c r="R7" t="s">
        <v>922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workbookViewId="0">
      <selection activeCell="N10" sqref="N10"/>
    </sheetView>
  </sheetViews>
  <sheetFormatPr defaultRowHeight="15" x14ac:dyDescent="0.25"/>
  <cols>
    <col min="1" max="1" width="11.140625" bestFit="true" customWidth="true"/>
    <col min="2" max="4" width="15.7109375" customWidth="true"/>
    <col min="16" max="16" width="13.140625" bestFit="true" customWidth="true"/>
  </cols>
  <sheetData>
    <row r="1" x14ac:dyDescent="0.25">
      <c r="A1" t="s">
        <v>53</v>
      </c>
      <c r="B1" s="4" t="s">
        <v>74</v>
      </c>
      <c r="C1" s="4" t="s">
        <v>75</v>
      </c>
      <c r="D1" s="4" t="s">
        <v>76</v>
      </c>
    </row>
    <row r="2" x14ac:dyDescent="0.25">
      <c r="A2" t="s">
        <v>77</v>
      </c>
      <c r="B2" s="4">
        <v>0.7</v>
      </c>
      <c r="C2" s="4">
        <v>20</v>
      </c>
      <c r="D2" s="4">
        <v>30</v>
      </c>
    </row>
    <row r="4" x14ac:dyDescent="0.25">
      <c r="P4" t="s">
        <v>3</v>
      </c>
      <c r="Q4" t="s">
        <v>5</v>
      </c>
      <c r="R4" t="s">
        <v>544</v>
      </c>
    </row>
    <row r="5" x14ac:dyDescent="0.25">
      <c r="P5" s="4" t="s">
        <v>74</v>
      </c>
      <c r="Q5" t="s">
        <v>637</v>
      </c>
      <c r="R5" t="s">
        <v>548</v>
      </c>
    </row>
    <row r="6" ht="17.25" x14ac:dyDescent="0.25">
      <c r="P6" s="4" t="s">
        <v>75</v>
      </c>
      <c r="Q6" t="s">
        <v>638</v>
      </c>
      <c r="R6" t="s">
        <v>549</v>
      </c>
    </row>
    <row r="7" ht="17.25" x14ac:dyDescent="0.25">
      <c r="P7" s="4" t="s">
        <v>76</v>
      </c>
      <c r="Q7" t="s">
        <v>638</v>
      </c>
      <c r="R7" t="s">
        <v>550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topLeftCell="D1" workbookViewId="0">
      <selection activeCell="J15" sqref="J15:S21"/>
    </sheetView>
  </sheetViews>
  <sheetFormatPr defaultRowHeight="15" x14ac:dyDescent="0.25"/>
  <cols>
    <col min="1" max="1" width="10.28515625" bestFit="true" customWidth="true"/>
    <col min="2" max="11" width="15.7109375" customWidth="true"/>
    <col min="16" max="16" width="12.5703125" bestFit="true" customWidth="true"/>
  </cols>
  <sheetData>
    <row r="1" x14ac:dyDescent="0.25">
      <c r="A1" t="s">
        <v>53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</row>
    <row r="2" x14ac:dyDescent="0.25">
      <c r="A2" t="s">
        <v>88</v>
      </c>
      <c r="B2">
        <v>1</v>
      </c>
      <c r="C2">
        <v>10800</v>
      </c>
      <c r="D2">
        <v>0.8</v>
      </c>
      <c r="E2">
        <v>1.5</v>
      </c>
      <c r="F2">
        <v>1.3</v>
      </c>
      <c r="G2">
        <v>2257</v>
      </c>
      <c r="H2">
        <v>18</v>
      </c>
      <c r="I2">
        <v>4.2</v>
      </c>
      <c r="J2">
        <v>250</v>
      </c>
      <c r="K2">
        <v>20</v>
      </c>
    </row>
    <row r="4" x14ac:dyDescent="0.25">
      <c r="P4" t="s">
        <v>3</v>
      </c>
      <c r="Q4" t="s">
        <v>5</v>
      </c>
      <c r="R4" t="s">
        <v>544</v>
      </c>
    </row>
    <row r="5" x14ac:dyDescent="0.25">
      <c r="P5" t="s">
        <v>78</v>
      </c>
      <c r="Q5" t="s">
        <v>632</v>
      </c>
      <c r="R5" t="s">
        <v>923</v>
      </c>
    </row>
    <row r="6" x14ac:dyDescent="0.25">
      <c r="P6" t="s">
        <v>79</v>
      </c>
      <c r="Q6" t="s">
        <v>924</v>
      </c>
      <c r="R6" t="s">
        <v>925</v>
      </c>
    </row>
    <row r="7" x14ac:dyDescent="0.25">
      <c r="P7" t="s">
        <v>80</v>
      </c>
      <c r="Q7" t="s">
        <v>632</v>
      </c>
      <c r="R7" t="s">
        <v>639</v>
      </c>
    </row>
    <row r="8" x14ac:dyDescent="0.25">
      <c r="P8" t="s">
        <v>81</v>
      </c>
      <c r="Q8" t="s">
        <v>552</v>
      </c>
      <c r="R8" t="s">
        <v>640</v>
      </c>
    </row>
    <row r="9" x14ac:dyDescent="0.25">
      <c r="P9" t="s">
        <v>82</v>
      </c>
      <c r="Q9" t="s">
        <v>929</v>
      </c>
      <c r="R9" t="s">
        <v>930</v>
      </c>
    </row>
    <row r="10" x14ac:dyDescent="0.25">
      <c r="P10" t="s">
        <v>83</v>
      </c>
      <c r="Q10" t="s">
        <v>29</v>
      </c>
      <c r="R10" t="s">
        <v>926</v>
      </c>
    </row>
    <row r="11" x14ac:dyDescent="0.25">
      <c r="P11" t="s">
        <v>84</v>
      </c>
      <c r="Q11" t="s">
        <v>21</v>
      </c>
      <c r="R11" t="s">
        <v>927</v>
      </c>
    </row>
    <row r="12" x14ac:dyDescent="0.25">
      <c r="P12" t="s">
        <v>85</v>
      </c>
      <c r="Q12" t="s">
        <v>928</v>
      </c>
      <c r="R12" t="s">
        <v>936</v>
      </c>
    </row>
    <row r="13" x14ac:dyDescent="0.25">
      <c r="P13" t="s">
        <v>86</v>
      </c>
      <c r="Q13" t="s">
        <v>929</v>
      </c>
      <c r="R13" t="s">
        <v>937</v>
      </c>
    </row>
    <row r="14" x14ac:dyDescent="0.25">
      <c r="P14" t="s">
        <v>87</v>
      </c>
      <c r="Q14" t="s">
        <v>929</v>
      </c>
      <c r="R14" t="s">
        <v>641</v>
      </c>
    </row>
    <row r="19" x14ac:dyDescent="0.25">
      <c r="J19" s="5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workbookViewId="0">
      <selection activeCell="N12" sqref="N12:N16"/>
    </sheetView>
  </sheetViews>
  <sheetFormatPr defaultRowHeight="15" x14ac:dyDescent="0.25"/>
  <cols>
    <col min="1" max="1" width="11.140625" bestFit="true" customWidth="true"/>
    <col min="2" max="4" width="15.7109375" customWidth="true"/>
  </cols>
  <sheetData>
    <row r="1" x14ac:dyDescent="0.25">
      <c r="A1" t="s">
        <v>53</v>
      </c>
      <c r="B1" s="4" t="s">
        <v>89</v>
      </c>
      <c r="C1" s="4" t="s">
        <v>90</v>
      </c>
      <c r="D1" s="6" t="s">
        <v>91</v>
      </c>
    </row>
    <row r="2" x14ac:dyDescent="0.25">
      <c r="A2" t="s">
        <v>92</v>
      </c>
      <c r="B2" s="4">
        <v>0.2</v>
      </c>
      <c r="C2" s="4">
        <v>100</v>
      </c>
      <c r="D2" s="4">
        <v>100</v>
      </c>
    </row>
    <row r="4" x14ac:dyDescent="0.25">
      <c r="P4" t="s">
        <v>3</v>
      </c>
      <c r="Q4" t="s">
        <v>5</v>
      </c>
      <c r="R4" t="s">
        <v>544</v>
      </c>
    </row>
    <row r="5" ht="17.25" x14ac:dyDescent="0.25">
      <c r="P5" s="4" t="s">
        <v>89</v>
      </c>
      <c r="Q5" t="s">
        <v>931</v>
      </c>
      <c r="R5" t="s">
        <v>933</v>
      </c>
    </row>
    <row r="6" ht="17.25" x14ac:dyDescent="0.25">
      <c r="P6" s="4" t="s">
        <v>90</v>
      </c>
      <c r="Q6" t="s">
        <v>932</v>
      </c>
      <c r="R6" t="s">
        <v>934</v>
      </c>
    </row>
    <row r="7" x14ac:dyDescent="0.25">
      <c r="P7" s="6" t="s">
        <v>91</v>
      </c>
      <c r="Q7" t="s">
        <v>919</v>
      </c>
      <c r="R7" t="s">
        <v>935</v>
      </c>
    </row>
    <row r="14" x14ac:dyDescent="0.25">
      <c r="N14" s="58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workbookViewId="0">
      <selection activeCell="O9" sqref="O9:O12"/>
    </sheetView>
  </sheetViews>
  <sheetFormatPr defaultRowHeight="15" x14ac:dyDescent="0.25"/>
  <cols>
    <col min="1" max="1" width="11.140625" bestFit="true" customWidth="true"/>
    <col min="2" max="3" width="15.7109375" customWidth="true"/>
  </cols>
  <sheetData>
    <row r="1" x14ac:dyDescent="0.25">
      <c r="A1" t="s">
        <v>53</v>
      </c>
      <c r="B1" t="s">
        <v>93</v>
      </c>
      <c r="C1" t="s">
        <v>94</v>
      </c>
    </row>
    <row r="2" x14ac:dyDescent="0.25">
      <c r="A2" t="s">
        <v>95</v>
      </c>
      <c r="B2">
        <v>8.5599999999999996E-2</v>
      </c>
      <c r="C2">
        <v>736</v>
      </c>
    </row>
    <row r="3" x14ac:dyDescent="0.25">
      <c r="A3" t="s">
        <v>96</v>
      </c>
      <c r="B3">
        <v>8.5599999999999996E-2</v>
      </c>
      <c r="C3">
        <v>736</v>
      </c>
    </row>
    <row r="4" x14ac:dyDescent="0.25">
      <c r="P4" t="s">
        <v>3</v>
      </c>
      <c r="Q4" t="s">
        <v>5</v>
      </c>
      <c r="R4" t="s">
        <v>544</v>
      </c>
    </row>
    <row r="5" ht="17.25" x14ac:dyDescent="0.25">
      <c r="P5" t="s">
        <v>93</v>
      </c>
      <c r="Q5" t="s">
        <v>931</v>
      </c>
      <c r="R5" t="s">
        <v>933</v>
      </c>
    </row>
    <row r="6" ht="17.25" x14ac:dyDescent="0.25">
      <c r="P6" t="s">
        <v>94</v>
      </c>
      <c r="Q6" t="s">
        <v>932</v>
      </c>
      <c r="R6" t="s">
        <v>934</v>
      </c>
    </row>
    <row r="11" x14ac:dyDescent="0.25">
      <c r="O11" s="58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workbookViewId="0">
      <selection activeCell="N9" sqref="N9:N12"/>
    </sheetView>
  </sheetViews>
  <sheetFormatPr defaultRowHeight="15" x14ac:dyDescent="0.25"/>
  <cols>
    <col min="1" max="1" width="11.140625" bestFit="true" customWidth="true"/>
    <col min="2" max="3" width="15.7109375" customWidth="true"/>
    <col min="4" max="4" width="9.42578125" bestFit="true" customWidth="true"/>
    <col min="5" max="6" width="9.7109375" bestFit="true" customWidth="true"/>
    <col min="7" max="7" width="9.85546875" bestFit="true" customWidth="true"/>
    <col min="8" max="8" width="14.5703125" bestFit="true" customWidth="true"/>
    <col min="16" max="16" width="9.42578125" bestFit="true" customWidth="true"/>
  </cols>
  <sheetData>
    <row r="1" x14ac:dyDescent="0.25">
      <c r="A1" t="s">
        <v>53</v>
      </c>
      <c r="B1" t="s">
        <v>97</v>
      </c>
      <c r="C1" t="s">
        <v>98</v>
      </c>
      <c r="D1" s="4"/>
      <c r="E1" s="4"/>
      <c r="F1" s="4"/>
      <c r="G1" s="4"/>
      <c r="H1" s="6"/>
    </row>
    <row r="2" x14ac:dyDescent="0.25">
      <c r="A2" t="s">
        <v>99</v>
      </c>
      <c r="B2">
        <v>5.5E-2</v>
      </c>
      <c r="C2">
        <v>1000</v>
      </c>
    </row>
    <row r="3" x14ac:dyDescent="0.25">
      <c r="A3" t="s">
        <v>100</v>
      </c>
      <c r="B3">
        <v>5.5E-2</v>
      </c>
      <c r="C3">
        <v>1000</v>
      </c>
    </row>
    <row r="4" x14ac:dyDescent="0.25">
      <c r="A4" t="s">
        <v>101</v>
      </c>
      <c r="B4">
        <v>5.5E-2</v>
      </c>
      <c r="C4">
        <v>1000</v>
      </c>
      <c r="P4" t="s">
        <v>3</v>
      </c>
      <c r="Q4" t="s">
        <v>5</v>
      </c>
      <c r="R4" t="s">
        <v>544</v>
      </c>
    </row>
    <row r="5" ht="17.25" x14ac:dyDescent="0.25">
      <c r="P5" t="s">
        <v>97</v>
      </c>
      <c r="Q5" t="s">
        <v>931</v>
      </c>
      <c r="R5" t="s">
        <v>933</v>
      </c>
    </row>
    <row r="6" ht="17.25" x14ac:dyDescent="0.25">
      <c r="P6" t="s">
        <v>98</v>
      </c>
      <c r="Q6" t="s">
        <v>932</v>
      </c>
      <c r="R6" t="s">
        <v>934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workbookViewId="0">
      <selection activeCell="M3" sqref="M3:N10"/>
    </sheetView>
  </sheetViews>
  <sheetFormatPr defaultRowHeight="15" x14ac:dyDescent="0.25"/>
  <cols>
    <col min="1" max="1" width="11.140625" bestFit="true" customWidth="true"/>
    <col min="2" max="3" width="15.7109375" customWidth="true"/>
  </cols>
  <sheetData>
    <row r="1" x14ac:dyDescent="0.25">
      <c r="A1" t="s">
        <v>53</v>
      </c>
      <c r="B1" t="s">
        <v>102</v>
      </c>
      <c r="C1" t="s">
        <v>103</v>
      </c>
    </row>
    <row r="2" x14ac:dyDescent="0.25">
      <c r="A2" t="s">
        <v>104</v>
      </c>
      <c r="B2">
        <v>8.5599999999999996E-2</v>
      </c>
      <c r="C2">
        <v>736</v>
      </c>
    </row>
    <row r="3" x14ac:dyDescent="0.25">
      <c r="A3" t="s">
        <v>105</v>
      </c>
      <c r="B3">
        <v>8.5599999999999996E-2</v>
      </c>
      <c r="C3">
        <v>736</v>
      </c>
    </row>
    <row r="4" x14ac:dyDescent="0.25">
      <c r="P4" t="s">
        <v>3</v>
      </c>
      <c r="Q4" t="s">
        <v>5</v>
      </c>
      <c r="R4" t="s">
        <v>544</v>
      </c>
    </row>
    <row r="5" ht="17.25" x14ac:dyDescent="0.25">
      <c r="P5" t="s">
        <v>102</v>
      </c>
      <c r="Q5" t="s">
        <v>931</v>
      </c>
      <c r="R5" t="s">
        <v>933</v>
      </c>
    </row>
    <row r="6" ht="17.25" x14ac:dyDescent="0.25">
      <c r="P6" t="s">
        <v>103</v>
      </c>
      <c r="Q6" t="s">
        <v>932</v>
      </c>
      <c r="R6" t="s">
        <v>934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workbookViewId="0">
      <selection activeCell="O15" sqref="O15"/>
    </sheetView>
  </sheetViews>
  <sheetFormatPr defaultRowHeight="15" x14ac:dyDescent="0.25"/>
  <cols>
    <col min="1" max="1" width="11.140625" bestFit="true" customWidth="true"/>
    <col min="2" max="4" width="15.7109375" customWidth="true"/>
    <col min="16" max="16" width="13.140625" bestFit="true" customWidth="true"/>
  </cols>
  <sheetData>
    <row r="1" x14ac:dyDescent="0.25">
      <c r="A1" t="s">
        <v>53</v>
      </c>
      <c r="B1" t="s">
        <v>106</v>
      </c>
      <c r="C1" t="s">
        <v>107</v>
      </c>
      <c r="D1" t="s">
        <v>108</v>
      </c>
    </row>
    <row r="2" x14ac:dyDescent="0.25">
      <c r="A2" t="s">
        <v>109</v>
      </c>
      <c r="B2">
        <v>0.2</v>
      </c>
      <c r="C2">
        <v>4000</v>
      </c>
      <c r="D2">
        <v>100</v>
      </c>
    </row>
    <row r="4" x14ac:dyDescent="0.25">
      <c r="P4" t="s">
        <v>3</v>
      </c>
      <c r="Q4" t="s">
        <v>5</v>
      </c>
      <c r="R4" t="s">
        <v>544</v>
      </c>
    </row>
    <row r="5" ht="17.25" x14ac:dyDescent="0.25">
      <c r="P5" t="s">
        <v>106</v>
      </c>
      <c r="Q5" t="s">
        <v>931</v>
      </c>
      <c r="R5" t="s">
        <v>933</v>
      </c>
    </row>
    <row r="6" x14ac:dyDescent="0.25">
      <c r="P6" t="s">
        <v>107</v>
      </c>
      <c r="Q6" t="s">
        <v>919</v>
      </c>
      <c r="R6" t="s">
        <v>935</v>
      </c>
    </row>
    <row r="7" ht="17.25" x14ac:dyDescent="0.25">
      <c r="P7" t="s">
        <v>108</v>
      </c>
      <c r="Q7" t="s">
        <v>932</v>
      </c>
      <c r="R7" t="s">
        <v>934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0"/>
  <sheetViews>
    <sheetView topLeftCell="A13" zoomScale="60" zoomScaleNormal="60" workbookViewId="0">
      <selection activeCell="AC60" sqref="AC60"/>
    </sheetView>
  </sheetViews>
  <sheetFormatPr defaultColWidth="8.85546875" defaultRowHeight="15" x14ac:dyDescent="0.25"/>
  <cols>
    <col min="1" max="9" width="8.85546875" style="7"/>
    <col min="10" max="10" width="9.140625" customWidth="true"/>
    <col min="11" max="16384" width="8.85546875" style="7"/>
  </cols>
  <sheetData>
    <row r="1" ht="19.15" customHeight="true" x14ac:dyDescent="0.25">
      <c r="A1" s="13" t="s">
        <v>110</v>
      </c>
      <c r="B1" s="13" t="s">
        <v>111</v>
      </c>
      <c r="C1" s="13" t="s">
        <v>69</v>
      </c>
      <c r="D1" s="13" t="s">
        <v>92</v>
      </c>
      <c r="E1" s="13" t="s">
        <v>62</v>
      </c>
      <c r="F1" s="13" t="s">
        <v>73</v>
      </c>
      <c r="G1" s="13" t="s">
        <v>112</v>
      </c>
      <c r="H1" s="13" t="s">
        <v>77</v>
      </c>
      <c r="I1" s="13" t="s">
        <v>113</v>
      </c>
      <c r="J1" s="13" t="s">
        <v>114</v>
      </c>
      <c r="K1" s="13" t="s">
        <v>88</v>
      </c>
      <c r="L1" s="13" t="s">
        <v>99</v>
      </c>
      <c r="M1" s="13" t="s">
        <v>63</v>
      </c>
      <c r="N1" s="13" t="s">
        <v>115</v>
      </c>
      <c r="O1" s="13" t="s">
        <v>95</v>
      </c>
      <c r="P1" s="13" t="s">
        <v>116</v>
      </c>
      <c r="Q1" s="13" t="s">
        <v>117</v>
      </c>
      <c r="R1" s="13" t="s">
        <v>96</v>
      </c>
      <c r="S1" s="13" t="s">
        <v>104</v>
      </c>
      <c r="T1" s="13" t="s">
        <v>100</v>
      </c>
      <c r="U1" s="13" t="s">
        <v>118</v>
      </c>
      <c r="V1" s="13" t="s">
        <v>119</v>
      </c>
      <c r="W1" s="13" t="s">
        <v>120</v>
      </c>
      <c r="X1" s="13" t="s">
        <v>105</v>
      </c>
      <c r="Y1" s="13" t="s">
        <v>109</v>
      </c>
      <c r="Z1" s="13" t="s">
        <v>121</v>
      </c>
      <c r="AA1" s="13" t="s">
        <v>101</v>
      </c>
      <c r="AB1" s="13" t="s">
        <v>122</v>
      </c>
      <c r="AC1" s="7" t="s">
        <v>588</v>
      </c>
    </row>
    <row r="2" ht="18.75" x14ac:dyDescent="0.3">
      <c r="A2" s="14">
        <v>1</v>
      </c>
      <c r="B2" s="16">
        <v>1</v>
      </c>
      <c r="C2" s="16">
        <v>0</v>
      </c>
      <c r="D2" s="16">
        <v>0</v>
      </c>
      <c r="E2" s="16">
        <v>0</v>
      </c>
      <c r="F2" s="16">
        <v>0</v>
      </c>
      <c r="G2" s="16">
        <v>0</v>
      </c>
      <c r="H2" s="16">
        <v>0</v>
      </c>
      <c r="I2" s="16">
        <v>0</v>
      </c>
      <c r="J2" s="16">
        <v>0</v>
      </c>
      <c r="K2" s="16">
        <v>0</v>
      </c>
      <c r="L2" s="16">
        <v>0</v>
      </c>
      <c r="M2" s="16">
        <v>0</v>
      </c>
      <c r="N2" s="16">
        <v>0</v>
      </c>
      <c r="O2" s="16">
        <v>0</v>
      </c>
      <c r="P2" s="16">
        <v>0</v>
      </c>
      <c r="Q2" s="16">
        <v>0</v>
      </c>
      <c r="R2" s="16">
        <v>0</v>
      </c>
      <c r="S2" s="16">
        <v>0</v>
      </c>
      <c r="T2" s="16">
        <v>0</v>
      </c>
      <c r="U2" s="16">
        <v>0</v>
      </c>
      <c r="V2" s="16">
        <v>0</v>
      </c>
      <c r="W2" s="16">
        <v>0</v>
      </c>
      <c r="X2" s="16">
        <v>0</v>
      </c>
      <c r="Y2" s="16">
        <v>0</v>
      </c>
      <c r="Z2" s="16">
        <v>0</v>
      </c>
      <c r="AA2" s="16">
        <v>0</v>
      </c>
      <c r="AB2" s="16">
        <v>0</v>
      </c>
      <c r="AC2" s="7">
        <v>0</v>
      </c>
    </row>
    <row r="3" ht="18.75" x14ac:dyDescent="0.3">
      <c r="A3" s="13">
        <f>A2+1</f>
        <v>2</v>
      </c>
      <c r="B3" s="16">
        <v>-1</v>
      </c>
      <c r="C3" s="16">
        <v>1</v>
      </c>
      <c r="D3" s="16">
        <v>0</v>
      </c>
      <c r="E3" s="16">
        <v>0</v>
      </c>
      <c r="F3" s="16">
        <v>0</v>
      </c>
      <c r="G3" s="16">
        <v>0</v>
      </c>
      <c r="H3" s="16">
        <v>0</v>
      </c>
      <c r="I3" s="16">
        <v>0</v>
      </c>
      <c r="J3" s="16">
        <v>0</v>
      </c>
      <c r="K3" s="16">
        <v>0</v>
      </c>
      <c r="L3" s="16">
        <v>0</v>
      </c>
      <c r="M3" s="16">
        <v>0</v>
      </c>
      <c r="N3" s="16">
        <v>0</v>
      </c>
      <c r="O3" s="16">
        <v>0</v>
      </c>
      <c r="P3" s="16">
        <v>0</v>
      </c>
      <c r="Q3" s="16">
        <v>0</v>
      </c>
      <c r="R3" s="16">
        <v>0</v>
      </c>
      <c r="S3" s="16">
        <v>0</v>
      </c>
      <c r="T3" s="16">
        <v>0</v>
      </c>
      <c r="U3" s="16">
        <v>0</v>
      </c>
      <c r="V3" s="16">
        <v>0</v>
      </c>
      <c r="W3" s="16">
        <v>0</v>
      </c>
      <c r="X3" s="16">
        <v>0</v>
      </c>
      <c r="Y3" s="16">
        <v>0</v>
      </c>
      <c r="Z3" s="16">
        <v>0</v>
      </c>
      <c r="AA3" s="16">
        <v>0</v>
      </c>
      <c r="AB3" s="16">
        <v>0</v>
      </c>
      <c r="AC3" s="7">
        <v>0</v>
      </c>
    </row>
    <row r="4" ht="18.75" x14ac:dyDescent="0.3">
      <c r="A4" s="13">
        <f t="shared" ref="A4:A10" si="0">A3+1</f>
        <v>3</v>
      </c>
      <c r="B4" s="16">
        <v>0</v>
      </c>
      <c r="C4" s="16">
        <v>-1</v>
      </c>
      <c r="D4" s="16">
        <v>0</v>
      </c>
      <c r="E4" s="16">
        <v>0</v>
      </c>
      <c r="F4" s="16">
        <v>0</v>
      </c>
      <c r="G4" s="16">
        <v>0</v>
      </c>
      <c r="H4" s="16">
        <v>0</v>
      </c>
      <c r="I4" s="16">
        <v>0</v>
      </c>
      <c r="J4" s="16">
        <v>0</v>
      </c>
      <c r="K4" s="16">
        <v>0</v>
      </c>
      <c r="L4" s="16">
        <v>0</v>
      </c>
      <c r="M4" s="16">
        <v>0</v>
      </c>
      <c r="N4" s="16">
        <v>0</v>
      </c>
      <c r="O4" s="16">
        <v>0</v>
      </c>
      <c r="P4" s="16">
        <v>0</v>
      </c>
      <c r="Q4" s="16">
        <v>0</v>
      </c>
      <c r="R4" s="16">
        <v>0</v>
      </c>
      <c r="S4" s="16">
        <v>0</v>
      </c>
      <c r="T4" s="16">
        <v>0</v>
      </c>
      <c r="U4" s="16">
        <v>0</v>
      </c>
      <c r="V4" s="16">
        <v>0</v>
      </c>
      <c r="W4" s="16">
        <v>0</v>
      </c>
      <c r="X4" s="16">
        <v>0</v>
      </c>
      <c r="Y4" s="16">
        <v>0</v>
      </c>
      <c r="Z4" s="16">
        <v>0</v>
      </c>
      <c r="AA4" s="16">
        <v>0</v>
      </c>
      <c r="AB4" s="16">
        <v>0</v>
      </c>
      <c r="AC4" s="7">
        <v>1</v>
      </c>
    </row>
    <row r="5" ht="18.75" x14ac:dyDescent="0.3">
      <c r="A5" s="13">
        <f t="shared" si="0"/>
        <v>4</v>
      </c>
      <c r="B5" s="16">
        <v>0</v>
      </c>
      <c r="C5" s="16">
        <v>-1</v>
      </c>
      <c r="D5" s="16">
        <v>0</v>
      </c>
      <c r="E5" s="16">
        <v>0</v>
      </c>
      <c r="F5" s="16">
        <v>0</v>
      </c>
      <c r="G5" s="16">
        <v>0</v>
      </c>
      <c r="H5" s="16">
        <v>0</v>
      </c>
      <c r="I5" s="16">
        <v>1</v>
      </c>
      <c r="J5" s="16">
        <v>0</v>
      </c>
      <c r="K5" s="16">
        <v>0</v>
      </c>
      <c r="L5" s="16">
        <v>0</v>
      </c>
      <c r="M5" s="16">
        <v>0</v>
      </c>
      <c r="N5" s="16">
        <v>0</v>
      </c>
      <c r="O5" s="16">
        <v>0</v>
      </c>
      <c r="P5" s="16">
        <v>0</v>
      </c>
      <c r="Q5" s="16">
        <v>0</v>
      </c>
      <c r="R5" s="16">
        <v>0</v>
      </c>
      <c r="S5" s="16">
        <v>0</v>
      </c>
      <c r="T5" s="16">
        <v>0</v>
      </c>
      <c r="U5" s="16">
        <v>0</v>
      </c>
      <c r="V5" s="16">
        <v>0</v>
      </c>
      <c r="W5" s="16">
        <v>0</v>
      </c>
      <c r="X5" s="16">
        <v>0</v>
      </c>
      <c r="Y5" s="16">
        <v>0</v>
      </c>
      <c r="Z5" s="16">
        <v>0</v>
      </c>
      <c r="AA5" s="16">
        <v>0</v>
      </c>
      <c r="AB5" s="16">
        <v>0</v>
      </c>
      <c r="AC5" s="7">
        <v>0</v>
      </c>
    </row>
    <row r="6" ht="18.75" x14ac:dyDescent="0.3">
      <c r="A6" s="13">
        <f t="shared" si="0"/>
        <v>5</v>
      </c>
      <c r="B6" s="16">
        <v>-1</v>
      </c>
      <c r="C6" s="16">
        <v>0</v>
      </c>
      <c r="D6" s="16">
        <v>1</v>
      </c>
      <c r="E6" s="16">
        <v>0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7">
        <v>0</v>
      </c>
    </row>
    <row r="7" ht="18.75" x14ac:dyDescent="0.3">
      <c r="A7" s="13">
        <f t="shared" si="0"/>
        <v>6</v>
      </c>
      <c r="B7" s="16">
        <v>0</v>
      </c>
      <c r="C7" s="16">
        <v>0</v>
      </c>
      <c r="D7" s="16">
        <v>-1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7">
        <v>1</v>
      </c>
    </row>
    <row r="8" ht="18.75" x14ac:dyDescent="0.3">
      <c r="A8" s="13">
        <f t="shared" si="0"/>
        <v>7</v>
      </c>
      <c r="B8" s="16">
        <v>0</v>
      </c>
      <c r="C8" s="16">
        <v>0</v>
      </c>
      <c r="D8" s="16">
        <v>-1</v>
      </c>
      <c r="E8" s="16">
        <v>0</v>
      </c>
      <c r="F8" s="16">
        <v>0</v>
      </c>
      <c r="G8" s="16">
        <v>0</v>
      </c>
      <c r="H8" s="16">
        <v>0</v>
      </c>
      <c r="I8" s="16">
        <v>1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7">
        <v>0</v>
      </c>
    </row>
    <row r="9" ht="18.75" x14ac:dyDescent="0.3">
      <c r="A9" s="13">
        <f t="shared" si="0"/>
        <v>8</v>
      </c>
      <c r="B9" s="16">
        <v>-1</v>
      </c>
      <c r="C9" s="16">
        <v>0</v>
      </c>
      <c r="D9" s="16">
        <v>0</v>
      </c>
      <c r="E9" s="16">
        <v>1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7">
        <v>0</v>
      </c>
    </row>
    <row r="10" ht="18.75" x14ac:dyDescent="0.3">
      <c r="A10" s="13">
        <f t="shared" si="0"/>
        <v>9</v>
      </c>
      <c r="B10" s="16">
        <v>0</v>
      </c>
      <c r="C10" s="16">
        <v>0</v>
      </c>
      <c r="D10" s="16">
        <v>0</v>
      </c>
      <c r="E10" s="16">
        <v>-1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7">
        <v>1</v>
      </c>
    </row>
    <row r="11" ht="18.75" x14ac:dyDescent="0.3">
      <c r="A11" s="13">
        <v>10</v>
      </c>
      <c r="B11" s="16">
        <v>0</v>
      </c>
      <c r="C11" s="16">
        <v>0</v>
      </c>
      <c r="D11" s="16">
        <v>0</v>
      </c>
      <c r="E11" s="16">
        <v>-1</v>
      </c>
      <c r="F11" s="16">
        <v>0</v>
      </c>
      <c r="G11" s="16">
        <v>0</v>
      </c>
      <c r="H11" s="16">
        <v>0</v>
      </c>
      <c r="I11" s="16">
        <v>1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7">
        <v>0</v>
      </c>
    </row>
    <row r="12" ht="18.75" x14ac:dyDescent="0.3">
      <c r="A12" s="13">
        <f>A11+1</f>
        <v>11</v>
      </c>
      <c r="B12" s="16">
        <v>-1</v>
      </c>
      <c r="C12" s="16">
        <v>0</v>
      </c>
      <c r="D12" s="16">
        <v>0</v>
      </c>
      <c r="E12" s="16">
        <v>0</v>
      </c>
      <c r="F12" s="16">
        <v>1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7">
        <v>0</v>
      </c>
    </row>
    <row r="13" ht="18.75" x14ac:dyDescent="0.3">
      <c r="A13" s="13">
        <f t="shared" ref="A13:A20" si="1">A12+1</f>
        <v>12</v>
      </c>
      <c r="B13" s="16">
        <v>0</v>
      </c>
      <c r="C13" s="16">
        <v>0</v>
      </c>
      <c r="D13" s="16">
        <v>0</v>
      </c>
      <c r="E13" s="16">
        <v>0</v>
      </c>
      <c r="F13" s="16">
        <v>-1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7">
        <v>1</v>
      </c>
    </row>
    <row r="14" ht="18.75" x14ac:dyDescent="0.3">
      <c r="A14" s="13">
        <f t="shared" si="1"/>
        <v>13</v>
      </c>
      <c r="B14" s="16">
        <v>0</v>
      </c>
      <c r="C14" s="16">
        <v>0</v>
      </c>
      <c r="D14" s="16">
        <v>0</v>
      </c>
      <c r="E14" s="16">
        <v>0</v>
      </c>
      <c r="F14" s="16">
        <v>-1</v>
      </c>
      <c r="G14" s="16">
        <v>0</v>
      </c>
      <c r="H14" s="16">
        <v>0</v>
      </c>
      <c r="I14" s="16">
        <v>1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7">
        <v>0</v>
      </c>
    </row>
    <row r="15" ht="16.15" customHeight="true" x14ac:dyDescent="0.3">
      <c r="A15" s="13">
        <f t="shared" si="1"/>
        <v>14</v>
      </c>
      <c r="B15" s="16">
        <v>-1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1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7">
        <v>0</v>
      </c>
    </row>
    <row r="16" ht="18.75" x14ac:dyDescent="0.3">
      <c r="A16" s="13">
        <f t="shared" si="1"/>
        <v>15</v>
      </c>
      <c r="B16" s="16">
        <v>0</v>
      </c>
      <c r="C16" s="16">
        <v>0</v>
      </c>
      <c r="D16" s="16">
        <v>0</v>
      </c>
      <c r="E16" s="16">
        <v>0</v>
      </c>
      <c r="F16" s="16">
        <v>0</v>
      </c>
      <c r="G16" s="16">
        <v>0</v>
      </c>
      <c r="H16" s="16">
        <v>-1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7">
        <v>1</v>
      </c>
    </row>
    <row r="17" ht="18.75" x14ac:dyDescent="0.3">
      <c r="A17" s="13">
        <f t="shared" si="1"/>
        <v>16</v>
      </c>
      <c r="B17" s="16">
        <v>0</v>
      </c>
      <c r="C17" s="16">
        <v>0</v>
      </c>
      <c r="D17" s="16">
        <v>0</v>
      </c>
      <c r="E17" s="16">
        <v>0</v>
      </c>
      <c r="F17" s="16">
        <v>0</v>
      </c>
      <c r="G17" s="16">
        <v>0</v>
      </c>
      <c r="H17" s="16">
        <v>-1</v>
      </c>
      <c r="I17" s="16">
        <v>1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7">
        <v>0</v>
      </c>
    </row>
    <row r="18" ht="18.75" x14ac:dyDescent="0.3">
      <c r="A18" s="13">
        <f t="shared" si="1"/>
        <v>17</v>
      </c>
      <c r="B18" s="16">
        <v>0</v>
      </c>
      <c r="C18" s="16">
        <v>0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-1</v>
      </c>
      <c r="J18" s="16">
        <v>1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7">
        <v>0</v>
      </c>
    </row>
    <row r="19" ht="18.75" x14ac:dyDescent="0.3">
      <c r="A19" s="13">
        <f t="shared" si="1"/>
        <v>18</v>
      </c>
      <c r="B19" s="16">
        <v>0</v>
      </c>
      <c r="C19" s="16">
        <v>0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-1</v>
      </c>
      <c r="K19" s="16">
        <v>1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7">
        <v>0</v>
      </c>
    </row>
    <row r="20" ht="18.75" x14ac:dyDescent="0.3">
      <c r="A20" s="13">
        <f t="shared" si="1"/>
        <v>19</v>
      </c>
      <c r="B20" s="16">
        <v>0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-1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7">
        <v>1</v>
      </c>
    </row>
    <row r="21" ht="18.75" x14ac:dyDescent="0.3">
      <c r="A21" s="13">
        <f>A20+1</f>
        <v>20</v>
      </c>
      <c r="B21" s="16">
        <v>0</v>
      </c>
      <c r="C21" s="16">
        <v>0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>
        <v>-1</v>
      </c>
      <c r="L21" s="16">
        <v>0</v>
      </c>
      <c r="M21" s="16">
        <v>0</v>
      </c>
      <c r="N21" s="16">
        <v>0</v>
      </c>
      <c r="O21" s="16">
        <v>0</v>
      </c>
      <c r="P21" s="16">
        <v>1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7">
        <v>0</v>
      </c>
    </row>
    <row r="22" ht="18.75" x14ac:dyDescent="0.3">
      <c r="A22" s="13">
        <v>21</v>
      </c>
      <c r="B22" s="16">
        <v>0</v>
      </c>
      <c r="C22" s="16">
        <v>0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-1</v>
      </c>
      <c r="K22" s="16">
        <v>0</v>
      </c>
      <c r="L22" s="16">
        <v>1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7">
        <v>0</v>
      </c>
    </row>
    <row r="23" ht="18.75" x14ac:dyDescent="0.3">
      <c r="A23" s="13">
        <v>22</v>
      </c>
      <c r="B23" s="16">
        <v>0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-1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7">
        <v>1</v>
      </c>
    </row>
    <row r="24" ht="18.75" x14ac:dyDescent="0.3">
      <c r="A24" s="13">
        <v>23</v>
      </c>
      <c r="B24" s="16">
        <v>0</v>
      </c>
      <c r="C24" s="16">
        <v>0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-1</v>
      </c>
      <c r="M24" s="16">
        <v>0</v>
      </c>
      <c r="N24" s="16">
        <v>0</v>
      </c>
      <c r="O24" s="16">
        <v>0</v>
      </c>
      <c r="P24" s="16">
        <v>1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7">
        <v>0</v>
      </c>
    </row>
    <row r="25" ht="18.75" x14ac:dyDescent="0.3">
      <c r="A25" s="13">
        <v>24</v>
      </c>
      <c r="B25" s="16">
        <v>0</v>
      </c>
      <c r="C25" s="16">
        <v>0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-1</v>
      </c>
      <c r="K25" s="16">
        <v>0</v>
      </c>
      <c r="L25" s="16">
        <v>0</v>
      </c>
      <c r="M25" s="16">
        <v>1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7">
        <v>0</v>
      </c>
    </row>
    <row r="26" ht="18.75" x14ac:dyDescent="0.3">
      <c r="A26" s="13">
        <v>25</v>
      </c>
      <c r="B26" s="16">
        <v>0</v>
      </c>
      <c r="C26" s="16">
        <v>0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-1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7">
        <v>1</v>
      </c>
    </row>
    <row r="27" ht="18.75" x14ac:dyDescent="0.3">
      <c r="A27" s="13">
        <v>26</v>
      </c>
      <c r="B27" s="16">
        <v>0</v>
      </c>
      <c r="C27" s="16">
        <v>0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-1</v>
      </c>
      <c r="N27" s="16">
        <v>0</v>
      </c>
      <c r="O27" s="16">
        <v>0</v>
      </c>
      <c r="P27" s="16">
        <v>1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7">
        <v>0</v>
      </c>
    </row>
    <row r="28" ht="18.75" x14ac:dyDescent="0.3">
      <c r="A28" s="13">
        <v>27</v>
      </c>
      <c r="B28" s="16">
        <v>0</v>
      </c>
      <c r="C28" s="16">
        <v>0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-1</v>
      </c>
      <c r="K28" s="16">
        <v>0</v>
      </c>
      <c r="L28" s="16">
        <v>0</v>
      </c>
      <c r="M28" s="16">
        <v>0</v>
      </c>
      <c r="N28" s="16">
        <v>0</v>
      </c>
      <c r="O28" s="16">
        <v>1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7">
        <v>0</v>
      </c>
    </row>
    <row r="29" ht="18.75" x14ac:dyDescent="0.3">
      <c r="A29" s="13">
        <v>28</v>
      </c>
      <c r="B29" s="16">
        <v>0</v>
      </c>
      <c r="C29" s="16">
        <v>0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-1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7">
        <v>1</v>
      </c>
    </row>
    <row r="30" ht="18.75" x14ac:dyDescent="0.3">
      <c r="A30" s="13">
        <v>29</v>
      </c>
      <c r="B30" s="16">
        <v>0</v>
      </c>
      <c r="C30" s="16">
        <v>0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-1</v>
      </c>
      <c r="P30" s="16">
        <v>1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7">
        <v>0</v>
      </c>
    </row>
    <row r="31" ht="18.75" x14ac:dyDescent="0.3">
      <c r="A31" s="13">
        <v>30</v>
      </c>
      <c r="B31" s="16">
        <v>0</v>
      </c>
      <c r="C31" s="16">
        <v>0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-1</v>
      </c>
      <c r="Q31" s="16">
        <v>1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7">
        <v>0</v>
      </c>
    </row>
    <row r="32" ht="18.75" x14ac:dyDescent="0.3">
      <c r="A32" s="13">
        <v>31</v>
      </c>
      <c r="B32" s="16">
        <v>0</v>
      </c>
      <c r="C32" s="16">
        <v>0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6">
        <v>-1</v>
      </c>
      <c r="R32" s="16">
        <v>1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7">
        <v>0</v>
      </c>
    </row>
    <row r="33" ht="18.75" x14ac:dyDescent="0.3">
      <c r="A33" s="13">
        <v>32</v>
      </c>
      <c r="B33" s="16">
        <v>0</v>
      </c>
      <c r="C33" s="16">
        <v>0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-1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7">
        <v>1</v>
      </c>
    </row>
    <row r="34" ht="18.75" x14ac:dyDescent="0.3">
      <c r="A34" s="13">
        <v>33</v>
      </c>
      <c r="B34" s="16">
        <v>0</v>
      </c>
      <c r="C34" s="16">
        <v>0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-1</v>
      </c>
      <c r="S34" s="16">
        <v>0</v>
      </c>
      <c r="T34" s="16">
        <v>0</v>
      </c>
      <c r="U34" s="16">
        <v>0</v>
      </c>
      <c r="V34" s="16">
        <v>1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7">
        <v>0</v>
      </c>
    </row>
    <row r="35" ht="18.75" x14ac:dyDescent="0.3">
      <c r="A35" s="13">
        <v>34</v>
      </c>
      <c r="B35" s="16">
        <v>0</v>
      </c>
      <c r="C35" s="16">
        <v>0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-1</v>
      </c>
      <c r="R35" s="16">
        <v>0</v>
      </c>
      <c r="S35" s="16">
        <v>1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7">
        <v>0</v>
      </c>
    </row>
    <row r="36" ht="18.75" x14ac:dyDescent="0.3">
      <c r="A36" s="13">
        <v>35</v>
      </c>
      <c r="B36" s="16">
        <v>0</v>
      </c>
      <c r="C36" s="16">
        <v>0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-1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7">
        <v>1</v>
      </c>
    </row>
    <row r="37" ht="18.75" x14ac:dyDescent="0.3">
      <c r="A37" s="13">
        <v>36</v>
      </c>
      <c r="B37" s="16">
        <v>0</v>
      </c>
      <c r="C37" s="16">
        <v>0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-1</v>
      </c>
      <c r="T37" s="16">
        <v>0</v>
      </c>
      <c r="U37" s="16">
        <v>0</v>
      </c>
      <c r="V37" s="16">
        <v>1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7">
        <v>0</v>
      </c>
    </row>
    <row r="38" ht="18.75" x14ac:dyDescent="0.3">
      <c r="A38" s="13">
        <v>37</v>
      </c>
      <c r="B38" s="16">
        <v>0</v>
      </c>
      <c r="C38" s="16">
        <v>0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-1</v>
      </c>
      <c r="R38" s="16">
        <v>0</v>
      </c>
      <c r="S38" s="16">
        <v>0</v>
      </c>
      <c r="T38" s="16">
        <v>1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7">
        <v>0</v>
      </c>
    </row>
    <row r="39" ht="18.75" x14ac:dyDescent="0.3">
      <c r="A39" s="13">
        <v>38</v>
      </c>
      <c r="B39" s="16">
        <v>0</v>
      </c>
      <c r="C39" s="16">
        <v>0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-1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7">
        <v>1</v>
      </c>
    </row>
    <row r="40" ht="18.75" x14ac:dyDescent="0.3">
      <c r="A40" s="13">
        <v>39</v>
      </c>
      <c r="B40" s="16">
        <v>0</v>
      </c>
      <c r="C40" s="16">
        <v>0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-1</v>
      </c>
      <c r="U40" s="16">
        <v>0</v>
      </c>
      <c r="V40" s="16">
        <v>1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7">
        <v>0</v>
      </c>
    </row>
    <row r="41" ht="18.75" x14ac:dyDescent="0.3">
      <c r="A41" s="13">
        <v>40</v>
      </c>
      <c r="B41" s="16">
        <v>0</v>
      </c>
      <c r="C41" s="16">
        <v>0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-1</v>
      </c>
      <c r="W41" s="16">
        <v>1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7">
        <v>0</v>
      </c>
    </row>
    <row r="42" ht="18.75" x14ac:dyDescent="0.3">
      <c r="A42" s="13">
        <v>41</v>
      </c>
      <c r="B42" s="16">
        <v>0</v>
      </c>
      <c r="C42" s="16">
        <v>0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-1</v>
      </c>
      <c r="X42" s="16">
        <v>1</v>
      </c>
      <c r="Y42" s="16">
        <v>0</v>
      </c>
      <c r="Z42" s="16">
        <v>0</v>
      </c>
      <c r="AA42" s="16">
        <v>0</v>
      </c>
      <c r="AB42" s="16">
        <v>0</v>
      </c>
      <c r="AC42" s="7">
        <v>0</v>
      </c>
    </row>
    <row r="43" ht="18.75" x14ac:dyDescent="0.3">
      <c r="A43" s="13">
        <v>42</v>
      </c>
      <c r="B43" s="16">
        <v>0</v>
      </c>
      <c r="C43" s="16">
        <v>0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-1</v>
      </c>
      <c r="Y43" s="16">
        <v>0</v>
      </c>
      <c r="Z43" s="16">
        <v>0</v>
      </c>
      <c r="AA43" s="16">
        <v>0</v>
      </c>
      <c r="AB43" s="16">
        <v>0</v>
      </c>
      <c r="AC43" s="7">
        <v>1</v>
      </c>
    </row>
    <row r="44" ht="18.75" x14ac:dyDescent="0.3">
      <c r="A44" s="13">
        <v>43</v>
      </c>
      <c r="B44" s="16">
        <v>0</v>
      </c>
      <c r="C44" s="16">
        <v>0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-1</v>
      </c>
      <c r="Y44" s="16">
        <v>0</v>
      </c>
      <c r="Z44" s="16">
        <v>0</v>
      </c>
      <c r="AA44" s="16">
        <v>0</v>
      </c>
      <c r="AB44" s="16">
        <v>1</v>
      </c>
      <c r="AC44" s="7">
        <v>0</v>
      </c>
    </row>
    <row r="45" ht="18.75" x14ac:dyDescent="0.3">
      <c r="A45" s="13">
        <v>44</v>
      </c>
      <c r="B45" s="16">
        <v>0</v>
      </c>
      <c r="C45" s="16">
        <v>0</v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-1</v>
      </c>
      <c r="X45" s="16">
        <v>0</v>
      </c>
      <c r="Y45" s="16">
        <v>1</v>
      </c>
      <c r="Z45" s="16">
        <v>0</v>
      </c>
      <c r="AA45" s="16">
        <v>0</v>
      </c>
      <c r="AB45" s="16">
        <v>0</v>
      </c>
      <c r="AC45" s="7">
        <v>0</v>
      </c>
    </row>
    <row r="46" ht="18.75" x14ac:dyDescent="0.3">
      <c r="A46" s="13">
        <v>45</v>
      </c>
      <c r="B46" s="16">
        <v>0</v>
      </c>
      <c r="C46" s="16">
        <v>0</v>
      </c>
      <c r="D46" s="16">
        <v>0</v>
      </c>
      <c r="E46" s="16">
        <v>0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-1</v>
      </c>
      <c r="Z46" s="16">
        <v>0</v>
      </c>
      <c r="AA46" s="16">
        <v>0</v>
      </c>
      <c r="AB46" s="16">
        <v>0</v>
      </c>
      <c r="AC46" s="7">
        <v>1</v>
      </c>
    </row>
    <row r="47" ht="18.75" x14ac:dyDescent="0.3">
      <c r="A47" s="13">
        <v>46</v>
      </c>
      <c r="B47" s="16">
        <v>0</v>
      </c>
      <c r="C47" s="16">
        <v>0</v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-1</v>
      </c>
      <c r="Z47" s="16">
        <v>0</v>
      </c>
      <c r="AA47" s="16">
        <v>0</v>
      </c>
      <c r="AB47" s="16">
        <v>1</v>
      </c>
      <c r="AC47" s="7">
        <v>0</v>
      </c>
    </row>
    <row r="48" ht="18.75" x14ac:dyDescent="0.3">
      <c r="A48" s="13">
        <v>47</v>
      </c>
      <c r="B48" s="16">
        <v>0</v>
      </c>
      <c r="C48" s="16">
        <v>0</v>
      </c>
      <c r="D48" s="16">
        <v>0</v>
      </c>
      <c r="E48" s="16">
        <v>0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-1</v>
      </c>
      <c r="X48" s="16">
        <v>0</v>
      </c>
      <c r="Y48" s="16">
        <v>0</v>
      </c>
      <c r="Z48" s="16">
        <v>0</v>
      </c>
      <c r="AA48" s="16">
        <v>1</v>
      </c>
      <c r="AB48" s="16">
        <v>0</v>
      </c>
      <c r="AC48" s="7">
        <v>0</v>
      </c>
    </row>
    <row r="49" ht="18.75" x14ac:dyDescent="0.3">
      <c r="A49" s="15">
        <v>48</v>
      </c>
      <c r="B49" s="16">
        <v>0</v>
      </c>
      <c r="C49" s="16">
        <v>0</v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-1</v>
      </c>
      <c r="AB49" s="16">
        <v>0</v>
      </c>
      <c r="AC49" s="7">
        <v>1</v>
      </c>
    </row>
    <row r="50" ht="18.75" x14ac:dyDescent="0.3">
      <c r="A50" s="13">
        <v>49</v>
      </c>
      <c r="B50" s="16">
        <v>0</v>
      </c>
      <c r="C50" s="16">
        <v>0</v>
      </c>
      <c r="D50" s="16">
        <v>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-1</v>
      </c>
      <c r="AB50" s="16">
        <v>1</v>
      </c>
      <c r="AC50" s="7">
        <v>0</v>
      </c>
    </row>
    <row r="51" ht="18.75" x14ac:dyDescent="0.3">
      <c r="A51" s="15">
        <v>50</v>
      </c>
      <c r="B51" s="16">
        <v>-1</v>
      </c>
      <c r="C51" s="16">
        <v>0</v>
      </c>
      <c r="D51" s="16">
        <v>0</v>
      </c>
      <c r="E51" s="16">
        <v>0</v>
      </c>
      <c r="F51" s="16">
        <v>0</v>
      </c>
      <c r="G51" s="16">
        <v>1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7">
        <v>0</v>
      </c>
    </row>
    <row r="52" ht="18.75" x14ac:dyDescent="0.3">
      <c r="A52" s="13">
        <v>51</v>
      </c>
      <c r="B52" s="16">
        <v>0</v>
      </c>
      <c r="C52" s="16">
        <v>0</v>
      </c>
      <c r="D52" s="16">
        <v>0</v>
      </c>
      <c r="E52" s="16">
        <v>0</v>
      </c>
      <c r="F52" s="16">
        <v>0</v>
      </c>
      <c r="G52" s="16">
        <v>-1</v>
      </c>
      <c r="H52" s="16">
        <v>0</v>
      </c>
      <c r="I52" s="16">
        <v>1</v>
      </c>
      <c r="J52" s="16">
        <v>0</v>
      </c>
      <c r="K52" s="16">
        <v>0</v>
      </c>
      <c r="L52" s="16">
        <v>0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7">
        <v>0</v>
      </c>
    </row>
    <row r="53" ht="18.75" x14ac:dyDescent="0.3">
      <c r="A53" s="15">
        <v>52</v>
      </c>
      <c r="B53" s="16">
        <v>0</v>
      </c>
      <c r="C53" s="16">
        <v>0</v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  <c r="I53" s="16">
        <v>0</v>
      </c>
      <c r="J53" s="16">
        <v>-1</v>
      </c>
      <c r="K53" s="16">
        <v>0</v>
      </c>
      <c r="L53" s="16">
        <v>0</v>
      </c>
      <c r="M53" s="16">
        <v>0</v>
      </c>
      <c r="N53" s="16">
        <v>1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7">
        <v>0</v>
      </c>
    </row>
    <row r="54" ht="18.75" x14ac:dyDescent="0.3">
      <c r="A54" s="13">
        <v>53</v>
      </c>
      <c r="B54" s="16">
        <v>0</v>
      </c>
      <c r="C54" s="16">
        <v>0</v>
      </c>
      <c r="D54" s="16">
        <v>0</v>
      </c>
      <c r="E54" s="16">
        <v>0</v>
      </c>
      <c r="F54" s="16">
        <v>0</v>
      </c>
      <c r="G54" s="16">
        <v>0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  <c r="M54" s="16">
        <v>0</v>
      </c>
      <c r="N54" s="16">
        <v>-1</v>
      </c>
      <c r="O54" s="16">
        <v>0</v>
      </c>
      <c r="P54" s="16">
        <v>1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7">
        <v>0</v>
      </c>
    </row>
    <row r="55" ht="18.75" x14ac:dyDescent="0.3">
      <c r="A55" s="15">
        <v>54</v>
      </c>
      <c r="B55" s="16">
        <v>0</v>
      </c>
      <c r="C55" s="16">
        <v>0</v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16">
        <v>-1</v>
      </c>
      <c r="R55" s="16">
        <v>0</v>
      </c>
      <c r="S55" s="16">
        <v>0</v>
      </c>
      <c r="T55" s="16">
        <v>0</v>
      </c>
      <c r="U55" s="16">
        <v>1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7">
        <v>0</v>
      </c>
    </row>
    <row r="56" ht="18.75" x14ac:dyDescent="0.3">
      <c r="A56" s="13">
        <v>55</v>
      </c>
      <c r="B56" s="16">
        <v>0</v>
      </c>
      <c r="C56" s="16">
        <v>0</v>
      </c>
      <c r="D56" s="16">
        <v>0</v>
      </c>
      <c r="E56" s="16">
        <v>0</v>
      </c>
      <c r="F56" s="16">
        <v>0</v>
      </c>
      <c r="G56" s="16">
        <v>0</v>
      </c>
      <c r="H56" s="16">
        <v>0</v>
      </c>
      <c r="I56" s="16">
        <v>0</v>
      </c>
      <c r="J56" s="16">
        <v>0</v>
      </c>
      <c r="K56" s="16">
        <v>0</v>
      </c>
      <c r="L56" s="16">
        <v>0</v>
      </c>
      <c r="M56" s="16">
        <v>0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-1</v>
      </c>
      <c r="V56" s="16">
        <v>1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7">
        <v>0</v>
      </c>
    </row>
    <row r="57" ht="18.75" x14ac:dyDescent="0.3">
      <c r="A57" s="15">
        <v>56</v>
      </c>
      <c r="B57" s="16">
        <v>0</v>
      </c>
      <c r="C57" s="16">
        <v>0</v>
      </c>
      <c r="D57" s="16">
        <v>0</v>
      </c>
      <c r="E57" s="16">
        <v>0</v>
      </c>
      <c r="F57" s="16">
        <v>0</v>
      </c>
      <c r="G57" s="16">
        <v>0</v>
      </c>
      <c r="H57" s="16">
        <v>0</v>
      </c>
      <c r="I57" s="16">
        <v>0</v>
      </c>
      <c r="J57" s="16">
        <v>0</v>
      </c>
      <c r="K57" s="16">
        <v>0</v>
      </c>
      <c r="L57" s="16">
        <v>0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-1</v>
      </c>
      <c r="X57" s="16">
        <v>0</v>
      </c>
      <c r="Y57" s="16">
        <v>0</v>
      </c>
      <c r="Z57" s="16">
        <v>1</v>
      </c>
      <c r="AA57" s="16">
        <v>0</v>
      </c>
      <c r="AB57" s="16">
        <v>0</v>
      </c>
      <c r="AC57" s="7">
        <v>0</v>
      </c>
    </row>
    <row r="58" ht="18.75" x14ac:dyDescent="0.3">
      <c r="A58" s="13">
        <v>57</v>
      </c>
      <c r="B58" s="16">
        <v>0</v>
      </c>
      <c r="C58" s="16">
        <v>0</v>
      </c>
      <c r="D58" s="16">
        <v>0</v>
      </c>
      <c r="E58" s="16">
        <v>0</v>
      </c>
      <c r="F58" s="16">
        <v>0</v>
      </c>
      <c r="G58" s="16">
        <v>0</v>
      </c>
      <c r="H58" s="16">
        <v>0</v>
      </c>
      <c r="I58" s="16">
        <v>0</v>
      </c>
      <c r="J58" s="16">
        <v>0</v>
      </c>
      <c r="K58" s="16">
        <v>0</v>
      </c>
      <c r="L58" s="16">
        <v>0</v>
      </c>
      <c r="M58" s="16">
        <v>0</v>
      </c>
      <c r="N58" s="16">
        <v>0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-1</v>
      </c>
      <c r="AA58" s="16">
        <v>0</v>
      </c>
      <c r="AB58" s="16">
        <v>1</v>
      </c>
      <c r="AC58" s="7">
        <v>0</v>
      </c>
    </row>
    <row r="59" ht="18.75" x14ac:dyDescent="0.3">
      <c r="A59" s="15">
        <v>58</v>
      </c>
      <c r="B59" s="16">
        <v>0</v>
      </c>
      <c r="C59" s="16">
        <v>0</v>
      </c>
      <c r="D59" s="16">
        <v>0</v>
      </c>
      <c r="E59" s="16">
        <v>0</v>
      </c>
      <c r="F59" s="16">
        <v>0</v>
      </c>
      <c r="G59" s="16">
        <v>0</v>
      </c>
      <c r="H59" s="16">
        <v>0</v>
      </c>
      <c r="I59" s="16">
        <v>0</v>
      </c>
      <c r="J59" s="16">
        <v>0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6">
        <v>-1</v>
      </c>
      <c r="AC59" s="7">
        <v>0</v>
      </c>
    </row>
    <row r="60" x14ac:dyDescent="0.25">
      <c r="A60" s="7">
        <v>59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-1</v>
      </c>
    </row>
  </sheetData>
  <phoneticPr fontId="4" type="noConversion"/>
  <conditionalFormatting sqref="AJ45">
    <cfRule type="cellIs" dxfId="25" priority="3" operator="equal">
      <formula>0</formula>
    </cfRule>
  </conditionalFormatting>
  <conditionalFormatting sqref="B2:AB59">
    <cfRule type="cellIs" dxfId="24" priority="1" operator="equal">
      <formula>1</formula>
    </cfRule>
    <cfRule type="cellIs" dxfId="23" priority="2" operator="equal">
      <formula>-1</formula>
    </cfRule>
  </conditionalFormatting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60"/>
  <sheetViews>
    <sheetView workbookViewId="0">
      <selection activeCell="M4" sqref="M4"/>
    </sheetView>
  </sheetViews>
  <sheetFormatPr defaultColWidth="8.85546875" defaultRowHeight="15" x14ac:dyDescent="0.25"/>
  <cols>
    <col min="1" max="1" width="3" style="8" bestFit="true" customWidth="true"/>
    <col min="2" max="2" width="2.15625" style="8" bestFit="true" customWidth="true"/>
    <col min="4" max="4" width="2.140625" style="8" customWidth="true"/>
    <col min="6" max="6" width="8.85546875" customWidth="true"/>
    <col min="3" max="3" width="2.15625" style="8" bestFit="true" customWidth="true"/>
    <col min="5" max="5" width="2.140625" style="8" customWidth="true"/>
    <col min="7" max="7" width="8.85546875" customWidth="true"/>
    <col min="8" max="8" width="8.85546875" customWidth="true"/>
    <col min="9" max="9" width="8.85546875" customWidth="true"/>
    <col min="10" max="10" width="8.85546875" customWidth="true"/>
    <col min="11" max="11" width="8.85546875" customWidth="true"/>
    <col min="12" max="60" width="8.85546875" customWidth="true"/>
  </cols>
  <sheetData>
    <row r="1" x14ac:dyDescent="0.25">
      <c r="A1" s="75"/>
      <c r="B1" s="81" t="s">
        <v>1159</v>
      </c>
      <c r="C1" s="81" t="s">
        <v>1160</v>
      </c>
      <c r="D1" s="8"/>
      <c r="E1" s="8"/>
      <c r="F1" s="0"/>
      <c r="G1" s="0"/>
      <c r="H1" s="0"/>
      <c r="I1" s="0"/>
      <c r="J1" s="0"/>
      <c r="K1" s="0"/>
    </row>
    <row r="2" x14ac:dyDescent="0.25">
      <c r="A2" s="12">
        <v>1</v>
      </c>
      <c r="B2" s="8">
        <v>1</v>
      </c>
      <c r="C2" s="8">
        <v>1</v>
      </c>
      <c r="D2" s="8"/>
      <c r="E2" s="8"/>
      <c r="F2" s="0"/>
      <c r="G2" s="0"/>
      <c r="H2" s="0"/>
      <c r="I2" s="0"/>
      <c r="J2" s="0"/>
      <c r="K2" s="0"/>
    </row>
    <row r="3" x14ac:dyDescent="0.25">
      <c r="A3" s="12">
        <f t="shared" ref="A3:A34" si="0">A2+1</f>
        <v>2</v>
      </c>
      <c r="B3" s="8">
        <v>1</v>
      </c>
      <c r="C3" s="8">
        <v>1</v>
      </c>
      <c r="D3" s="8"/>
      <c r="E3" s="8"/>
      <c r="F3" s="0"/>
      <c r="G3" s="0"/>
      <c r="H3" s="0"/>
      <c r="I3" s="0"/>
      <c r="J3" s="0"/>
      <c r="K3" s="0"/>
    </row>
    <row r="4" x14ac:dyDescent="0.25">
      <c r="A4" s="8">
        <f t="shared" si="0"/>
        <v>3</v>
      </c>
      <c r="B4" s="8">
        <v>1</v>
      </c>
      <c r="C4" s="8">
        <v>1</v>
      </c>
      <c r="D4" s="8"/>
      <c r="E4" s="8"/>
      <c r="F4" s="0"/>
      <c r="G4" s="0"/>
      <c r="H4" s="0"/>
      <c r="I4" s="0"/>
      <c r="J4" s="0"/>
      <c r="K4" s="0"/>
    </row>
    <row r="5" x14ac:dyDescent="0.25">
      <c r="A5" s="8">
        <f t="shared" si="0"/>
        <v>4</v>
      </c>
      <c r="B5" s="8">
        <v>1</v>
      </c>
      <c r="C5" s="8">
        <v>1</v>
      </c>
      <c r="D5" s="8"/>
      <c r="E5" s="8"/>
      <c r="F5" s="0"/>
      <c r="G5" s="0"/>
      <c r="H5" s="0"/>
      <c r="I5" s="0"/>
      <c r="J5" s="0"/>
      <c r="K5" s="0"/>
    </row>
    <row r="6" x14ac:dyDescent="0.25">
      <c r="A6" s="12">
        <f t="shared" si="0"/>
        <v>5</v>
      </c>
      <c r="B6" s="8">
        <v>1</v>
      </c>
      <c r="C6" s="8">
        <v>1</v>
      </c>
      <c r="D6" s="8"/>
      <c r="E6" s="8"/>
      <c r="F6" s="0"/>
      <c r="G6" s="0"/>
      <c r="H6" s="0"/>
      <c r="I6" s="0"/>
      <c r="J6" s="0"/>
      <c r="K6" s="0"/>
    </row>
    <row r="7" x14ac:dyDescent="0.25">
      <c r="A7" s="8">
        <f t="shared" si="0"/>
        <v>6</v>
      </c>
      <c r="B7" s="8">
        <v>1</v>
      </c>
      <c r="C7" s="8">
        <v>1</v>
      </c>
      <c r="D7" s="8"/>
      <c r="E7" s="8"/>
      <c r="F7" s="0"/>
      <c r="G7" s="0"/>
      <c r="H7" s="0"/>
      <c r="I7" s="0"/>
      <c r="J7" s="0"/>
      <c r="K7" s="0"/>
    </row>
    <row r="8" x14ac:dyDescent="0.25">
      <c r="A8" s="8">
        <f t="shared" si="0"/>
        <v>7</v>
      </c>
      <c r="B8" s="8">
        <v>1</v>
      </c>
      <c r="C8" s="8">
        <v>1</v>
      </c>
      <c r="D8" s="8"/>
      <c r="E8" s="8"/>
      <c r="F8" s="0"/>
      <c r="G8" s="0"/>
      <c r="H8" s="0"/>
      <c r="I8" s="0"/>
      <c r="J8" s="0"/>
      <c r="K8" s="0"/>
    </row>
    <row r="9" x14ac:dyDescent="0.25">
      <c r="A9" s="12">
        <f t="shared" si="0"/>
        <v>8</v>
      </c>
      <c r="B9" s="8">
        <v>1</v>
      </c>
      <c r="C9" s="8">
        <v>1</v>
      </c>
      <c r="D9" s="8"/>
      <c r="E9" s="8"/>
      <c r="F9" s="0"/>
      <c r="G9" s="0"/>
      <c r="H9" s="0"/>
      <c r="I9" s="0"/>
      <c r="J9" s="0"/>
      <c r="K9" s="0"/>
    </row>
    <row r="10" x14ac:dyDescent="0.25">
      <c r="A10" s="8">
        <f t="shared" si="0"/>
        <v>9</v>
      </c>
      <c r="B10" s="8">
        <v>1</v>
      </c>
      <c r="C10" s="8">
        <v>1</v>
      </c>
      <c r="D10" s="8"/>
      <c r="E10" s="8"/>
      <c r="F10" s="0"/>
      <c r="G10" s="0"/>
      <c r="H10" s="0"/>
      <c r="I10" s="0"/>
      <c r="J10" s="0"/>
      <c r="K10" s="0"/>
    </row>
    <row r="11" x14ac:dyDescent="0.25">
      <c r="A11" s="8">
        <f t="shared" si="0"/>
        <v>10</v>
      </c>
      <c r="B11" s="8">
        <v>1</v>
      </c>
      <c r="C11" s="8">
        <v>1</v>
      </c>
      <c r="D11" s="8"/>
      <c r="E11" s="8"/>
      <c r="F11" s="0"/>
      <c r="G11" s="0"/>
      <c r="H11" s="0"/>
      <c r="I11" s="0"/>
      <c r="J11" s="0"/>
      <c r="K11" s="0"/>
    </row>
    <row r="12" x14ac:dyDescent="0.25">
      <c r="A12" s="12">
        <f t="shared" si="0"/>
        <v>11</v>
      </c>
      <c r="B12" s="8">
        <v>1</v>
      </c>
      <c r="C12" s="8">
        <v>1</v>
      </c>
      <c r="D12" s="8"/>
      <c r="E12" s="8"/>
      <c r="F12" s="0"/>
      <c r="G12" s="0"/>
      <c r="H12" s="0"/>
      <c r="I12" s="0"/>
      <c r="J12" s="0"/>
      <c r="K12" s="0"/>
    </row>
    <row r="13" x14ac:dyDescent="0.25">
      <c r="A13" s="8">
        <f t="shared" si="0"/>
        <v>12</v>
      </c>
      <c r="B13" s="8">
        <v>1</v>
      </c>
      <c r="C13" s="8">
        <v>1</v>
      </c>
      <c r="D13" s="8"/>
      <c r="E13" s="8"/>
      <c r="F13" s="0"/>
      <c r="G13" s="0"/>
      <c r="H13" s="0"/>
      <c r="I13" s="0"/>
      <c r="J13" s="0"/>
      <c r="K13" s="0"/>
    </row>
    <row r="14" x14ac:dyDescent="0.25">
      <c r="A14" s="8">
        <f t="shared" si="0"/>
        <v>13</v>
      </c>
      <c r="B14" s="8">
        <v>1</v>
      </c>
      <c r="C14" s="8">
        <v>1</v>
      </c>
      <c r="D14" s="8"/>
      <c r="E14" s="8"/>
      <c r="F14" s="0"/>
      <c r="G14" s="0"/>
      <c r="H14" s="0"/>
      <c r="I14" s="0"/>
      <c r="J14" s="0"/>
      <c r="K14" s="0"/>
    </row>
    <row r="15" x14ac:dyDescent="0.25">
      <c r="A15" s="12">
        <f t="shared" si="0"/>
        <v>14</v>
      </c>
      <c r="B15" s="8">
        <v>1</v>
      </c>
      <c r="C15" s="8">
        <v>1</v>
      </c>
      <c r="D15" s="8"/>
      <c r="E15" s="8"/>
      <c r="F15" s="0"/>
      <c r="G15" s="0"/>
      <c r="H15" s="0"/>
      <c r="I15" s="0"/>
      <c r="J15" s="0"/>
      <c r="K15" s="0"/>
    </row>
    <row r="16" x14ac:dyDescent="0.25">
      <c r="A16" s="8">
        <f t="shared" si="0"/>
        <v>15</v>
      </c>
      <c r="B16" s="8">
        <v>1</v>
      </c>
      <c r="C16" s="8">
        <v>1</v>
      </c>
      <c r="D16" s="8"/>
      <c r="E16" s="8"/>
      <c r="F16" s="0"/>
      <c r="G16" s="0"/>
      <c r="H16" s="0"/>
      <c r="I16" s="0"/>
      <c r="J16" s="0"/>
      <c r="K16" s="0"/>
    </row>
    <row r="17" x14ac:dyDescent="0.25">
      <c r="A17" s="8">
        <f t="shared" si="0"/>
        <v>16</v>
      </c>
      <c r="B17" s="8">
        <v>1</v>
      </c>
      <c r="C17" s="8">
        <v>1</v>
      </c>
      <c r="D17" s="8"/>
      <c r="E17" s="8"/>
      <c r="F17" s="0"/>
      <c r="G17" s="0"/>
      <c r="H17" s="0"/>
      <c r="I17" s="0"/>
      <c r="J17" s="0"/>
      <c r="K17" s="0"/>
    </row>
    <row r="18" x14ac:dyDescent="0.25">
      <c r="A18" s="8">
        <f t="shared" si="0"/>
        <v>17</v>
      </c>
      <c r="B18" s="8">
        <v>1</v>
      </c>
      <c r="C18" s="8">
        <v>1</v>
      </c>
      <c r="D18" s="8"/>
      <c r="E18" s="8"/>
      <c r="F18" s="0"/>
      <c r="G18" s="0"/>
      <c r="H18" s="0"/>
      <c r="I18" s="0"/>
      <c r="J18" s="0"/>
      <c r="K18" s="0"/>
    </row>
    <row r="19" x14ac:dyDescent="0.25">
      <c r="A19" s="12">
        <f t="shared" si="0"/>
        <v>18</v>
      </c>
      <c r="B19" s="8">
        <v>1</v>
      </c>
      <c r="C19" s="8">
        <v>1</v>
      </c>
      <c r="D19" s="8"/>
      <c r="E19" s="8"/>
      <c r="F19" s="0"/>
      <c r="G19" s="0"/>
      <c r="H19" s="0"/>
      <c r="I19" s="0"/>
      <c r="J19" s="0"/>
      <c r="K19" s="0"/>
    </row>
    <row r="20" x14ac:dyDescent="0.25">
      <c r="A20" s="8">
        <f t="shared" si="0"/>
        <v>19</v>
      </c>
      <c r="B20" s="8">
        <v>1</v>
      </c>
      <c r="C20" s="8">
        <v>1</v>
      </c>
      <c r="D20" s="8"/>
      <c r="E20" s="8"/>
      <c r="F20" s="0"/>
      <c r="G20" s="0"/>
      <c r="H20" s="0"/>
      <c r="I20" s="0"/>
      <c r="J20" s="0"/>
      <c r="K20" s="0"/>
    </row>
    <row r="21" x14ac:dyDescent="0.25">
      <c r="A21" s="8">
        <f t="shared" si="0"/>
        <v>20</v>
      </c>
      <c r="B21" s="8">
        <v>1</v>
      </c>
      <c r="C21" s="8">
        <v>1</v>
      </c>
      <c r="D21" s="8"/>
      <c r="E21" s="8"/>
      <c r="F21" s="0"/>
      <c r="G21" s="0"/>
      <c r="H21" s="0"/>
      <c r="I21" s="0"/>
      <c r="J21" s="0"/>
      <c r="K21" s="0"/>
    </row>
    <row r="22" x14ac:dyDescent="0.25">
      <c r="A22" s="12">
        <f t="shared" si="0"/>
        <v>21</v>
      </c>
      <c r="B22" s="8">
        <v>1</v>
      </c>
      <c r="C22" s="8">
        <v>1</v>
      </c>
      <c r="D22" s="8"/>
      <c r="E22" s="8"/>
      <c r="F22" s="0"/>
      <c r="G22" s="0"/>
      <c r="H22" s="0"/>
      <c r="I22" s="0"/>
      <c r="J22" s="0"/>
      <c r="K22" s="0"/>
    </row>
    <row r="23" x14ac:dyDescent="0.25">
      <c r="A23" s="8">
        <f t="shared" si="0"/>
        <v>22</v>
      </c>
      <c r="B23" s="8">
        <v>1</v>
      </c>
      <c r="C23" s="8">
        <v>1</v>
      </c>
      <c r="D23" s="8"/>
      <c r="E23" s="8"/>
      <c r="F23" s="0"/>
      <c r="G23" s="0"/>
      <c r="H23" s="0"/>
      <c r="I23" s="0"/>
      <c r="J23" s="0"/>
      <c r="K23" s="0"/>
    </row>
    <row r="24" x14ac:dyDescent="0.25">
      <c r="A24" s="8">
        <f t="shared" si="0"/>
        <v>23</v>
      </c>
      <c r="B24" s="8">
        <v>1</v>
      </c>
      <c r="C24" s="8">
        <v>1</v>
      </c>
      <c r="D24" s="8"/>
      <c r="E24" s="8"/>
      <c r="F24" s="0"/>
      <c r="G24" s="0"/>
      <c r="H24" s="0"/>
      <c r="I24" s="0"/>
      <c r="J24" s="0"/>
      <c r="K24" s="0"/>
    </row>
    <row r="25" x14ac:dyDescent="0.25">
      <c r="A25" s="12">
        <f t="shared" si="0"/>
        <v>24</v>
      </c>
      <c r="B25" s="8">
        <v>1</v>
      </c>
      <c r="C25" s="8">
        <v>1</v>
      </c>
      <c r="D25" s="8"/>
      <c r="E25" s="8"/>
      <c r="F25" s="0"/>
      <c r="G25" s="0"/>
      <c r="H25" s="0"/>
      <c r="I25" s="0"/>
      <c r="J25" s="0"/>
      <c r="K25" s="0"/>
    </row>
    <row r="26" x14ac:dyDescent="0.25">
      <c r="A26" s="8">
        <f t="shared" si="0"/>
        <v>25</v>
      </c>
      <c r="B26" s="8">
        <v>1</v>
      </c>
      <c r="C26" s="8">
        <v>1</v>
      </c>
      <c r="D26" s="8"/>
      <c r="E26" s="8"/>
      <c r="F26" s="0"/>
      <c r="G26" s="0"/>
      <c r="H26" s="0"/>
      <c r="I26" s="0"/>
      <c r="J26" s="0"/>
      <c r="K26" s="0"/>
    </row>
    <row r="27" x14ac:dyDescent="0.25">
      <c r="A27" s="8">
        <f t="shared" si="0"/>
        <v>26</v>
      </c>
      <c r="B27" s="8">
        <v>1</v>
      </c>
      <c r="C27" s="8">
        <v>1</v>
      </c>
      <c r="D27" s="8"/>
      <c r="E27" s="8"/>
      <c r="F27" s="0"/>
      <c r="G27" s="0"/>
      <c r="H27" s="0"/>
      <c r="I27" s="0"/>
      <c r="J27" s="0"/>
      <c r="K27" s="0"/>
    </row>
    <row r="28" x14ac:dyDescent="0.25">
      <c r="A28" s="12">
        <f t="shared" si="0"/>
        <v>27</v>
      </c>
      <c r="B28" s="8">
        <v>1</v>
      </c>
      <c r="C28" s="8">
        <v>1</v>
      </c>
      <c r="D28" s="8"/>
      <c r="E28" s="8"/>
      <c r="F28" s="0"/>
      <c r="G28" s="0"/>
      <c r="H28" s="0"/>
      <c r="I28" s="0"/>
      <c r="J28" s="0"/>
      <c r="K28" s="0"/>
    </row>
    <row r="29" x14ac:dyDescent="0.25">
      <c r="A29" s="8">
        <f t="shared" si="0"/>
        <v>28</v>
      </c>
      <c r="B29" s="8">
        <v>1</v>
      </c>
      <c r="C29" s="8">
        <v>1</v>
      </c>
      <c r="D29" s="8"/>
      <c r="E29" s="8"/>
      <c r="F29" s="0"/>
      <c r="G29" s="0"/>
      <c r="H29" s="0"/>
      <c r="I29" s="0"/>
      <c r="J29" s="0"/>
      <c r="K29" s="0"/>
    </row>
    <row r="30" x14ac:dyDescent="0.25">
      <c r="A30" s="8">
        <f t="shared" si="0"/>
        <v>29</v>
      </c>
      <c r="B30" s="8">
        <v>1</v>
      </c>
      <c r="C30" s="8">
        <v>1</v>
      </c>
      <c r="D30" s="8"/>
      <c r="E30" s="8"/>
      <c r="F30" s="0"/>
      <c r="G30" s="0"/>
      <c r="H30" s="0"/>
      <c r="I30" s="0"/>
      <c r="J30" s="0"/>
      <c r="K30" s="0"/>
    </row>
    <row r="31" x14ac:dyDescent="0.25">
      <c r="A31" s="8">
        <f t="shared" si="0"/>
        <v>30</v>
      </c>
      <c r="B31" s="8">
        <v>1</v>
      </c>
      <c r="C31" s="8">
        <v>1</v>
      </c>
      <c r="D31" s="8"/>
      <c r="E31" s="8"/>
      <c r="F31" s="0"/>
      <c r="G31" s="0"/>
      <c r="H31" s="0"/>
      <c r="I31" s="0"/>
      <c r="J31" s="0"/>
      <c r="K31" s="0"/>
    </row>
    <row r="32" x14ac:dyDescent="0.25">
      <c r="A32" s="12">
        <f t="shared" si="0"/>
        <v>31</v>
      </c>
      <c r="B32" s="8">
        <v>1</v>
      </c>
      <c r="C32" s="8">
        <v>1</v>
      </c>
      <c r="D32" s="8"/>
      <c r="E32" s="8"/>
      <c r="F32" s="0"/>
      <c r="G32" s="0"/>
      <c r="H32" s="0"/>
      <c r="I32" s="0"/>
      <c r="J32" s="0"/>
      <c r="K32" s="0"/>
    </row>
    <row r="33" x14ac:dyDescent="0.25">
      <c r="A33" s="8">
        <f t="shared" si="0"/>
        <v>32</v>
      </c>
      <c r="B33" s="8">
        <v>1</v>
      </c>
      <c r="C33" s="8">
        <v>1</v>
      </c>
      <c r="D33" s="8"/>
      <c r="E33" s="8"/>
      <c r="F33" s="0"/>
      <c r="G33" s="0"/>
      <c r="H33" s="0"/>
      <c r="I33" s="0"/>
      <c r="J33" s="0"/>
      <c r="K33" s="0"/>
    </row>
    <row r="34" x14ac:dyDescent="0.25">
      <c r="A34" s="8">
        <f t="shared" si="0"/>
        <v>33</v>
      </c>
      <c r="B34" s="8">
        <v>1</v>
      </c>
      <c r="C34" s="8">
        <v>1</v>
      </c>
      <c r="D34" s="8"/>
      <c r="E34" s="8"/>
      <c r="F34" s="0"/>
      <c r="G34" s="0"/>
      <c r="H34" s="0"/>
      <c r="I34" s="0"/>
      <c r="J34" s="0"/>
      <c r="K34" s="0"/>
    </row>
    <row r="35" x14ac:dyDescent="0.25">
      <c r="A35" s="12">
        <f t="shared" ref="A35:A60" si="1">A34+1</f>
        <v>34</v>
      </c>
      <c r="B35" s="8">
        <v>1</v>
      </c>
      <c r="C35" s="8">
        <v>1</v>
      </c>
      <c r="D35" s="8"/>
      <c r="E35" s="8"/>
      <c r="F35" s="0"/>
      <c r="G35" s="0"/>
      <c r="H35" s="0"/>
      <c r="I35" s="0"/>
      <c r="J35" s="0"/>
      <c r="K35" s="0"/>
    </row>
    <row r="36" x14ac:dyDescent="0.25">
      <c r="A36" s="8">
        <f t="shared" si="1"/>
        <v>35</v>
      </c>
      <c r="B36" s="8">
        <v>1</v>
      </c>
      <c r="C36" s="8">
        <v>1</v>
      </c>
      <c r="D36" s="8"/>
      <c r="E36" s="8"/>
      <c r="F36" s="0"/>
      <c r="G36" s="0"/>
      <c r="H36" s="0"/>
      <c r="I36" s="0"/>
      <c r="J36" s="0"/>
      <c r="K36" s="0"/>
    </row>
    <row r="37" x14ac:dyDescent="0.25">
      <c r="A37" s="8">
        <f t="shared" si="1"/>
        <v>36</v>
      </c>
      <c r="B37" s="8">
        <v>1</v>
      </c>
      <c r="C37" s="8">
        <v>1</v>
      </c>
      <c r="D37" s="8"/>
      <c r="E37" s="8"/>
      <c r="F37" s="0"/>
      <c r="G37" s="0"/>
      <c r="H37" s="0"/>
      <c r="I37" s="0"/>
      <c r="J37" s="0"/>
      <c r="K37" s="0"/>
    </row>
    <row r="38" x14ac:dyDescent="0.25">
      <c r="A38" s="12">
        <f t="shared" si="1"/>
        <v>37</v>
      </c>
      <c r="B38" s="8">
        <v>1</v>
      </c>
      <c r="C38" s="8">
        <v>1</v>
      </c>
      <c r="D38" s="8"/>
      <c r="E38" s="8"/>
      <c r="F38" s="0"/>
      <c r="G38" s="0"/>
      <c r="H38" s="0"/>
      <c r="I38" s="0"/>
      <c r="J38" s="0"/>
      <c r="K38" s="0"/>
    </row>
    <row r="39" x14ac:dyDescent="0.25">
      <c r="A39" s="8">
        <f t="shared" si="1"/>
        <v>38</v>
      </c>
      <c r="B39" s="8">
        <v>1</v>
      </c>
      <c r="C39" s="8">
        <v>1</v>
      </c>
      <c r="D39" s="8"/>
      <c r="E39" s="8"/>
      <c r="F39" s="0"/>
      <c r="G39" s="0"/>
      <c r="H39" s="0"/>
      <c r="I39" s="0"/>
      <c r="J39" s="0"/>
      <c r="K39" s="0"/>
    </row>
    <row r="40" x14ac:dyDescent="0.25">
      <c r="A40" s="8">
        <f t="shared" si="1"/>
        <v>39</v>
      </c>
      <c r="B40" s="8">
        <v>1</v>
      </c>
      <c r="C40" s="8">
        <v>1</v>
      </c>
      <c r="D40" s="8"/>
      <c r="E40" s="8"/>
      <c r="F40" s="0"/>
      <c r="G40" s="0"/>
      <c r="H40" s="0"/>
      <c r="I40" s="0"/>
      <c r="J40" s="0"/>
      <c r="K40" s="0"/>
    </row>
    <row r="41" x14ac:dyDescent="0.25">
      <c r="A41" s="8">
        <f t="shared" si="1"/>
        <v>40</v>
      </c>
      <c r="B41" s="8">
        <v>1</v>
      </c>
      <c r="C41" s="8">
        <v>1</v>
      </c>
      <c r="D41" s="8"/>
      <c r="E41" s="8"/>
      <c r="F41" s="0"/>
      <c r="G41" s="0"/>
      <c r="H41" s="0"/>
      <c r="I41" s="0"/>
      <c r="J41" s="0"/>
      <c r="K41" s="0"/>
    </row>
    <row r="42" x14ac:dyDescent="0.25">
      <c r="A42" s="12">
        <f t="shared" si="1"/>
        <v>41</v>
      </c>
      <c r="B42" s="8">
        <v>1</v>
      </c>
      <c r="C42" s="8">
        <v>1</v>
      </c>
      <c r="D42" s="8"/>
      <c r="E42" s="8"/>
      <c r="F42" s="0"/>
      <c r="G42" s="0"/>
      <c r="H42" s="0"/>
      <c r="I42" s="0"/>
      <c r="J42" s="0"/>
      <c r="K42" s="0"/>
    </row>
    <row r="43" x14ac:dyDescent="0.25">
      <c r="A43" s="8">
        <f t="shared" si="1"/>
        <v>42</v>
      </c>
      <c r="B43" s="8">
        <v>1</v>
      </c>
      <c r="C43" s="8">
        <v>1</v>
      </c>
      <c r="D43" s="8"/>
      <c r="E43" s="8"/>
      <c r="F43" s="0"/>
      <c r="G43" s="0"/>
      <c r="H43" s="0"/>
      <c r="I43" s="0"/>
      <c r="J43" s="0"/>
      <c r="K43" s="0"/>
    </row>
    <row r="44" x14ac:dyDescent="0.25">
      <c r="A44" s="8">
        <f t="shared" si="1"/>
        <v>43</v>
      </c>
      <c r="B44" s="8">
        <v>1</v>
      </c>
      <c r="C44" s="8">
        <v>1</v>
      </c>
      <c r="D44" s="8"/>
      <c r="E44" s="8"/>
      <c r="F44" s="0"/>
      <c r="G44" s="0"/>
      <c r="H44" s="0"/>
      <c r="I44" s="0"/>
      <c r="J44" s="0"/>
      <c r="K44" s="0"/>
    </row>
    <row r="45" x14ac:dyDescent="0.25">
      <c r="A45" s="12">
        <f t="shared" si="1"/>
        <v>44</v>
      </c>
      <c r="B45" s="8">
        <v>1</v>
      </c>
      <c r="C45" s="8">
        <v>1</v>
      </c>
      <c r="D45" s="8"/>
      <c r="E45" s="8"/>
      <c r="F45" s="0"/>
      <c r="G45" s="0"/>
      <c r="H45" s="0"/>
      <c r="I45" s="0"/>
      <c r="J45" s="0"/>
      <c r="K45" s="0"/>
    </row>
    <row r="46" x14ac:dyDescent="0.25">
      <c r="A46" s="8">
        <f t="shared" si="1"/>
        <v>45</v>
      </c>
      <c r="B46" s="8">
        <v>1</v>
      </c>
      <c r="C46" s="8">
        <v>1</v>
      </c>
      <c r="D46" s="8"/>
      <c r="E46" s="8"/>
      <c r="F46" s="0"/>
      <c r="G46" s="0"/>
      <c r="H46" s="0"/>
      <c r="I46" s="0"/>
      <c r="J46" s="0"/>
      <c r="K46" s="0"/>
    </row>
    <row r="47" x14ac:dyDescent="0.25">
      <c r="A47" s="8">
        <f t="shared" si="1"/>
        <v>46</v>
      </c>
      <c r="B47" s="8">
        <v>1</v>
      </c>
      <c r="C47" s="8">
        <v>1</v>
      </c>
      <c r="D47" s="8"/>
      <c r="E47" s="8"/>
      <c r="F47" s="0"/>
      <c r="G47" s="0"/>
      <c r="H47" s="0"/>
      <c r="I47" s="0"/>
      <c r="J47" s="0"/>
      <c r="K47" s="0"/>
    </row>
    <row r="48" x14ac:dyDescent="0.25">
      <c r="A48" s="12">
        <f t="shared" si="1"/>
        <v>47</v>
      </c>
      <c r="B48" s="8">
        <v>1</v>
      </c>
      <c r="C48" s="8">
        <v>1</v>
      </c>
      <c r="D48" s="8"/>
      <c r="E48" s="8"/>
      <c r="F48" s="0"/>
      <c r="G48" s="0"/>
      <c r="H48" s="0"/>
      <c r="I48" s="0"/>
      <c r="J48" s="0"/>
      <c r="K48" s="0"/>
    </row>
    <row r="49" x14ac:dyDescent="0.25">
      <c r="A49" s="8">
        <f t="shared" si="1"/>
        <v>48</v>
      </c>
      <c r="B49" s="8">
        <v>1</v>
      </c>
      <c r="C49" s="8">
        <v>1</v>
      </c>
      <c r="D49" s="8"/>
      <c r="E49" s="8"/>
      <c r="F49" s="0"/>
      <c r="G49" s="0"/>
      <c r="H49" s="0"/>
      <c r="I49" s="0"/>
      <c r="J49" s="0"/>
      <c r="K49" s="0"/>
    </row>
    <row r="50" x14ac:dyDescent="0.25">
      <c r="A50" s="8">
        <f t="shared" si="1"/>
        <v>49</v>
      </c>
      <c r="B50" s="8">
        <v>1</v>
      </c>
      <c r="C50" s="8">
        <v>1</v>
      </c>
      <c r="D50" s="8"/>
      <c r="E50" s="8"/>
      <c r="F50" s="0"/>
      <c r="G50" s="0"/>
      <c r="H50" s="0"/>
      <c r="I50" s="0"/>
      <c r="J50" s="0"/>
      <c r="K50" s="0"/>
    </row>
    <row r="51" x14ac:dyDescent="0.25">
      <c r="A51" s="12">
        <f t="shared" si="1"/>
        <v>50</v>
      </c>
      <c r="B51" s="8">
        <v>1</v>
      </c>
      <c r="C51" s="8">
        <v>1</v>
      </c>
      <c r="D51" s="8"/>
      <c r="E51" s="8"/>
      <c r="F51" s="0"/>
      <c r="G51" s="0"/>
      <c r="H51" s="0"/>
      <c r="I51" s="0"/>
      <c r="J51" s="0"/>
      <c r="K51" s="0"/>
    </row>
    <row r="52" x14ac:dyDescent="0.25">
      <c r="A52" s="8">
        <f t="shared" si="1"/>
        <v>51</v>
      </c>
      <c r="B52" s="8">
        <v>1</v>
      </c>
      <c r="C52" s="8">
        <v>1</v>
      </c>
      <c r="D52" s="8"/>
      <c r="E52" s="8"/>
      <c r="F52" s="0"/>
      <c r="G52" s="0"/>
      <c r="H52" s="0"/>
      <c r="I52" s="0"/>
      <c r="J52" s="0"/>
      <c r="K52" s="0"/>
    </row>
    <row r="53" x14ac:dyDescent="0.25">
      <c r="A53" s="8">
        <f t="shared" si="1"/>
        <v>52</v>
      </c>
      <c r="B53" s="8">
        <v>1</v>
      </c>
      <c r="C53" s="8">
        <v>1</v>
      </c>
      <c r="D53" s="8"/>
      <c r="E53" s="8"/>
      <c r="F53" s="0"/>
      <c r="G53" s="0"/>
      <c r="H53" s="0"/>
      <c r="I53" s="0"/>
      <c r="J53" s="0"/>
      <c r="K53" s="0"/>
    </row>
    <row r="54" x14ac:dyDescent="0.25">
      <c r="A54" s="12">
        <f t="shared" si="1"/>
        <v>53</v>
      </c>
      <c r="B54" s="8">
        <v>1</v>
      </c>
      <c r="C54" s="8">
        <v>1</v>
      </c>
      <c r="D54" s="8"/>
      <c r="E54" s="8"/>
      <c r="F54" s="0"/>
      <c r="G54" s="0"/>
      <c r="H54" s="0"/>
      <c r="I54" s="0"/>
      <c r="J54" s="0"/>
      <c r="K54" s="0"/>
    </row>
    <row r="55" x14ac:dyDescent="0.25">
      <c r="A55" s="8">
        <f t="shared" si="1"/>
        <v>54</v>
      </c>
      <c r="B55" s="8">
        <v>1</v>
      </c>
      <c r="C55" s="8">
        <v>1</v>
      </c>
      <c r="D55" s="8"/>
      <c r="E55" s="8"/>
      <c r="F55" s="0"/>
      <c r="G55" s="0"/>
      <c r="H55" s="0"/>
      <c r="I55" s="0"/>
      <c r="J55" s="0"/>
      <c r="K55" s="0"/>
    </row>
    <row r="56" x14ac:dyDescent="0.25">
      <c r="A56" s="8">
        <f t="shared" si="1"/>
        <v>55</v>
      </c>
      <c r="B56" s="8">
        <v>1</v>
      </c>
      <c r="C56" s="8">
        <v>1</v>
      </c>
      <c r="D56" s="8"/>
      <c r="E56" s="8"/>
      <c r="F56" s="0"/>
      <c r="G56" s="0"/>
      <c r="H56" s="0"/>
      <c r="I56" s="0"/>
      <c r="J56" s="0"/>
      <c r="K56" s="0"/>
    </row>
    <row r="57" x14ac:dyDescent="0.25">
      <c r="A57" s="12">
        <f t="shared" si="1"/>
        <v>56</v>
      </c>
      <c r="B57" s="8">
        <v>1</v>
      </c>
      <c r="C57" s="8">
        <v>1</v>
      </c>
      <c r="D57" s="8"/>
      <c r="E57" s="8"/>
      <c r="F57" s="0"/>
      <c r="G57" s="0"/>
      <c r="H57" s="0"/>
      <c r="I57" s="0"/>
      <c r="J57" s="0"/>
      <c r="K57" s="0"/>
    </row>
    <row r="58" x14ac:dyDescent="0.25">
      <c r="A58" s="8">
        <f t="shared" si="1"/>
        <v>57</v>
      </c>
      <c r="B58" s="8">
        <v>1</v>
      </c>
      <c r="C58" s="8">
        <v>1</v>
      </c>
      <c r="D58" s="8"/>
      <c r="E58" s="8"/>
      <c r="F58" s="0"/>
      <c r="G58" s="0"/>
      <c r="H58" s="0"/>
      <c r="I58" s="0"/>
      <c r="J58" s="0"/>
      <c r="K58" s="0"/>
    </row>
    <row r="59" x14ac:dyDescent="0.25">
      <c r="A59" s="8">
        <f t="shared" si="1"/>
        <v>58</v>
      </c>
      <c r="B59" s="8">
        <v>1</v>
      </c>
      <c r="C59" s="8">
        <v>1</v>
      </c>
      <c r="D59" s="8"/>
      <c r="E59" s="8"/>
      <c r="F59" s="0"/>
      <c r="G59" s="0"/>
      <c r="H59" s="0"/>
      <c r="I59" s="0"/>
      <c r="J59" s="0"/>
      <c r="K59" s="0"/>
    </row>
    <row r="60" x14ac:dyDescent="0.25">
      <c r="A60" s="8">
        <f t="shared" si="1"/>
        <v>59</v>
      </c>
      <c r="B60" s="8">
        <v>1</v>
      </c>
      <c r="C60" s="8">
        <v>1</v>
      </c>
      <c r="D60" s="8"/>
      <c r="E60" s="8"/>
      <c r="F60" s="0"/>
      <c r="G60" s="0"/>
      <c r="H60" s="0"/>
      <c r="I60" s="0"/>
      <c r="J60" s="0"/>
      <c r="K60" s="0"/>
    </row>
  </sheetData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C3"/>
  <sheetViews>
    <sheetView zoomScale="90" zoomScaleNormal="90" workbookViewId="0">
      <selection activeCell="G12" sqref="G12"/>
    </sheetView>
  </sheetViews>
  <sheetFormatPr defaultRowHeight="15" x14ac:dyDescent="0.25"/>
  <cols>
    <col min="1" max="1" width="10.82421875" bestFit="true" customWidth="true"/>
    <col min="2" max="2" width="2.15625" bestFit="true" customWidth="true"/>
    <col min="3" max="3" width="2.15625" bestFit="true" customWidth="true"/>
    <col min="4" max="4" width="2.15625" bestFit="true" customWidth="true"/>
    <col min="5" max="5" width="2.15625" bestFit="true" customWidth="true"/>
    <col min="6" max="6" width="2.15625" bestFit="true" customWidth="true"/>
    <col min="7" max="7" width="2.15625" bestFit="true" customWidth="true"/>
    <col min="8" max="8" width="2.15625" bestFit="true" customWidth="true"/>
    <col min="9" max="9" width="2.15625" bestFit="true" customWidth="true"/>
    <col min="10" max="10" width="2.15625" bestFit="true" customWidth="true"/>
    <col min="11" max="11" width="2.15625" bestFit="true" customWidth="true"/>
    <col min="12" max="12" width="2.15625" bestFit="true" customWidth="true"/>
    <col min="13" max="13" width="2.15625" bestFit="true" customWidth="true"/>
    <col min="14" max="14" width="2.15625" bestFit="true" customWidth="true"/>
    <col min="15" max="15" width="2.15625" bestFit="true" customWidth="true"/>
    <col min="16" max="16" width="2.15625" bestFit="true" customWidth="true"/>
    <col min="17" max="17" width="2.15625" bestFit="true" customWidth="true"/>
    <col min="18" max="18" width="2.15625" bestFit="true" customWidth="true"/>
    <col min="19" max="19" width="2.15625" bestFit="true" customWidth="true"/>
    <col min="20" max="20" width="2.15625" bestFit="true" customWidth="true"/>
    <col min="21" max="21" width="2.15625" bestFit="true" customWidth="true"/>
    <col min="22" max="22" width="2.15625" bestFit="true" customWidth="true"/>
    <col min="23" max="23" width="2.15625" bestFit="true" customWidth="true"/>
    <col min="24" max="24" width="2.15625" bestFit="true" customWidth="true"/>
    <col min="25" max="25" width="2.15625" bestFit="true" customWidth="true"/>
    <col min="26" max="26" width="2.15625" bestFit="true" customWidth="true"/>
    <col min="27" max="27" width="2.15625" bestFit="true" customWidth="true"/>
    <col min="28" max="28" width="2.15625" bestFit="true" customWidth="true"/>
    <col min="29" max="29" width="2.15625" bestFit="true" customWidth="true"/>
  </cols>
  <sheetData>
    <row r="1" x14ac:dyDescent="0.25">
      <c r="B1" s="8" t="s">
        <v>123</v>
      </c>
      <c r="C1" s="8" t="s">
        <v>69</v>
      </c>
      <c r="D1" s="8" t="s">
        <v>92</v>
      </c>
      <c r="E1" s="8" t="s">
        <v>62</v>
      </c>
      <c r="F1" s="8" t="s">
        <v>73</v>
      </c>
      <c r="G1" s="8" t="s">
        <v>112</v>
      </c>
      <c r="H1" s="8" t="s">
        <v>77</v>
      </c>
      <c r="I1" s="8" t="s">
        <v>124</v>
      </c>
      <c r="J1" s="8" t="s">
        <v>125</v>
      </c>
      <c r="K1" s="8" t="s">
        <v>88</v>
      </c>
      <c r="L1" s="8" t="s">
        <v>99</v>
      </c>
      <c r="M1" s="8" t="s">
        <v>63</v>
      </c>
      <c r="N1" s="8" t="s">
        <v>95</v>
      </c>
      <c r="O1" s="8" t="s">
        <v>115</v>
      </c>
      <c r="P1" s="8" t="s">
        <v>126</v>
      </c>
      <c r="Q1" s="8" t="s">
        <v>127</v>
      </c>
      <c r="R1" s="8" t="s">
        <v>96</v>
      </c>
      <c r="S1" s="8" t="s">
        <v>104</v>
      </c>
      <c r="T1" s="8" t="s">
        <v>100</v>
      </c>
      <c r="U1" s="8" t="s">
        <v>118</v>
      </c>
      <c r="V1" s="8" t="s">
        <v>128</v>
      </c>
      <c r="W1" s="8" t="s">
        <v>129</v>
      </c>
      <c r="X1" s="8" t="s">
        <v>105</v>
      </c>
      <c r="Y1" s="8" t="s">
        <v>109</v>
      </c>
      <c r="Z1" s="8" t="s">
        <v>121</v>
      </c>
      <c r="AA1" s="8" t="s">
        <v>101</v>
      </c>
      <c r="AB1" s="8" t="s">
        <v>130</v>
      </c>
      <c r="AC1" s="8" t="s">
        <v>608</v>
      </c>
    </row>
    <row r="2" x14ac:dyDescent="0.25">
      <c r="A2" s="82" t="s">
        <v>1161</v>
      </c>
      <c r="B2" s="0">
        <v>1</v>
      </c>
      <c r="C2" s="0">
        <v>1</v>
      </c>
      <c r="D2" s="0">
        <v>1</v>
      </c>
      <c r="E2" s="0">
        <v>1</v>
      </c>
      <c r="F2" s="0">
        <v>1</v>
      </c>
      <c r="G2" s="0">
        <v>1</v>
      </c>
      <c r="H2" s="0">
        <v>1</v>
      </c>
      <c r="I2" s="0">
        <v>1</v>
      </c>
      <c r="J2" s="0">
        <v>1</v>
      </c>
      <c r="K2" s="0">
        <v>1</v>
      </c>
      <c r="L2" s="0">
        <v>1</v>
      </c>
      <c r="M2" s="0">
        <v>1</v>
      </c>
      <c r="N2" s="0">
        <v>1</v>
      </c>
      <c r="O2" s="0">
        <v>1</v>
      </c>
      <c r="P2" s="0">
        <v>1</v>
      </c>
      <c r="Q2" s="0">
        <v>1</v>
      </c>
      <c r="R2" s="0">
        <v>1</v>
      </c>
      <c r="S2" s="0">
        <v>1</v>
      </c>
      <c r="T2" s="0">
        <v>1</v>
      </c>
      <c r="U2" s="0">
        <v>1</v>
      </c>
      <c r="V2" s="0">
        <v>1</v>
      </c>
      <c r="W2" s="0">
        <v>1</v>
      </c>
      <c r="X2" s="0">
        <v>1</v>
      </c>
      <c r="Y2" s="0">
        <v>1</v>
      </c>
      <c r="Z2" s="0">
        <v>1</v>
      </c>
      <c r="AA2" s="0">
        <v>1</v>
      </c>
      <c r="AB2" s="0">
        <v>1</v>
      </c>
      <c r="AC2" s="0">
        <v>1</v>
      </c>
    </row>
    <row r="3" x14ac:dyDescent="0.25">
      <c r="A3" s="82" t="s">
        <v>1162</v>
      </c>
      <c r="B3" s="0">
        <v>1</v>
      </c>
      <c r="C3" s="0">
        <v>1</v>
      </c>
      <c r="D3" s="0">
        <v>1</v>
      </c>
      <c r="E3" s="0">
        <v>1</v>
      </c>
      <c r="F3" s="0">
        <v>1</v>
      </c>
      <c r="G3" s="0">
        <v>1</v>
      </c>
      <c r="H3" s="0">
        <v>1</v>
      </c>
      <c r="I3" s="0">
        <v>1</v>
      </c>
      <c r="J3" s="0">
        <v>1</v>
      </c>
      <c r="K3" s="0">
        <v>1</v>
      </c>
      <c r="L3" s="0">
        <v>1</v>
      </c>
      <c r="M3" s="0">
        <v>1</v>
      </c>
      <c r="N3" s="0">
        <v>1</v>
      </c>
      <c r="O3" s="0">
        <v>1</v>
      </c>
      <c r="P3" s="0">
        <v>1</v>
      </c>
      <c r="Q3" s="0">
        <v>1</v>
      </c>
      <c r="R3" s="0">
        <v>1</v>
      </c>
      <c r="S3" s="0">
        <v>1</v>
      </c>
      <c r="T3" s="0">
        <v>1</v>
      </c>
      <c r="U3" s="0">
        <v>1</v>
      </c>
      <c r="V3" s="0">
        <v>1</v>
      </c>
      <c r="W3" s="0">
        <v>1</v>
      </c>
      <c r="X3" s="0">
        <v>1</v>
      </c>
      <c r="Y3" s="0">
        <v>1</v>
      </c>
      <c r="Z3" s="0">
        <v>1</v>
      </c>
      <c r="AA3" s="0">
        <v>1</v>
      </c>
      <c r="AB3" s="0">
        <v>1</v>
      </c>
      <c r="AC3" s="0">
        <v>1</v>
      </c>
    </row>
    <row r="4" x14ac:dyDescent="0.25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</row>
    <row r="8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</row>
    <row r="12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 x14ac:dyDescent="0.25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 x14ac:dyDescent="0.25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 x14ac:dyDescent="0.25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 x14ac:dyDescent="0.25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 x14ac:dyDescent="0.25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 x14ac:dyDescent="0.25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 x14ac:dyDescent="0.25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 x14ac:dyDescent="0.25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 x14ac:dyDescent="0.25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 x14ac:dyDescent="0.25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 x14ac:dyDescent="0.25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 x14ac:dyDescent="0.25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 x14ac:dyDescent="0.25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 x14ac:dyDescent="0.25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 x14ac:dyDescent="0.25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 x14ac:dyDescent="0.25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 x14ac:dyDescent="0.25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 x14ac:dyDescent="0.25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 x14ac:dyDescent="0.25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 x14ac:dyDescent="0.25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 x14ac:dyDescent="0.25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 x14ac:dyDescent="0.25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 x14ac:dyDescent="0.25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 x14ac:dyDescent="0.25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 x14ac:dyDescent="0.25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 x14ac:dyDescent="0.25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 x14ac:dyDescent="0.25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 x14ac:dyDescent="0.25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 x14ac:dyDescent="0.25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 x14ac:dyDescent="0.25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 x14ac:dyDescent="0.25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 x14ac:dyDescent="0.25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 x14ac:dyDescent="0.25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 x14ac:dyDescent="0.25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 x14ac:dyDescent="0.25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 x14ac:dyDescent="0.25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 x14ac:dyDescent="0.25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 x14ac:dyDescent="0.25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 x14ac:dyDescent="0.25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 x14ac:dyDescent="0.25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 x14ac:dyDescent="0.25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</sheetData>
  <phoneticPr fontId="4" type="noConversion"/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/>
  </sheetViews>
  <sheetFormatPr defaultColWidth="8.85546875" defaultRowHeight="15" x14ac:dyDescent="0.25"/>
  <cols>
    <col min="1" max="16384" width="8.85546875" style="83"/>
  </cols>
  <sheetData>
    <row r="1" x14ac:dyDescent="0.25">
      <c r="A1" s="83" t="s">
        <v>945</v>
      </c>
      <c r="B1" s="83" t="s">
        <v>946</v>
      </c>
      <c r="C1" s="83" t="s">
        <v>947</v>
      </c>
      <c r="D1" s="83" t="s">
        <v>948</v>
      </c>
      <c r="E1" s="83" t="s">
        <v>949</v>
      </c>
      <c r="F1" s="83" t="s">
        <v>950</v>
      </c>
      <c r="J1" s="83" t="s">
        <v>951</v>
      </c>
    </row>
    <row r="2" x14ac:dyDescent="0.25">
      <c r="A2" s="84" t="s">
        <v>77</v>
      </c>
      <c r="B2" s="85">
        <v>60000</v>
      </c>
      <c r="C2" s="85">
        <v>0.5</v>
      </c>
      <c r="D2" s="83">
        <v>0.66</v>
      </c>
      <c r="E2" s="86">
        <v>0.67</v>
      </c>
      <c r="F2" s="85">
        <v>19.2</v>
      </c>
      <c r="G2" s="85"/>
      <c r="H2" s="85"/>
      <c r="I2" s="85"/>
      <c r="J2" s="85" t="s">
        <v>952</v>
      </c>
      <c r="K2" s="83" t="s">
        <v>953</v>
      </c>
    </row>
    <row r="3" x14ac:dyDescent="0.25">
      <c r="A3" s="84" t="s">
        <v>92</v>
      </c>
      <c r="B3" s="85">
        <v>80</v>
      </c>
      <c r="C3" s="85">
        <v>0.5</v>
      </c>
      <c r="D3" s="83">
        <v>3.9E-2</v>
      </c>
      <c r="E3" s="86">
        <v>0.67</v>
      </c>
      <c r="F3" s="85">
        <v>0.1</v>
      </c>
      <c r="G3" s="85"/>
      <c r="H3" s="85"/>
      <c r="I3" s="85"/>
      <c r="J3" s="85" t="s">
        <v>952</v>
      </c>
      <c r="K3" s="83" t="s">
        <v>954</v>
      </c>
    </row>
    <row r="4" x14ac:dyDescent="0.25">
      <c r="A4" s="84" t="s">
        <v>69</v>
      </c>
      <c r="B4" s="85">
        <v>2500</v>
      </c>
      <c r="C4" s="85">
        <v>0.1</v>
      </c>
      <c r="D4" s="83">
        <v>1.1200000000000001</v>
      </c>
      <c r="E4" s="86">
        <v>0.67</v>
      </c>
      <c r="F4" s="85">
        <v>0</v>
      </c>
      <c r="G4" s="85"/>
      <c r="H4" s="85"/>
      <c r="I4" s="85"/>
      <c r="J4" s="85" t="s">
        <v>952</v>
      </c>
    </row>
    <row r="5" x14ac:dyDescent="0.25">
      <c r="A5" s="84" t="s">
        <v>62</v>
      </c>
      <c r="B5" s="85">
        <v>32</v>
      </c>
      <c r="C5" s="85">
        <v>0.1</v>
      </c>
      <c r="D5" s="83">
        <v>0.03</v>
      </c>
      <c r="E5" s="86">
        <v>0.67</v>
      </c>
      <c r="F5" s="85">
        <v>0</v>
      </c>
      <c r="J5" s="85" t="s">
        <v>955</v>
      </c>
    </row>
    <row r="6" x14ac:dyDescent="0.25">
      <c r="A6" s="84" t="s">
        <v>63</v>
      </c>
      <c r="B6" s="85">
        <v>32</v>
      </c>
      <c r="C6" s="85">
        <v>0.1</v>
      </c>
      <c r="D6" s="83">
        <v>0.03</v>
      </c>
      <c r="E6" s="86">
        <v>0.67</v>
      </c>
      <c r="F6" s="85">
        <v>0</v>
      </c>
    </row>
    <row r="7" x14ac:dyDescent="0.25">
      <c r="A7" s="84" t="s">
        <v>73</v>
      </c>
      <c r="B7" s="85">
        <v>40</v>
      </c>
      <c r="C7" s="85">
        <v>1</v>
      </c>
      <c r="D7" s="83">
        <v>0.47399999999999998</v>
      </c>
      <c r="E7" s="86">
        <v>0.67</v>
      </c>
      <c r="F7" s="85">
        <v>0.1</v>
      </c>
      <c r="J7" s="85" t="s">
        <v>956</v>
      </c>
    </row>
    <row r="8" x14ac:dyDescent="0.25">
      <c r="A8" s="84" t="s">
        <v>88</v>
      </c>
      <c r="B8" s="85">
        <v>22.58</v>
      </c>
      <c r="C8" s="85">
        <v>1</v>
      </c>
      <c r="D8" s="83">
        <v>0.93799999999999994</v>
      </c>
      <c r="E8" s="86">
        <v>0.67</v>
      </c>
      <c r="F8" s="85">
        <v>0</v>
      </c>
      <c r="G8" s="85"/>
      <c r="H8" s="85"/>
      <c r="I8" s="85"/>
      <c r="J8" s="85" t="s">
        <v>955</v>
      </c>
    </row>
    <row r="9" x14ac:dyDescent="0.25">
      <c r="A9" s="84" t="s">
        <v>957</v>
      </c>
      <c r="B9" s="85">
        <v>185</v>
      </c>
      <c r="C9" s="85">
        <v>1</v>
      </c>
      <c r="D9" s="83">
        <v>0.36199999999999999</v>
      </c>
      <c r="E9" s="86">
        <v>0.67</v>
      </c>
      <c r="F9" s="83">
        <v>0.5</v>
      </c>
      <c r="J9" s="83" t="s">
        <v>956</v>
      </c>
    </row>
    <row r="10" x14ac:dyDescent="0.25">
      <c r="A10" s="87" t="s">
        <v>99</v>
      </c>
      <c r="B10" s="83">
        <v>80</v>
      </c>
      <c r="C10" s="83">
        <v>1</v>
      </c>
      <c r="D10" s="83">
        <v>2.6100000000000002E-2</v>
      </c>
      <c r="E10" s="86">
        <v>0.67</v>
      </c>
      <c r="F10" s="83">
        <v>0.33</v>
      </c>
      <c r="J10" s="83" t="s">
        <v>952</v>
      </c>
    </row>
    <row r="11" x14ac:dyDescent="0.25">
      <c r="A11" s="84" t="s">
        <v>100</v>
      </c>
      <c r="B11" s="83">
        <v>80</v>
      </c>
      <c r="C11" s="83">
        <v>1</v>
      </c>
      <c r="D11" s="83">
        <v>2.6100000000000002E-2</v>
      </c>
      <c r="E11" s="86">
        <v>0.67</v>
      </c>
      <c r="F11" s="83">
        <v>0.33</v>
      </c>
      <c r="G11" s="85"/>
      <c r="H11" s="85"/>
      <c r="I11" s="85"/>
      <c r="J11" s="85"/>
    </row>
    <row r="12" x14ac:dyDescent="0.25">
      <c r="A12" s="84" t="s">
        <v>101</v>
      </c>
      <c r="B12" s="83">
        <v>80</v>
      </c>
      <c r="C12" s="83">
        <v>1</v>
      </c>
      <c r="D12" s="83">
        <v>2.6100000000000002E-2</v>
      </c>
      <c r="E12" s="86">
        <v>0.67</v>
      </c>
      <c r="F12" s="83">
        <v>0.33</v>
      </c>
    </row>
    <row r="13" x14ac:dyDescent="0.25">
      <c r="A13" s="84" t="s">
        <v>104</v>
      </c>
      <c r="B13" s="83">
        <v>80</v>
      </c>
      <c r="C13" s="83">
        <v>1</v>
      </c>
      <c r="D13" s="83">
        <v>0.93799999999999994</v>
      </c>
      <c r="E13" s="86">
        <v>0.67</v>
      </c>
      <c r="F13" s="83">
        <v>0.2</v>
      </c>
    </row>
    <row r="14" x14ac:dyDescent="0.25">
      <c r="A14" s="84" t="s">
        <v>105</v>
      </c>
      <c r="B14" s="83">
        <v>80</v>
      </c>
      <c r="C14" s="83">
        <v>1</v>
      </c>
      <c r="D14" s="83">
        <v>0.93799999999999994</v>
      </c>
      <c r="E14" s="86">
        <v>0.67</v>
      </c>
      <c r="F14" s="83">
        <v>0.2</v>
      </c>
    </row>
    <row r="15" x14ac:dyDescent="0.25">
      <c r="A15" s="84" t="s">
        <v>95</v>
      </c>
      <c r="B15" s="83">
        <v>80</v>
      </c>
      <c r="C15" s="83">
        <v>1</v>
      </c>
      <c r="D15" s="83">
        <v>0.75</v>
      </c>
      <c r="E15" s="86">
        <v>0.67</v>
      </c>
      <c r="F15" s="83">
        <v>0.1</v>
      </c>
    </row>
    <row r="16" x14ac:dyDescent="0.25">
      <c r="A16" s="84" t="s">
        <v>96</v>
      </c>
      <c r="B16" s="83">
        <v>80</v>
      </c>
      <c r="C16" s="83">
        <v>1</v>
      </c>
      <c r="D16" s="83">
        <v>0.75</v>
      </c>
      <c r="E16" s="86">
        <v>0.67</v>
      </c>
      <c r="F16" s="83">
        <v>0.1</v>
      </c>
    </row>
    <row r="17" x14ac:dyDescent="0.25">
      <c r="A17" s="88" t="s">
        <v>109</v>
      </c>
      <c r="B17" s="89">
        <v>80</v>
      </c>
      <c r="C17" s="89">
        <v>1</v>
      </c>
      <c r="D17" s="89">
        <v>1.2</v>
      </c>
      <c r="E17" s="90">
        <v>0.67</v>
      </c>
      <c r="F17" s="89">
        <v>0.1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7"/>
  <sheetViews>
    <sheetView zoomScale="80" zoomScaleNormal="80" workbookViewId="0">
      <selection activeCell="C46" sqref="C46"/>
    </sheetView>
  </sheetViews>
  <sheetFormatPr defaultColWidth="8.85546875" defaultRowHeight="15" x14ac:dyDescent="0.25"/>
  <cols>
    <col min="1" max="1" width="13.85546875" style="7" bestFit="true" customWidth="true"/>
    <col min="2" max="2" width="16.7109375" style="7" customWidth="true"/>
    <col min="3" max="3" width="20.42578125" style="7" bestFit="true" customWidth="true"/>
    <col min="4" max="4" width="8.7109375" style="7" bestFit="true" customWidth="true"/>
    <col min="5" max="5" width="18.5703125" style="7" hidden="true" customWidth="true"/>
    <col min="6" max="7" width="9.7109375" style="7" bestFit="true" customWidth="true"/>
    <col min="8" max="8" width="19.42578125" style="7" hidden="true" customWidth="true"/>
    <col min="9" max="9" width="19.28515625" style="7" hidden="true" customWidth="true"/>
    <col min="10" max="10" width="17.28515625" style="7" bestFit="true" customWidth="true"/>
    <col min="11" max="11" width="33.42578125" style="7" bestFit="true" customWidth="true"/>
    <col min="12" max="12" width="28.5703125" style="7" hidden="true" customWidth="true"/>
    <col min="13" max="13" width="58.140625" style="7" hidden="true" customWidth="true"/>
    <col min="14" max="14" width="44.42578125" style="7" customWidth="true"/>
    <col min="15" max="15" width="44.42578125" style="7" hidden="true" customWidth="true"/>
    <col min="16" max="16" width="88.28515625" style="7" bestFit="true" customWidth="true"/>
    <col min="17" max="22" width="8.85546875" style="7"/>
    <col min="23" max="23" width="21.7109375" style="7" bestFit="true" customWidth="true"/>
    <col min="24" max="25" width="8.85546875" style="7"/>
    <col min="26" max="26" width="14.5703125" style="7" bestFit="true" customWidth="true"/>
    <col min="27" max="16384" width="8.85546875" style="7"/>
  </cols>
  <sheetData>
    <row r="1" x14ac:dyDescent="0.25">
      <c r="A1" s="18" t="s">
        <v>131</v>
      </c>
      <c r="B1" s="19" t="s">
        <v>132</v>
      </c>
      <c r="C1" s="19" t="s">
        <v>133</v>
      </c>
      <c r="D1" s="19" t="s">
        <v>134</v>
      </c>
      <c r="E1" s="19" t="s">
        <v>135</v>
      </c>
      <c r="F1" s="19" t="s">
        <v>136</v>
      </c>
      <c r="G1" s="19" t="s">
        <v>137</v>
      </c>
      <c r="H1" s="19" t="s">
        <v>138</v>
      </c>
      <c r="I1" s="19" t="s">
        <v>139</v>
      </c>
      <c r="J1" s="19" t="s">
        <v>140</v>
      </c>
      <c r="K1" s="19" t="s">
        <v>141</v>
      </c>
      <c r="L1" s="19" t="s">
        <v>142</v>
      </c>
      <c r="M1" s="19" t="s">
        <v>518</v>
      </c>
      <c r="N1" s="20" t="s">
        <v>519</v>
      </c>
      <c r="O1" s="20" t="s">
        <v>520</v>
      </c>
      <c r="P1" s="20" t="s">
        <v>143</v>
      </c>
    </row>
    <row r="2" x14ac:dyDescent="0.25">
      <c r="A2" s="21" t="s">
        <v>144</v>
      </c>
      <c r="B2" s="22" t="s">
        <v>145</v>
      </c>
      <c r="C2" s="22" t="s">
        <v>916</v>
      </c>
      <c r="D2" s="19"/>
      <c r="E2" s="22" t="str">
        <f>IF(Table1[[#This Row],[Dim]]=0,"","dim="&amp;Table1[[#This Row],[Dim]])</f>
        <v/>
      </c>
      <c r="F2" s="22">
        <v>1</v>
      </c>
      <c r="G2" s="22"/>
      <c r="H2" s="25" t="str">
        <f>IF(Table1[[#This Row],[Cdim]]=NOT(Table1[[#This Row],[Cdim]]=0),"","cdim= "&amp;Table1[[#This Row],[Cdim]])</f>
        <v>cdim= 1</v>
      </c>
      <c r="I2" s="25" t="str">
        <f>IF(Table1[[#This Row],[Rdim]]=NOT(Table1[[#This Row],[Rdim]]=0),"","rdim= "&amp;Table1[[#This Row],[Rdim]])</f>
        <v/>
      </c>
      <c r="J2" s="22"/>
      <c r="K2" s="22"/>
      <c r="L2" s="25" t="str">
        <f>IF(Table1[[#This Row],[ignoreRows]]=NOT(Table1[[#This Row],[ignoreRows]]=0),"","ignoreRows= "&amp;Table1[[#This Row],[ignoreRows]])</f>
        <v/>
      </c>
      <c r="M2" s="25" t="str">
        <f>IF(Table1[[#This Row],[ignoreColumns]]=NOT(Table1[[#This Row],[ignoreColumns]]=0),"","ignoreColumns= "&amp;Table1[[#This Row],[ignoreColumns]])</f>
        <v/>
      </c>
      <c r="N2" s="43" t="str">
        <f>IF(Table1[[#This Row],[Data Type]]="set","Y","N")</f>
        <v>Y</v>
      </c>
      <c r="O2" s="43" t="str">
        <f>IF(Table1[[#This Row],[Values=No Data '[Y/N']]]="Y","values=NoData","")</f>
        <v>values=NoData</v>
      </c>
      <c r="P2" s="23" t="str">
        <f>Table1[[#This Row],[Data Type]]&amp;"="&amp;Table1[[#This Row],[Name]]&amp;"    rng="&amp;Table1[[#This Row],[Range]]&amp;"    "&amp;Table1[[#This Row],[Values gams input]]&amp;"    "&amp;Table1[[#This Row],[dim input gams]]&amp;"    "&amp;Table1[[#This Row],[cdim gams input]]&amp;"     "&amp;Table1[[#This Row],[rdim gams input]]&amp;"     "&amp;Table1[[#This Row],[ignore rows gams input]]&amp;"     "&amp;Table1[[#This Row],[ignore colums gams input]]</f>
        <v>set=Chem_prop    rng=Chem_Props!B2:Y2    values=NoData        cdim= 1               </v>
      </c>
      <c r="Q2" s="47" t="s">
        <v>914</v>
      </c>
    </row>
    <row r="3" x14ac:dyDescent="0.25">
      <c r="A3" s="21" t="s">
        <v>144</v>
      </c>
      <c r="B3" s="22" t="s">
        <v>613</v>
      </c>
      <c r="C3" s="22" t="s">
        <v>602</v>
      </c>
      <c r="D3" s="22"/>
      <c r="E3" s="22" t="str">
        <f>IF(Table1[[#This Row],[Dim]]=0,"","dim="&amp;Table1[[#This Row],[Dim]])</f>
        <v/>
      </c>
      <c r="F3" s="22">
        <v>1</v>
      </c>
      <c r="G3" s="22"/>
      <c r="H3" s="25" t="str">
        <f>IF(Table1[[#This Row],[Cdim]]=NOT(Table1[[#This Row],[Cdim]]=0),"","cdim= "&amp;Table1[[#This Row],[Cdim]])</f>
        <v>cdim= 1</v>
      </c>
      <c r="I3" s="25" t="str">
        <f>IF(Table1[[#This Row],[Rdim]]=NOT(Table1[[#This Row],[Rdim]]=0),"","rdim= "&amp;Table1[[#This Row],[Rdim]])</f>
        <v/>
      </c>
      <c r="J3" s="22"/>
      <c r="K3" s="22"/>
      <c r="L3" s="25" t="str">
        <f>IF(Table1[[#This Row],[ignoreRows]]=NOT(Table1[[#This Row],[ignoreRows]]=0),"","ignoreRows= "&amp;Table1[[#This Row],[ignoreRows]])</f>
        <v/>
      </c>
      <c r="M3" s="25" t="str">
        <f>IF(Table1[[#This Row],[ignoreColumns]]=NOT(Table1[[#This Row],[ignoreColumns]]=0),"","ignoreColumns= "&amp;Table1[[#This Row],[ignoreColumns]])</f>
        <v/>
      </c>
      <c r="N3" s="44" t="str">
        <f>IF(Table1[[#This Row],[Data Type]]="set","Y","N")</f>
        <v>Y</v>
      </c>
      <c r="O3" s="44" t="str">
        <f>IF(Table1[[#This Row],[Values=No Data '[Y/N']]]="Y","values=NoData","")</f>
        <v>values=NoData</v>
      </c>
      <c r="P3" s="23" t="str">
        <f>Table1[[#This Row],[Data Type]]&amp;"="&amp;Table1[[#This Row],[Name]]&amp;"    rng="&amp;Table1[[#This Row],[Range]]&amp;"    "&amp;Table1[[#This Row],[Values gams input]]&amp;"    "&amp;Table1[[#This Row],[dim input gams]]&amp;"    "&amp;Table1[[#This Row],[cdim gams input]]&amp;"     "&amp;Table1[[#This Row],[rdim gams input]]&amp;"     "&amp;Table1[[#This Row],[ignore rows gams input]]&amp;"     "&amp;Table1[[#This Row],[ignore colums gams input]]</f>
        <v>set=dkS_Targets    rng=Outlet_Spec!B1:C1    values=NoData        cdim= 1               </v>
      </c>
    </row>
    <row r="4" x14ac:dyDescent="0.25">
      <c r="A4" s="21" t="s">
        <v>144</v>
      </c>
      <c r="B4" s="22" t="s">
        <v>614</v>
      </c>
      <c r="C4" s="22" t="s">
        <v>615</v>
      </c>
      <c r="D4" s="22"/>
      <c r="E4" s="22" t="str">
        <f>IF(Table1[[#This Row],[Dim]]=0,"","dim="&amp;Table1[[#This Row],[Dim]])</f>
        <v/>
      </c>
      <c r="F4" s="22">
        <v>1</v>
      </c>
      <c r="G4" s="22"/>
      <c r="H4" s="25" t="str">
        <f>IF(Table1[[#This Row],[Cdim]]=NOT(Table1[[#This Row],[Cdim]]=0),"","cdim= "&amp;Table1[[#This Row],[Cdim]])</f>
        <v>cdim= 1</v>
      </c>
      <c r="I4" s="25" t="str">
        <f>IF(Table1[[#This Row],[Rdim]]=NOT(Table1[[#This Row],[Rdim]]=0),"","rdim= "&amp;Table1[[#This Row],[Rdim]])</f>
        <v/>
      </c>
      <c r="J4" s="22"/>
      <c r="K4" s="22"/>
      <c r="L4" s="25" t="str">
        <f>IF(Table1[[#This Row],[ignoreRows]]=NOT(Table1[[#This Row],[ignoreRows]]=0),"","ignoreRows= "&amp;Table1[[#This Row],[ignoreRows]])</f>
        <v/>
      </c>
      <c r="M4" s="25" t="str">
        <f>IF(Table1[[#This Row],[ignoreColumns]]=NOT(Table1[[#This Row],[ignoreColumns]]=0),"","ignoreColumns= "&amp;Table1[[#This Row],[ignoreColumns]])</f>
        <v/>
      </c>
      <c r="N4" s="44" t="str">
        <f>IF(Table1[[#This Row],[Data Type]]="set","Y","N")</f>
        <v>Y</v>
      </c>
      <c r="O4" s="44" t="str">
        <f>IF(Table1[[#This Row],[Values=No Data '[Y/N']]]="Y","values=NoData","")</f>
        <v>values=NoData</v>
      </c>
      <c r="P4" s="23" t="str">
        <f>Table1[[#This Row],[Data Type]]&amp;"="&amp;Table1[[#This Row],[Name]]&amp;"    rng="&amp;Table1[[#This Row],[Range]]&amp;"    "&amp;Table1[[#This Row],[Values gams input]]&amp;"    "&amp;Table1[[#This Row],[dim input gams]]&amp;"    "&amp;Table1[[#This Row],[cdim gams input]]&amp;"     "&amp;Table1[[#This Row],[rdim gams input]]&amp;"     "&amp;Table1[[#This Row],[ignore rows gams input]]&amp;"     "&amp;Table1[[#This Row],[ignore colums gams input]]</f>
        <v>set=dkO_Targets    rng=Outlet_Spec!G1:H1    values=NoData        cdim= 1               </v>
      </c>
    </row>
    <row r="5" x14ac:dyDescent="0.25">
      <c r="A5" s="21" t="s">
        <v>144</v>
      </c>
      <c r="B5" s="22" t="s">
        <v>146</v>
      </c>
      <c r="C5" s="22" t="s">
        <v>147</v>
      </c>
      <c r="D5" s="22"/>
      <c r="E5" s="22" t="str">
        <f>IF(Table1[[#This Row],[Dim]]=0,"","dim="&amp;Table1[[#This Row],[Dim]])</f>
        <v/>
      </c>
      <c r="F5" s="22"/>
      <c r="G5" s="22">
        <v>1</v>
      </c>
      <c r="H5" s="25" t="str">
        <f>IF(Table1[[#This Row],[Cdim]]=NOT(Table1[[#This Row],[Cdim]]=0),"","cdim= "&amp;Table1[[#This Row],[Cdim]])</f>
        <v/>
      </c>
      <c r="I5" s="25" t="str">
        <f>IF(Table1[[#This Row],[Rdim]]=NOT(Table1[[#This Row],[Rdim]]=0),"","rdim= "&amp;Table1[[#This Row],[Rdim]])</f>
        <v>rdim= 1</v>
      </c>
      <c r="J5" s="22"/>
      <c r="K5" s="22"/>
      <c r="L5" s="25" t="str">
        <f>IF(Table1[[#This Row],[ignoreRows]]=NOT(Table1[[#This Row],[ignoreRows]]=0),"","ignoreRows= "&amp;Table1[[#This Row],[ignoreRows]])</f>
        <v/>
      </c>
      <c r="M5" s="25" t="str">
        <f>IF(Table1[[#This Row],[ignoreColumns]]=NOT(Table1[[#This Row],[ignoreColumns]]=0),"","ignoreColumns= "&amp;Table1[[#This Row],[ignoreColumns]])</f>
        <v/>
      </c>
      <c r="N5" s="43" t="str">
        <f>IF(Table1[[#This Row],[Data Type]]="set","Y","N")</f>
        <v>Y</v>
      </c>
      <c r="O5" s="43" t="str">
        <f>IF(Table1[[#This Row],[Values=No Data '[Y/N']]]="Y","values=NoData","")</f>
        <v>values=NoData</v>
      </c>
      <c r="P5" s="23" t="str">
        <f>Table1[[#This Row],[Data Type]]&amp;"="&amp;Table1[[#This Row],[Name]]&amp;"    rng="&amp;Table1[[#This Row],[Range]]&amp;"    "&amp;Table1[[#This Row],[Values gams input]]&amp;"    "&amp;Table1[[#This Row],[dim input gams]]&amp;"    "&amp;Table1[[#This Row],[cdim gams input]]&amp;"     "&amp;Table1[[#This Row],[rdim gams input]]&amp;"     "&amp;Table1[[#This Row],[ignore rows gams input]]&amp;"     "&amp;Table1[[#This Row],[ignore colums gams input]]</f>
        <v>set=ADS_tech    rng=ADS!A2:A7    values=NoData             rdim= 1          </v>
      </c>
    </row>
    <row r="6" x14ac:dyDescent="0.25">
      <c r="A6" s="21" t="s">
        <v>144</v>
      </c>
      <c r="B6" s="22" t="s">
        <v>148</v>
      </c>
      <c r="C6" s="22" t="s">
        <v>149</v>
      </c>
      <c r="D6" s="22"/>
      <c r="E6" s="22" t="str">
        <f>IF(Table1[[#This Row],[Dim]]=0,"","dim="&amp;Table1[[#This Row],[Dim]])</f>
        <v/>
      </c>
      <c r="F6" s="22"/>
      <c r="G6" s="22">
        <v>1</v>
      </c>
      <c r="H6" s="25" t="str">
        <f>IF(Table1[[#This Row],[Cdim]]=NOT(Table1[[#This Row],[Cdim]]=0),"","cdim= "&amp;Table1[[#This Row],[Cdim]])</f>
        <v/>
      </c>
      <c r="I6" s="25" t="str">
        <f>IF(Table1[[#This Row],[Rdim]]=NOT(Table1[[#This Row],[Rdim]]=0),"","rdim= "&amp;Table1[[#This Row],[Rdim]])</f>
        <v>rdim= 1</v>
      </c>
      <c r="J6" s="22"/>
      <c r="K6" s="22"/>
      <c r="L6" s="25" t="str">
        <f>IF(Table1[[#This Row],[ignoreRows]]=NOT(Table1[[#This Row],[ignoreRows]]=0),"","ignoreRows= "&amp;Table1[[#This Row],[ignoreRows]])</f>
        <v/>
      </c>
      <c r="M6" s="25" t="str">
        <f>IF(Table1[[#This Row],[ignoreColumns]]=NOT(Table1[[#This Row],[ignoreColumns]]=0),"","ignoreColumns= "&amp;Table1[[#This Row],[ignoreColumns]])</f>
        <v/>
      </c>
      <c r="N6" s="43" t="str">
        <f>IF(Table1[[#This Row],[Data Type]]="set","Y","N")</f>
        <v>Y</v>
      </c>
      <c r="O6" s="43" t="str">
        <f>IF(Table1[[#This Row],[Values=No Data '[Y/N']]]="Y","values=NoData","")</f>
        <v>values=NoData</v>
      </c>
      <c r="P6" s="23" t="str">
        <f>Table1[[#This Row],[Data Type]]&amp;"="&amp;Table1[[#This Row],[Name]]&amp;"    rng="&amp;Table1[[#This Row],[Range]]&amp;"    "&amp;Table1[[#This Row],[Values gams input]]&amp;"    "&amp;Table1[[#This Row],[dim input gams]]&amp;"    "&amp;Table1[[#This Row],[cdim gams input]]&amp;"     "&amp;Table1[[#This Row],[rdim gams input]]&amp;"     "&amp;Table1[[#This Row],[ignore rows gams input]]&amp;"     "&amp;Table1[[#This Row],[ignore colums gams input]]</f>
        <v>set=SDM_tech    rng=SDM!A2:A7    values=NoData             rdim= 1          </v>
      </c>
    </row>
    <row r="7" x14ac:dyDescent="0.25">
      <c r="A7" s="21" t="s">
        <v>144</v>
      </c>
      <c r="B7" s="22" t="s">
        <v>150</v>
      </c>
      <c r="C7" s="22" t="s">
        <v>151</v>
      </c>
      <c r="D7" s="22"/>
      <c r="E7" s="22" t="str">
        <f>IF(Table1[[#This Row],[Dim]]=0,"","dim="&amp;Table1[[#This Row],[Dim]])</f>
        <v/>
      </c>
      <c r="F7" s="22"/>
      <c r="G7" s="22">
        <v>1</v>
      </c>
      <c r="H7" s="25" t="str">
        <f>IF(Table1[[#This Row],[Cdim]]=NOT(Table1[[#This Row],[Cdim]]=0),"","cdim= "&amp;Table1[[#This Row],[Cdim]])</f>
        <v/>
      </c>
      <c r="I7" s="25" t="str">
        <f>IF(Table1[[#This Row],[Rdim]]=NOT(Table1[[#This Row],[Rdim]]=0),"","rdim= "&amp;Table1[[#This Row],[Rdim]])</f>
        <v>rdim= 1</v>
      </c>
      <c r="J7" s="22"/>
      <c r="K7" s="22"/>
      <c r="L7" s="25" t="str">
        <f>IF(Table1[[#This Row],[ignoreRows]]=NOT(Table1[[#This Row],[ignoreRows]]=0),"","ignoreRows= "&amp;Table1[[#This Row],[ignoreRows]])</f>
        <v/>
      </c>
      <c r="M7" s="25" t="str">
        <f>IF(Table1[[#This Row],[ignoreColumns]]=NOT(Table1[[#This Row],[ignoreColumns]]=0),"","ignoreColumns= "&amp;Table1[[#This Row],[ignoreColumns]])</f>
        <v/>
      </c>
      <c r="N7" s="43" t="str">
        <f>IF(Table1[[#This Row],[Data Type]]="set","Y","N")</f>
        <v>Y</v>
      </c>
      <c r="O7" s="43" t="str">
        <f>IF(Table1[[#This Row],[Values=No Data '[Y/N']]]="Y","values=NoData","")</f>
        <v>values=NoData</v>
      </c>
      <c r="P7" s="23" t="str">
        <f>Table1[[#This Row],[Data Type]]&amp;"="&amp;Table1[[#This Row],[Name]]&amp;"    rng="&amp;Table1[[#This Row],[Range]]&amp;"    "&amp;Table1[[#This Row],[Values gams input]]&amp;"    "&amp;Table1[[#This Row],[dim input gams]]&amp;"    "&amp;Table1[[#This Row],[cdim gams input]]&amp;"     "&amp;Table1[[#This Row],[rdim gams input]]&amp;"     "&amp;Table1[[#This Row],[ignore rows gams input]]&amp;"     "&amp;Table1[[#This Row],[ignore colums gams input]]</f>
        <v>set=PRC_tech    rng=PRC!A2:A7    values=NoData             rdim= 1          </v>
      </c>
    </row>
    <row r="8" x14ac:dyDescent="0.25">
      <c r="A8" s="21" t="s">
        <v>144</v>
      </c>
      <c r="B8" s="22" t="s">
        <v>152</v>
      </c>
      <c r="C8" s="22" t="s">
        <v>153</v>
      </c>
      <c r="D8" s="22"/>
      <c r="E8" s="22" t="str">
        <f>IF(Table1[[#This Row],[Dim]]=0,"","dim="&amp;Table1[[#This Row],[Dim]])</f>
        <v/>
      </c>
      <c r="F8" s="22"/>
      <c r="G8" s="22">
        <v>1</v>
      </c>
      <c r="H8" s="25" t="str">
        <f>IF(Table1[[#This Row],[Cdim]]=NOT(Table1[[#This Row],[Cdim]]=0),"","cdim= "&amp;Table1[[#This Row],[Cdim]])</f>
        <v/>
      </c>
      <c r="I8" s="25" t="str">
        <f>IF(Table1[[#This Row],[Rdim]]=NOT(Table1[[#This Row],[Rdim]]=0),"","rdim= "&amp;Table1[[#This Row],[Rdim]])</f>
        <v>rdim= 1</v>
      </c>
      <c r="J8" s="22"/>
      <c r="K8" s="22"/>
      <c r="L8" s="25" t="str">
        <f>IF(Table1[[#This Row],[ignoreRows]]=NOT(Table1[[#This Row],[ignoreRows]]=0),"","ignoreRows= "&amp;Table1[[#This Row],[ignoreRows]])</f>
        <v/>
      </c>
      <c r="M8" s="25" t="str">
        <f>IF(Table1[[#This Row],[ignoreColumns]]=NOT(Table1[[#This Row],[ignoreColumns]]=0),"","ignoreColumns= "&amp;Table1[[#This Row],[ignoreColumns]])</f>
        <v/>
      </c>
      <c r="N8" s="43" t="str">
        <f>IF(Table1[[#This Row],[Data Type]]="set","Y","N")</f>
        <v>Y</v>
      </c>
      <c r="O8" s="43" t="str">
        <f>IF(Table1[[#This Row],[Values=No Data '[Y/N']]]="Y","values=NoData","")</f>
        <v>values=NoData</v>
      </c>
      <c r="P8" s="23" t="str">
        <f>Table1[[#This Row],[Data Type]]&amp;"="&amp;Table1[[#This Row],[Name]]&amp;"    rng="&amp;Table1[[#This Row],[Range]]&amp;"    "&amp;Table1[[#This Row],[Values gams input]]&amp;"    "&amp;Table1[[#This Row],[dim input gams]]&amp;"    "&amp;Table1[[#This Row],[cdim gams input]]&amp;"     "&amp;Table1[[#This Row],[rdim gams input]]&amp;"     "&amp;Table1[[#This Row],[ignore rows gams input]]&amp;"     "&amp;Table1[[#This Row],[ignore colums gams input]]</f>
        <v>set=CNF_tech    rng=CNF!A2:A7    values=NoData             rdim= 1          </v>
      </c>
    </row>
    <row r="9" x14ac:dyDescent="0.25">
      <c r="A9" s="21" t="s">
        <v>144</v>
      </c>
      <c r="B9" s="22" t="s">
        <v>154</v>
      </c>
      <c r="C9" s="22" t="s">
        <v>155</v>
      </c>
      <c r="D9" s="22"/>
      <c r="E9" s="22" t="str">
        <f>IF(Table1[[#This Row],[Dim]]=0,"","dim="&amp;Table1[[#This Row],[Dim]])</f>
        <v/>
      </c>
      <c r="F9" s="22"/>
      <c r="G9" s="22">
        <v>1</v>
      </c>
      <c r="H9" s="25" t="str">
        <f>IF(Table1[[#This Row],[Cdim]]=NOT(Table1[[#This Row],[Cdim]]=0),"","cdim= "&amp;Table1[[#This Row],[Cdim]])</f>
        <v/>
      </c>
      <c r="I9" s="25" t="str">
        <f>IF(Table1[[#This Row],[Rdim]]=NOT(Table1[[#This Row],[Rdim]]=0),"","rdim= "&amp;Table1[[#This Row],[Rdim]])</f>
        <v>rdim= 1</v>
      </c>
      <c r="J9" s="22"/>
      <c r="K9" s="22"/>
      <c r="L9" s="25" t="str">
        <f>IF(Table1[[#This Row],[ignoreRows]]=NOT(Table1[[#This Row],[ignoreRows]]=0),"","ignoreRows= "&amp;Table1[[#This Row],[ignoreRows]])</f>
        <v/>
      </c>
      <c r="M9" s="25" t="str">
        <f>IF(Table1[[#This Row],[ignoreColumns]]=NOT(Table1[[#This Row],[ignoreColumns]]=0),"","ignoreColumns= "&amp;Table1[[#This Row],[ignoreColumns]])</f>
        <v/>
      </c>
      <c r="N9" s="43" t="str">
        <f>IF(Table1[[#This Row],[Data Type]]="set","Y","N")</f>
        <v>Y</v>
      </c>
      <c r="O9" s="43" t="str">
        <f>IF(Table1[[#This Row],[Values=No Data '[Y/N']]]="Y","values=NoData","")</f>
        <v>values=NoData</v>
      </c>
      <c r="P9" s="23" t="str">
        <f>Table1[[#This Row],[Data Type]]&amp;"="&amp;Table1[[#This Row],[Name]]&amp;"    rng="&amp;Table1[[#This Row],[Range]]&amp;"    "&amp;Table1[[#This Row],[Values gams input]]&amp;"    "&amp;Table1[[#This Row],[dim input gams]]&amp;"    "&amp;Table1[[#This Row],[cdim gams input]]&amp;"     "&amp;Table1[[#This Row],[rdim gams input]]&amp;"     "&amp;Table1[[#This Row],[ignore rows gams input]]&amp;"     "&amp;Table1[[#This Row],[ignore colums gams input]]</f>
        <v>set=DST_tech    rng=DST!A2:A7    values=NoData             rdim= 1          </v>
      </c>
    </row>
    <row r="10" x14ac:dyDescent="0.25">
      <c r="A10" s="21" t="s">
        <v>144</v>
      </c>
      <c r="B10" s="22" t="s">
        <v>156</v>
      </c>
      <c r="C10" s="22" t="s">
        <v>157</v>
      </c>
      <c r="D10" s="22"/>
      <c r="E10" s="22" t="str">
        <f>IF(Table1[[#This Row],[Dim]]=0,"","dim="&amp;Table1[[#This Row],[Dim]])</f>
        <v/>
      </c>
      <c r="F10" s="22"/>
      <c r="G10" s="22">
        <v>1</v>
      </c>
      <c r="H10" s="25" t="str">
        <f>IF(Table1[[#This Row],[Cdim]]=NOT(Table1[[#This Row],[Cdim]]=0),"","cdim= "&amp;Table1[[#This Row],[Cdim]])</f>
        <v/>
      </c>
      <c r="I10" s="25" t="str">
        <f>IF(Table1[[#This Row],[Rdim]]=NOT(Table1[[#This Row],[Rdim]]=0),"","rdim= "&amp;Table1[[#This Row],[Rdim]])</f>
        <v>rdim= 1</v>
      </c>
      <c r="J10" s="22"/>
      <c r="K10" s="22"/>
      <c r="L10" s="25" t="str">
        <f>IF(Table1[[#This Row],[ignoreRows]]=NOT(Table1[[#This Row],[ignoreRows]]=0),"","ignoreRows= "&amp;Table1[[#This Row],[ignoreRows]])</f>
        <v/>
      </c>
      <c r="M10" s="25" t="str">
        <f>IF(Table1[[#This Row],[ignoreColumns]]=NOT(Table1[[#This Row],[ignoreColumns]]=0),"","ignoreColumns= "&amp;Table1[[#This Row],[ignoreColumns]])</f>
        <v/>
      </c>
      <c r="N10" s="43" t="str">
        <f>IF(Table1[[#This Row],[Data Type]]="set","Y","N")</f>
        <v>Y</v>
      </c>
      <c r="O10" s="43" t="str">
        <f>IF(Table1[[#This Row],[Values=No Data '[Y/N']]]="Y","values=NoData","")</f>
        <v>values=NoData</v>
      </c>
      <c r="P10" s="23" t="str">
        <f>Table1[[#This Row],[Data Type]]&amp;"="&amp;Table1[[#This Row],[Name]]&amp;"    rng="&amp;Table1[[#This Row],[Range]]&amp;"    "&amp;Table1[[#This Row],[Values gams input]]&amp;"    "&amp;Table1[[#This Row],[dim input gams]]&amp;"    "&amp;Table1[[#This Row],[cdim gams input]]&amp;"     "&amp;Table1[[#This Row],[rdim gams input]]&amp;"     "&amp;Table1[[#This Row],[ignore rows gams input]]&amp;"     "&amp;Table1[[#This Row],[ignore colums gams input]]</f>
        <v>set=FLT_tech    rng=FLT!A2:A7    values=NoData             rdim= 1          </v>
      </c>
    </row>
    <row r="11" x14ac:dyDescent="0.25">
      <c r="A11" s="21" t="s">
        <v>144</v>
      </c>
      <c r="B11" s="22" t="s">
        <v>158</v>
      </c>
      <c r="C11" s="22" t="s">
        <v>159</v>
      </c>
      <c r="D11" s="22"/>
      <c r="E11" s="22" t="str">
        <f>IF(Table1[[#This Row],[Dim]]=0,"","dim="&amp;Table1[[#This Row],[Dim]])</f>
        <v/>
      </c>
      <c r="F11" s="22"/>
      <c r="G11" s="22">
        <v>1</v>
      </c>
      <c r="H11" s="25" t="str">
        <f>IF(Table1[[#This Row],[Cdim]]=NOT(Table1[[#This Row],[Cdim]]=0),"","cdim= "&amp;Table1[[#This Row],[Cdim]])</f>
        <v/>
      </c>
      <c r="I11" s="25" t="str">
        <f>IF(Table1[[#This Row],[Rdim]]=NOT(Table1[[#This Row],[Rdim]]=0),"","rdim= "&amp;Table1[[#This Row],[Rdim]])</f>
        <v>rdim= 1</v>
      </c>
      <c r="J11" s="22"/>
      <c r="K11" s="22"/>
      <c r="L11" s="25" t="str">
        <f>IF(Table1[[#This Row],[ignoreRows]]=NOT(Table1[[#This Row],[ignoreRows]]=0),"","ignoreRows= "&amp;Table1[[#This Row],[ignoreRows]])</f>
        <v/>
      </c>
      <c r="M11" s="25" t="str">
        <f>IF(Table1[[#This Row],[ignoreColumns]]=NOT(Table1[[#This Row],[ignoreColumns]]=0),"","ignoreColumns= "&amp;Table1[[#This Row],[ignoreColumns]])</f>
        <v/>
      </c>
      <c r="N11" s="43" t="str">
        <f>IF(Table1[[#This Row],[Data Type]]="set","Y","N")</f>
        <v>Y</v>
      </c>
      <c r="O11" s="43" t="str">
        <f>IF(Table1[[#This Row],[Values=No Data '[Y/N']]]="Y","values=NoData","")</f>
        <v>values=NoData</v>
      </c>
      <c r="P11" s="23" t="str">
        <f>Table1[[#This Row],[Data Type]]&amp;"="&amp;Table1[[#This Row],[Name]]&amp;"    rng="&amp;Table1[[#This Row],[Range]]&amp;"    "&amp;Table1[[#This Row],[Values gams input]]&amp;"    "&amp;Table1[[#This Row],[dim input gams]]&amp;"    "&amp;Table1[[#This Row],[cdim gams input]]&amp;"     "&amp;Table1[[#This Row],[rdim gams input]]&amp;"     "&amp;Table1[[#This Row],[ignore rows gams input]]&amp;"     "&amp;Table1[[#This Row],[ignore colums gams input]]</f>
        <v>set=PVP_tech    rng=PVP!A2:A7    values=NoData             rdim= 1          </v>
      </c>
    </row>
    <row r="12" x14ac:dyDescent="0.25">
      <c r="A12" s="21" t="s">
        <v>144</v>
      </c>
      <c r="B12" s="22" t="s">
        <v>160</v>
      </c>
      <c r="C12" s="22" t="s">
        <v>161</v>
      </c>
      <c r="D12" s="22"/>
      <c r="E12" s="22" t="str">
        <f>IF(Table1[[#This Row],[Dim]]=0,"","dim="&amp;Table1[[#This Row],[Dim]])</f>
        <v/>
      </c>
      <c r="F12" s="22"/>
      <c r="G12" s="22">
        <v>1</v>
      </c>
      <c r="H12" s="25" t="str">
        <f>IF(Table1[[#This Row],[Cdim]]=NOT(Table1[[#This Row],[Cdim]]=0),"","cdim= "&amp;Table1[[#This Row],[Cdim]])</f>
        <v/>
      </c>
      <c r="I12" s="25" t="str">
        <f>IF(Table1[[#This Row],[Rdim]]=NOT(Table1[[#This Row],[Rdim]]=0),"","rdim= "&amp;Table1[[#This Row],[Rdim]])</f>
        <v>rdim= 1</v>
      </c>
      <c r="J12" s="22"/>
      <c r="K12" s="22"/>
      <c r="L12" s="25" t="str">
        <f>IF(Table1[[#This Row],[ignoreRows]]=NOT(Table1[[#This Row],[ignoreRows]]=0),"","ignoreRows= "&amp;Table1[[#This Row],[ignoreRows]])</f>
        <v/>
      </c>
      <c r="M12" s="25" t="str">
        <f>IF(Table1[[#This Row],[ignoreColumns]]=NOT(Table1[[#This Row],[ignoreColumns]]=0),"","ignoreColumns= "&amp;Table1[[#This Row],[ignoreColumns]])</f>
        <v/>
      </c>
      <c r="N12" s="43" t="str">
        <f>IF(Table1[[#This Row],[Data Type]]="set","Y","N")</f>
        <v>Y</v>
      </c>
      <c r="O12" s="43" t="str">
        <f>IF(Table1[[#This Row],[Values=No Data '[Y/N']]]="Y","values=NoData","")</f>
        <v>values=NoData</v>
      </c>
      <c r="P12" s="23" t="str">
        <f>Table1[[#This Row],[Data Type]]&amp;"="&amp;Table1[[#This Row],[Name]]&amp;"    rng="&amp;Table1[[#This Row],[Range]]&amp;"    "&amp;Table1[[#This Row],[Values gams input]]&amp;"    "&amp;Table1[[#This Row],[dim input gams]]&amp;"    "&amp;Table1[[#This Row],[cdim gams input]]&amp;"     "&amp;Table1[[#This Row],[rdim gams input]]&amp;"     "&amp;Table1[[#This Row],[ignore rows gams input]]&amp;"     "&amp;Table1[[#This Row],[ignore colums gams input]]</f>
        <v>set=MF_tech    rng=MF!A2:A7    values=NoData             rdim= 1          </v>
      </c>
    </row>
    <row r="13" x14ac:dyDescent="0.25">
      <c r="A13" s="21" t="s">
        <v>144</v>
      </c>
      <c r="B13" s="22" t="s">
        <v>162</v>
      </c>
      <c r="C13" s="22" t="s">
        <v>163</v>
      </c>
      <c r="D13" s="22"/>
      <c r="E13" s="22" t="str">
        <f>IF(Table1[[#This Row],[Dim]]=0,"","dim="&amp;Table1[[#This Row],[Dim]])</f>
        <v/>
      </c>
      <c r="F13" s="22"/>
      <c r="G13" s="22">
        <v>1</v>
      </c>
      <c r="H13" s="25" t="str">
        <f>IF(Table1[[#This Row],[Cdim]]=NOT(Table1[[#This Row],[Cdim]]=0),"","cdim= "&amp;Table1[[#This Row],[Cdim]])</f>
        <v/>
      </c>
      <c r="I13" s="25" t="str">
        <f>IF(Table1[[#This Row],[Rdim]]=NOT(Table1[[#This Row],[Rdim]]=0),"","rdim= "&amp;Table1[[#This Row],[Rdim]])</f>
        <v>rdim= 1</v>
      </c>
      <c r="J13" s="22"/>
      <c r="K13" s="22"/>
      <c r="L13" s="25" t="str">
        <f>IF(Table1[[#This Row],[ignoreRows]]=NOT(Table1[[#This Row],[ignoreRows]]=0),"","ignoreRows= "&amp;Table1[[#This Row],[ignoreRows]])</f>
        <v/>
      </c>
      <c r="M13" s="25" t="str">
        <f>IF(Table1[[#This Row],[ignoreColumns]]=NOT(Table1[[#This Row],[ignoreColumns]]=0),"","ignoreColumns= "&amp;Table1[[#This Row],[ignoreColumns]])</f>
        <v/>
      </c>
      <c r="N13" s="43" t="str">
        <f>IF(Table1[[#This Row],[Data Type]]="set","Y","N")</f>
        <v>Y</v>
      </c>
      <c r="O13" s="43" t="str">
        <f>IF(Table1[[#This Row],[Values=No Data '[Y/N']]]="Y","values=NoData","")</f>
        <v>values=NoData</v>
      </c>
      <c r="P13" s="23" t="str">
        <f>Table1[[#This Row],[Data Type]]&amp;"="&amp;Table1[[#This Row],[Name]]&amp;"    rng="&amp;Table1[[#This Row],[Range]]&amp;"    "&amp;Table1[[#This Row],[Values gams input]]&amp;"    "&amp;Table1[[#This Row],[dim input gams]]&amp;"    "&amp;Table1[[#This Row],[cdim gams input]]&amp;"     "&amp;Table1[[#This Row],[rdim gams input]]&amp;"     "&amp;Table1[[#This Row],[ignore rows gams input]]&amp;"     "&amp;Table1[[#This Row],[ignore colums gams input]]</f>
        <v>set=UF_tech    rng=UF!A2:A7    values=NoData             rdim= 1          </v>
      </c>
    </row>
    <row r="14" x14ac:dyDescent="0.25">
      <c r="A14" s="21" t="s">
        <v>144</v>
      </c>
      <c r="B14" s="22" t="s">
        <v>164</v>
      </c>
      <c r="C14" s="22" t="s">
        <v>165</v>
      </c>
      <c r="D14" s="22"/>
      <c r="E14" s="22" t="str">
        <f>IF(Table1[[#This Row],[Dim]]=0,"","dim="&amp;Table1[[#This Row],[Dim]])</f>
        <v/>
      </c>
      <c r="F14" s="22"/>
      <c r="G14" s="22">
        <v>1</v>
      </c>
      <c r="H14" s="25" t="str">
        <f>IF(Table1[[#This Row],[Cdim]]=NOT(Table1[[#This Row],[Cdim]]=0),"","cdim= "&amp;Table1[[#This Row],[Cdim]])</f>
        <v/>
      </c>
      <c r="I14" s="25" t="str">
        <f>IF(Table1[[#This Row],[Rdim]]=NOT(Table1[[#This Row],[Rdim]]=0),"","rdim= "&amp;Table1[[#This Row],[Rdim]])</f>
        <v>rdim= 1</v>
      </c>
      <c r="J14" s="22"/>
      <c r="K14" s="22"/>
      <c r="L14" s="25" t="str">
        <f>IF(Table1[[#This Row],[ignoreRows]]=NOT(Table1[[#This Row],[ignoreRows]]=0),"","ignoreRows= "&amp;Table1[[#This Row],[ignoreRows]])</f>
        <v/>
      </c>
      <c r="M14" s="25" t="str">
        <f>IF(Table1[[#This Row],[ignoreColumns]]=NOT(Table1[[#This Row],[ignoreColumns]]=0),"","ignoreColumns= "&amp;Table1[[#This Row],[ignoreColumns]])</f>
        <v/>
      </c>
      <c r="N14" s="43" t="str">
        <f>IF(Table1[[#This Row],[Data Type]]="set","Y","N")</f>
        <v>Y</v>
      </c>
      <c r="O14" s="43" t="str">
        <f>IF(Table1[[#This Row],[Values=No Data '[Y/N']]]="Y","values=NoData","")</f>
        <v>values=NoData</v>
      </c>
      <c r="P14" s="23" t="str">
        <f>Table1[[#This Row],[Data Type]]&amp;"="&amp;Table1[[#This Row],[Name]]&amp;"    rng="&amp;Table1[[#This Row],[Range]]&amp;"    "&amp;Table1[[#This Row],[Values gams input]]&amp;"    "&amp;Table1[[#This Row],[dim input gams]]&amp;"    "&amp;Table1[[#This Row],[cdim gams input]]&amp;"     "&amp;Table1[[#This Row],[rdim gams input]]&amp;"     "&amp;Table1[[#This Row],[ignore rows gams input]]&amp;"     "&amp;Table1[[#This Row],[ignore colums gams input]]</f>
        <v>set=NF_tech    rng=NF!A2:A7    values=NoData             rdim= 1          </v>
      </c>
    </row>
    <row r="15" x14ac:dyDescent="0.25">
      <c r="A15" s="21" t="s">
        <v>144</v>
      </c>
      <c r="B15" s="22" t="s">
        <v>166</v>
      </c>
      <c r="C15" s="22" t="s">
        <v>167</v>
      </c>
      <c r="D15" s="22"/>
      <c r="E15" s="22" t="str">
        <f>IF(Table1[[#This Row],[Dim]]=0,"","dim="&amp;Table1[[#This Row],[Dim]])</f>
        <v/>
      </c>
      <c r="F15" s="22">
        <v>1</v>
      </c>
      <c r="G15" s="22"/>
      <c r="H15" s="25" t="str">
        <f>IF(Table1[[#This Row],[Cdim]]=NOT(Table1[[#This Row],[Cdim]]=0),"","cdim= "&amp;Table1[[#This Row],[Cdim]])</f>
        <v>cdim= 1</v>
      </c>
      <c r="I15" s="25" t="str">
        <f>IF(Table1[[#This Row],[Rdim]]=NOT(Table1[[#This Row],[Rdim]]=0),"","rdim= "&amp;Table1[[#This Row],[Rdim]])</f>
        <v/>
      </c>
      <c r="J15" s="22"/>
      <c r="K15" s="22"/>
      <c r="L15" s="25" t="str">
        <f>IF(Table1[[#This Row],[ignoreRows]]=NOT(Table1[[#This Row],[ignoreRows]]=0),"","ignoreRows= "&amp;Table1[[#This Row],[ignoreRows]])</f>
        <v/>
      </c>
      <c r="M15" s="25" t="str">
        <f>IF(Table1[[#This Row],[ignoreColumns]]=NOT(Table1[[#This Row],[ignoreColumns]]=0),"","ignoreColumns= "&amp;Table1[[#This Row],[ignoreColumns]])</f>
        <v/>
      </c>
      <c r="N15" s="43" t="str">
        <f>IF(Table1[[#This Row],[Data Type]]="set","Y","N")</f>
        <v>Y</v>
      </c>
      <c r="O15" s="43" t="str">
        <f>IF(Table1[[#This Row],[Values=No Data '[Y/N']]]="Y","values=NoData","")</f>
        <v>values=NoData</v>
      </c>
      <c r="P15" s="23" t="str">
        <f>Table1[[#This Row],[Data Type]]&amp;"="&amp;Table1[[#This Row],[Name]]&amp;"    rng="&amp;Table1[[#This Row],[Range]]&amp;"    "&amp;Table1[[#This Row],[Values gams input]]&amp;"    "&amp;Table1[[#This Row],[dim input gams]]&amp;"    "&amp;Table1[[#This Row],[cdim gams input]]&amp;"     "&amp;Table1[[#This Row],[rdim gams input]]&amp;"     "&amp;Table1[[#This Row],[ignore rows gams input]]&amp;"     "&amp;Table1[[#This Row],[ignore colums gams input]]</f>
        <v>set=ADS_prop    rng=ADS!B1:Z1    values=NoData        cdim= 1               </v>
      </c>
    </row>
    <row r="16" x14ac:dyDescent="0.25">
      <c r="A16" s="21" t="s">
        <v>144</v>
      </c>
      <c r="B16" s="22" t="s">
        <v>168</v>
      </c>
      <c r="C16" s="22" t="s">
        <v>169</v>
      </c>
      <c r="D16" s="22"/>
      <c r="E16" s="22" t="str">
        <f>IF(Table1[[#This Row],[Dim]]=0,"","dim="&amp;Table1[[#This Row],[Dim]])</f>
        <v/>
      </c>
      <c r="F16" s="22">
        <v>1</v>
      </c>
      <c r="G16" s="22"/>
      <c r="H16" s="25" t="str">
        <f>IF(Table1[[#This Row],[Cdim]]=NOT(Table1[[#This Row],[Cdim]]=0),"","cdim= "&amp;Table1[[#This Row],[Cdim]])</f>
        <v>cdim= 1</v>
      </c>
      <c r="I16" s="25" t="str">
        <f>IF(Table1[[#This Row],[Rdim]]=NOT(Table1[[#This Row],[Rdim]]=0),"","rdim= "&amp;Table1[[#This Row],[Rdim]])</f>
        <v/>
      </c>
      <c r="J16" s="22"/>
      <c r="K16" s="22"/>
      <c r="L16" s="25" t="str">
        <f>IF(Table1[[#This Row],[ignoreRows]]=NOT(Table1[[#This Row],[ignoreRows]]=0),"","ignoreRows= "&amp;Table1[[#This Row],[ignoreRows]])</f>
        <v/>
      </c>
      <c r="M16" s="25" t="str">
        <f>IF(Table1[[#This Row],[ignoreColumns]]=NOT(Table1[[#This Row],[ignoreColumns]]=0),"","ignoreColumns= "&amp;Table1[[#This Row],[ignoreColumns]])</f>
        <v/>
      </c>
      <c r="N16" s="43" t="str">
        <f>IF(Table1[[#This Row],[Data Type]]="set","Y","N")</f>
        <v>Y</v>
      </c>
      <c r="O16" s="43" t="str">
        <f>IF(Table1[[#This Row],[Values=No Data '[Y/N']]]="Y","values=NoData","")</f>
        <v>values=NoData</v>
      </c>
      <c r="P16" s="23" t="str">
        <f>Table1[[#This Row],[Data Type]]&amp;"="&amp;Table1[[#This Row],[Name]]&amp;"    rng="&amp;Table1[[#This Row],[Range]]&amp;"    "&amp;Table1[[#This Row],[Values gams input]]&amp;"    "&amp;Table1[[#This Row],[dim input gams]]&amp;"    "&amp;Table1[[#This Row],[cdim gams input]]&amp;"     "&amp;Table1[[#This Row],[rdim gams input]]&amp;"     "&amp;Table1[[#This Row],[ignore rows gams input]]&amp;"     "&amp;Table1[[#This Row],[ignore colums gams input]]</f>
        <v>set=SDM_prop    rng=SDM!B1:Z1    values=NoData        cdim= 1               </v>
      </c>
    </row>
    <row r="17" x14ac:dyDescent="0.25">
      <c r="A17" s="21" t="s">
        <v>144</v>
      </c>
      <c r="B17" s="22" t="s">
        <v>170</v>
      </c>
      <c r="C17" s="22" t="s">
        <v>171</v>
      </c>
      <c r="D17" s="22"/>
      <c r="E17" s="22" t="str">
        <f>IF(Table1[[#This Row],[Dim]]=0,"","dim="&amp;Table1[[#This Row],[Dim]])</f>
        <v/>
      </c>
      <c r="F17" s="22">
        <v>1</v>
      </c>
      <c r="G17" s="22"/>
      <c r="H17" s="25" t="str">
        <f>IF(Table1[[#This Row],[Cdim]]=NOT(Table1[[#This Row],[Cdim]]=0),"","cdim= "&amp;Table1[[#This Row],[Cdim]])</f>
        <v>cdim= 1</v>
      </c>
      <c r="I17" s="25" t="str">
        <f>IF(Table1[[#This Row],[Rdim]]=NOT(Table1[[#This Row],[Rdim]]=0),"","rdim= "&amp;Table1[[#This Row],[Rdim]])</f>
        <v/>
      </c>
      <c r="J17" s="22"/>
      <c r="K17" s="22"/>
      <c r="L17" s="25" t="str">
        <f>IF(Table1[[#This Row],[ignoreRows]]=NOT(Table1[[#This Row],[ignoreRows]]=0),"","ignoreRows= "&amp;Table1[[#This Row],[ignoreRows]])</f>
        <v/>
      </c>
      <c r="M17" s="25" t="str">
        <f>IF(Table1[[#This Row],[ignoreColumns]]=NOT(Table1[[#This Row],[ignoreColumns]]=0),"","ignoreColumns= "&amp;Table1[[#This Row],[ignoreColumns]])</f>
        <v/>
      </c>
      <c r="N17" s="43" t="str">
        <f>IF(Table1[[#This Row],[Data Type]]="set","Y","N")</f>
        <v>Y</v>
      </c>
      <c r="O17" s="43" t="str">
        <f>IF(Table1[[#This Row],[Values=No Data '[Y/N']]]="Y","values=NoData","")</f>
        <v>values=NoData</v>
      </c>
      <c r="P17" s="23" t="str">
        <f>Table1[[#This Row],[Data Type]]&amp;"="&amp;Table1[[#This Row],[Name]]&amp;"    rng="&amp;Table1[[#This Row],[Range]]&amp;"    "&amp;Table1[[#This Row],[Values gams input]]&amp;"    "&amp;Table1[[#This Row],[dim input gams]]&amp;"    "&amp;Table1[[#This Row],[cdim gams input]]&amp;"     "&amp;Table1[[#This Row],[rdim gams input]]&amp;"     "&amp;Table1[[#This Row],[ignore rows gams input]]&amp;"     "&amp;Table1[[#This Row],[ignore colums gams input]]</f>
        <v>set=PRC_prop    rng=PRC!B1:Z1    values=NoData        cdim= 1               </v>
      </c>
    </row>
    <row r="18" x14ac:dyDescent="0.25">
      <c r="A18" s="21" t="s">
        <v>144</v>
      </c>
      <c r="B18" s="22" t="s">
        <v>172</v>
      </c>
      <c r="C18" s="22" t="s">
        <v>173</v>
      </c>
      <c r="D18" s="22"/>
      <c r="E18" s="22" t="str">
        <f>IF(Table1[[#This Row],[Dim]]=0,"","dim="&amp;Table1[[#This Row],[Dim]])</f>
        <v/>
      </c>
      <c r="F18" s="22">
        <v>1</v>
      </c>
      <c r="G18" s="22"/>
      <c r="H18" s="25" t="str">
        <f>IF(Table1[[#This Row],[Cdim]]=NOT(Table1[[#This Row],[Cdim]]=0),"","cdim= "&amp;Table1[[#This Row],[Cdim]])</f>
        <v>cdim= 1</v>
      </c>
      <c r="I18" s="25" t="str">
        <f>IF(Table1[[#This Row],[Rdim]]=NOT(Table1[[#This Row],[Rdim]]=0),"","rdim= "&amp;Table1[[#This Row],[Rdim]])</f>
        <v/>
      </c>
      <c r="J18" s="22"/>
      <c r="K18" s="22"/>
      <c r="L18" s="25" t="str">
        <f>IF(Table1[[#This Row],[ignoreRows]]=NOT(Table1[[#This Row],[ignoreRows]]=0),"","ignoreRows= "&amp;Table1[[#This Row],[ignoreRows]])</f>
        <v/>
      </c>
      <c r="M18" s="25" t="str">
        <f>IF(Table1[[#This Row],[ignoreColumns]]=NOT(Table1[[#This Row],[ignoreColumns]]=0),"","ignoreColumns= "&amp;Table1[[#This Row],[ignoreColumns]])</f>
        <v/>
      </c>
      <c r="N18" s="43" t="str">
        <f>IF(Table1[[#This Row],[Data Type]]="set","Y","N")</f>
        <v>Y</v>
      </c>
      <c r="O18" s="43" t="str">
        <f>IF(Table1[[#This Row],[Values=No Data '[Y/N']]]="Y","values=NoData","")</f>
        <v>values=NoData</v>
      </c>
      <c r="P18" s="23" t="str">
        <f>Table1[[#This Row],[Data Type]]&amp;"="&amp;Table1[[#This Row],[Name]]&amp;"    rng="&amp;Table1[[#This Row],[Range]]&amp;"    "&amp;Table1[[#This Row],[Values gams input]]&amp;"    "&amp;Table1[[#This Row],[dim input gams]]&amp;"    "&amp;Table1[[#This Row],[cdim gams input]]&amp;"     "&amp;Table1[[#This Row],[rdim gams input]]&amp;"     "&amp;Table1[[#This Row],[ignore rows gams input]]&amp;"     "&amp;Table1[[#This Row],[ignore colums gams input]]</f>
        <v>set=CNF_prop    rng=CNF!B1:Z1    values=NoData        cdim= 1               </v>
      </c>
      <c r="R18" s="34"/>
    </row>
    <row r="19" x14ac:dyDescent="0.25">
      <c r="A19" s="21" t="s">
        <v>144</v>
      </c>
      <c r="B19" s="22" t="s">
        <v>174</v>
      </c>
      <c r="C19" s="22" t="s">
        <v>175</v>
      </c>
      <c r="D19" s="22"/>
      <c r="E19" s="22" t="str">
        <f>IF(Table1[[#This Row],[Dim]]=0,"","dim="&amp;Table1[[#This Row],[Dim]])</f>
        <v/>
      </c>
      <c r="F19" s="22">
        <v>1</v>
      </c>
      <c r="G19" s="22"/>
      <c r="H19" s="25" t="str">
        <f>IF(Table1[[#This Row],[Cdim]]=NOT(Table1[[#This Row],[Cdim]]=0),"","cdim= "&amp;Table1[[#This Row],[Cdim]])</f>
        <v>cdim= 1</v>
      </c>
      <c r="I19" s="25" t="str">
        <f>IF(Table1[[#This Row],[Rdim]]=NOT(Table1[[#This Row],[Rdim]]=0),"","rdim= "&amp;Table1[[#This Row],[Rdim]])</f>
        <v/>
      </c>
      <c r="J19" s="22"/>
      <c r="K19" s="22"/>
      <c r="L19" s="25" t="str">
        <f>IF(Table1[[#This Row],[ignoreRows]]=NOT(Table1[[#This Row],[ignoreRows]]=0),"","ignoreRows= "&amp;Table1[[#This Row],[ignoreRows]])</f>
        <v/>
      </c>
      <c r="M19" s="25" t="str">
        <f>IF(Table1[[#This Row],[ignoreColumns]]=NOT(Table1[[#This Row],[ignoreColumns]]=0),"","ignoreColumns= "&amp;Table1[[#This Row],[ignoreColumns]])</f>
        <v/>
      </c>
      <c r="N19" s="43" t="str">
        <f>IF(Table1[[#This Row],[Data Type]]="set","Y","N")</f>
        <v>Y</v>
      </c>
      <c r="O19" s="43" t="str">
        <f>IF(Table1[[#This Row],[Values=No Data '[Y/N']]]="Y","values=NoData","")</f>
        <v>values=NoData</v>
      </c>
      <c r="P19" s="23" t="str">
        <f>Table1[[#This Row],[Data Type]]&amp;"="&amp;Table1[[#This Row],[Name]]&amp;"    rng="&amp;Table1[[#This Row],[Range]]&amp;"    "&amp;Table1[[#This Row],[Values gams input]]&amp;"    "&amp;Table1[[#This Row],[dim input gams]]&amp;"    "&amp;Table1[[#This Row],[cdim gams input]]&amp;"     "&amp;Table1[[#This Row],[rdim gams input]]&amp;"     "&amp;Table1[[#This Row],[ignore rows gams input]]&amp;"     "&amp;Table1[[#This Row],[ignore colums gams input]]</f>
        <v>set=DST_prop    rng=DST!B1:Z1    values=NoData        cdim= 1               </v>
      </c>
    </row>
    <row r="20" x14ac:dyDescent="0.25">
      <c r="A20" s="21" t="s">
        <v>144</v>
      </c>
      <c r="B20" s="22" t="s">
        <v>176</v>
      </c>
      <c r="C20" s="22" t="s">
        <v>177</v>
      </c>
      <c r="D20" s="22"/>
      <c r="E20" s="22" t="str">
        <f>IF(Table1[[#This Row],[Dim]]=0,"","dim="&amp;Table1[[#This Row],[Dim]])</f>
        <v/>
      </c>
      <c r="F20" s="22">
        <v>1</v>
      </c>
      <c r="G20" s="22"/>
      <c r="H20" s="25" t="str">
        <f>IF(Table1[[#This Row],[Cdim]]=NOT(Table1[[#This Row],[Cdim]]=0),"","cdim= "&amp;Table1[[#This Row],[Cdim]])</f>
        <v>cdim= 1</v>
      </c>
      <c r="I20" s="25" t="str">
        <f>IF(Table1[[#This Row],[Rdim]]=NOT(Table1[[#This Row],[Rdim]]=0),"","rdim= "&amp;Table1[[#This Row],[Rdim]])</f>
        <v/>
      </c>
      <c r="J20" s="22"/>
      <c r="K20" s="22"/>
      <c r="L20" s="25" t="str">
        <f>IF(Table1[[#This Row],[ignoreRows]]=NOT(Table1[[#This Row],[ignoreRows]]=0),"","ignoreRows= "&amp;Table1[[#This Row],[ignoreRows]])</f>
        <v/>
      </c>
      <c r="M20" s="25" t="str">
        <f>IF(Table1[[#This Row],[ignoreColumns]]=NOT(Table1[[#This Row],[ignoreColumns]]=0),"","ignoreColumns= "&amp;Table1[[#This Row],[ignoreColumns]])</f>
        <v/>
      </c>
      <c r="N20" s="43" t="str">
        <f>IF(Table1[[#This Row],[Data Type]]="set","Y","N")</f>
        <v>Y</v>
      </c>
      <c r="O20" s="43" t="str">
        <f>IF(Table1[[#This Row],[Values=No Data '[Y/N']]]="Y","values=NoData","")</f>
        <v>values=NoData</v>
      </c>
      <c r="P20" s="23" t="str">
        <f>Table1[[#This Row],[Data Type]]&amp;"="&amp;Table1[[#This Row],[Name]]&amp;"    rng="&amp;Table1[[#This Row],[Range]]&amp;"    "&amp;Table1[[#This Row],[Values gams input]]&amp;"    "&amp;Table1[[#This Row],[dim input gams]]&amp;"    "&amp;Table1[[#This Row],[cdim gams input]]&amp;"     "&amp;Table1[[#This Row],[rdim gams input]]&amp;"     "&amp;Table1[[#This Row],[ignore rows gams input]]&amp;"     "&amp;Table1[[#This Row],[ignore colums gams input]]</f>
        <v>set=FLT_prop    rng=FLT!B1:Z1    values=NoData        cdim= 1               </v>
      </c>
    </row>
    <row r="21" x14ac:dyDescent="0.25">
      <c r="A21" s="21" t="s">
        <v>144</v>
      </c>
      <c r="B21" s="22" t="s">
        <v>178</v>
      </c>
      <c r="C21" s="22" t="s">
        <v>179</v>
      </c>
      <c r="D21" s="22"/>
      <c r="E21" s="22" t="str">
        <f>IF(Table1[[#This Row],[Dim]]=0,"","dim="&amp;Table1[[#This Row],[Dim]])</f>
        <v/>
      </c>
      <c r="F21" s="22">
        <v>1</v>
      </c>
      <c r="G21" s="22"/>
      <c r="H21" s="25" t="str">
        <f>IF(Table1[[#This Row],[Cdim]]=NOT(Table1[[#This Row],[Cdim]]=0),"","cdim= "&amp;Table1[[#This Row],[Cdim]])</f>
        <v>cdim= 1</v>
      </c>
      <c r="I21" s="25" t="str">
        <f>IF(Table1[[#This Row],[Rdim]]=NOT(Table1[[#This Row],[Rdim]]=0),"","rdim= "&amp;Table1[[#This Row],[Rdim]])</f>
        <v/>
      </c>
      <c r="J21" s="22"/>
      <c r="K21" s="22"/>
      <c r="L21" s="25" t="str">
        <f>IF(Table1[[#This Row],[ignoreRows]]=NOT(Table1[[#This Row],[ignoreRows]]=0),"","ignoreRows= "&amp;Table1[[#This Row],[ignoreRows]])</f>
        <v/>
      </c>
      <c r="M21" s="25" t="str">
        <f>IF(Table1[[#This Row],[ignoreColumns]]=NOT(Table1[[#This Row],[ignoreColumns]]=0),"","ignoreColumns= "&amp;Table1[[#This Row],[ignoreColumns]])</f>
        <v/>
      </c>
      <c r="N21" s="43" t="str">
        <f>IF(Table1[[#This Row],[Data Type]]="set","Y","N")</f>
        <v>Y</v>
      </c>
      <c r="O21" s="43" t="str">
        <f>IF(Table1[[#This Row],[Values=No Data '[Y/N']]]="Y","values=NoData","")</f>
        <v>values=NoData</v>
      </c>
      <c r="P21" s="23" t="str">
        <f>Table1[[#This Row],[Data Type]]&amp;"="&amp;Table1[[#This Row],[Name]]&amp;"    rng="&amp;Table1[[#This Row],[Range]]&amp;"    "&amp;Table1[[#This Row],[Values gams input]]&amp;"    "&amp;Table1[[#This Row],[dim input gams]]&amp;"    "&amp;Table1[[#This Row],[cdim gams input]]&amp;"     "&amp;Table1[[#This Row],[rdim gams input]]&amp;"     "&amp;Table1[[#This Row],[ignore rows gams input]]&amp;"     "&amp;Table1[[#This Row],[ignore colums gams input]]</f>
        <v>set=PVP_prop    rng=PVP!B1:Z1    values=NoData        cdim= 1               </v>
      </c>
    </row>
    <row r="22" x14ac:dyDescent="0.25">
      <c r="A22" s="21" t="s">
        <v>144</v>
      </c>
      <c r="B22" s="22" t="s">
        <v>180</v>
      </c>
      <c r="C22" s="22" t="s">
        <v>181</v>
      </c>
      <c r="D22" s="22"/>
      <c r="E22" s="22" t="str">
        <f>IF(Table1[[#This Row],[Dim]]=0,"","dim="&amp;Table1[[#This Row],[Dim]])</f>
        <v/>
      </c>
      <c r="F22" s="22">
        <v>1</v>
      </c>
      <c r="G22" s="22"/>
      <c r="H22" s="25" t="str">
        <f>IF(Table1[[#This Row],[Cdim]]=NOT(Table1[[#This Row],[Cdim]]=0),"","cdim= "&amp;Table1[[#This Row],[Cdim]])</f>
        <v>cdim= 1</v>
      </c>
      <c r="I22" s="25" t="str">
        <f>IF(Table1[[#This Row],[Rdim]]=NOT(Table1[[#This Row],[Rdim]]=0),"","rdim= "&amp;Table1[[#This Row],[Rdim]])</f>
        <v/>
      </c>
      <c r="J22" s="22"/>
      <c r="K22" s="22"/>
      <c r="L22" s="25" t="str">
        <f>IF(Table1[[#This Row],[ignoreRows]]=NOT(Table1[[#This Row],[ignoreRows]]=0),"","ignoreRows= "&amp;Table1[[#This Row],[ignoreRows]])</f>
        <v/>
      </c>
      <c r="M22" s="25" t="str">
        <f>IF(Table1[[#This Row],[ignoreColumns]]=NOT(Table1[[#This Row],[ignoreColumns]]=0),"","ignoreColumns= "&amp;Table1[[#This Row],[ignoreColumns]])</f>
        <v/>
      </c>
      <c r="N22" s="43" t="str">
        <f>IF(Table1[[#This Row],[Data Type]]="set","Y","N")</f>
        <v>Y</v>
      </c>
      <c r="O22" s="43" t="str">
        <f>IF(Table1[[#This Row],[Values=No Data '[Y/N']]]="Y","values=NoData","")</f>
        <v>values=NoData</v>
      </c>
      <c r="P22" s="23" t="str">
        <f>Table1[[#This Row],[Data Type]]&amp;"="&amp;Table1[[#This Row],[Name]]&amp;"    rng="&amp;Table1[[#This Row],[Range]]&amp;"    "&amp;Table1[[#This Row],[Values gams input]]&amp;"    "&amp;Table1[[#This Row],[dim input gams]]&amp;"    "&amp;Table1[[#This Row],[cdim gams input]]&amp;"     "&amp;Table1[[#This Row],[rdim gams input]]&amp;"     "&amp;Table1[[#This Row],[ignore rows gams input]]&amp;"     "&amp;Table1[[#This Row],[ignore colums gams input]]</f>
        <v>set=MF_prop    rng=MF!B1:Z1    values=NoData        cdim= 1               </v>
      </c>
    </row>
    <row r="23" x14ac:dyDescent="0.25">
      <c r="A23" s="21" t="s">
        <v>144</v>
      </c>
      <c r="B23" s="22" t="s">
        <v>182</v>
      </c>
      <c r="C23" s="22" t="s">
        <v>570</v>
      </c>
      <c r="D23" s="22"/>
      <c r="E23" s="22" t="str">
        <f>IF(Table1[[#This Row],[Dim]]=0,"","dim="&amp;Table1[[#This Row],[Dim]])</f>
        <v/>
      </c>
      <c r="F23" s="22">
        <v>1</v>
      </c>
      <c r="G23" s="22"/>
      <c r="H23" s="25" t="str">
        <f>IF(Table1[[#This Row],[Cdim]]=NOT(Table1[[#This Row],[Cdim]]=0),"","cdim= "&amp;Table1[[#This Row],[Cdim]])</f>
        <v>cdim= 1</v>
      </c>
      <c r="I23" s="25" t="str">
        <f>IF(Table1[[#This Row],[Rdim]]=NOT(Table1[[#This Row],[Rdim]]=0),"","rdim= "&amp;Table1[[#This Row],[Rdim]])</f>
        <v/>
      </c>
      <c r="J23" s="22"/>
      <c r="K23" s="22"/>
      <c r="L23" s="25" t="str">
        <f>IF(Table1[[#This Row],[ignoreRows]]=NOT(Table1[[#This Row],[ignoreRows]]=0),"","ignoreRows= "&amp;Table1[[#This Row],[ignoreRows]])</f>
        <v/>
      </c>
      <c r="M23" s="25" t="str">
        <f>IF(Table1[[#This Row],[ignoreColumns]]=NOT(Table1[[#This Row],[ignoreColumns]]=0),"","ignoreColumns= "&amp;Table1[[#This Row],[ignoreColumns]])</f>
        <v/>
      </c>
      <c r="N23" s="43" t="str">
        <f>IF(Table1[[#This Row],[Data Type]]="set","Y","N")</f>
        <v>Y</v>
      </c>
      <c r="O23" s="43" t="str">
        <f>IF(Table1[[#This Row],[Values=No Data '[Y/N']]]="Y","values=NoData","")</f>
        <v>values=NoData</v>
      </c>
      <c r="P23" s="23" t="str">
        <f>Table1[[#This Row],[Data Type]]&amp;"="&amp;Table1[[#This Row],[Name]]&amp;"    rng="&amp;Table1[[#This Row],[Range]]&amp;"    "&amp;Table1[[#This Row],[Values gams input]]&amp;"    "&amp;Table1[[#This Row],[dim input gams]]&amp;"    "&amp;Table1[[#This Row],[cdim gams input]]&amp;"     "&amp;Table1[[#This Row],[rdim gams input]]&amp;"     "&amp;Table1[[#This Row],[ignore rows gams input]]&amp;"     "&amp;Table1[[#This Row],[ignore colums gams input]]</f>
        <v>set=UF_prop    rng=UF!B1:Z1    values=NoData        cdim= 1               </v>
      </c>
    </row>
    <row r="24" x14ac:dyDescent="0.25">
      <c r="A24" s="21" t="s">
        <v>144</v>
      </c>
      <c r="B24" s="22" t="s">
        <v>184</v>
      </c>
      <c r="C24" s="22" t="s">
        <v>183</v>
      </c>
      <c r="D24" s="22"/>
      <c r="E24" s="22" t="str">
        <f>IF(Table1[[#This Row],[Dim]]=0,"","dim="&amp;Table1[[#This Row],[Dim]])</f>
        <v/>
      </c>
      <c r="F24" s="22">
        <v>1</v>
      </c>
      <c r="G24" s="22"/>
      <c r="H24" s="25" t="str">
        <f>IF(Table1[[#This Row],[Cdim]]=NOT(Table1[[#This Row],[Cdim]]=0),"","cdim= "&amp;Table1[[#This Row],[Cdim]])</f>
        <v>cdim= 1</v>
      </c>
      <c r="I24" s="25" t="str">
        <f>IF(Table1[[#This Row],[Rdim]]=NOT(Table1[[#This Row],[Rdim]]=0),"","rdim= "&amp;Table1[[#This Row],[Rdim]])</f>
        <v/>
      </c>
      <c r="J24" s="22"/>
      <c r="K24" s="22"/>
      <c r="L24" s="25" t="str">
        <f>IF(Table1[[#This Row],[ignoreRows]]=NOT(Table1[[#This Row],[ignoreRows]]=0),"","ignoreRows= "&amp;Table1[[#This Row],[ignoreRows]])</f>
        <v/>
      </c>
      <c r="M24" s="25" t="str">
        <f>IF(Table1[[#This Row],[ignoreColumns]]=NOT(Table1[[#This Row],[ignoreColumns]]=0),"","ignoreColumns= "&amp;Table1[[#This Row],[ignoreColumns]])</f>
        <v/>
      </c>
      <c r="N24" s="43" t="str">
        <f>IF(Table1[[#This Row],[Data Type]]="set","Y","N")</f>
        <v>Y</v>
      </c>
      <c r="O24" s="43" t="str">
        <f>IF(Table1[[#This Row],[Values=No Data '[Y/N']]]="Y","values=NoData","")</f>
        <v>values=NoData</v>
      </c>
      <c r="P24" s="23" t="str">
        <f>Table1[[#This Row],[Data Type]]&amp;"="&amp;Table1[[#This Row],[Name]]&amp;"    rng="&amp;Table1[[#This Row],[Range]]&amp;"    "&amp;Table1[[#This Row],[Values gams input]]&amp;"    "&amp;Table1[[#This Row],[dim input gams]]&amp;"    "&amp;Table1[[#This Row],[cdim gams input]]&amp;"     "&amp;Table1[[#This Row],[rdim gams input]]&amp;"     "&amp;Table1[[#This Row],[ignore rows gams input]]&amp;"     "&amp;Table1[[#This Row],[ignore colums gams input]]</f>
        <v>set=NF_prop    rng=NF!B1:Z1    values=NoData        cdim= 1               </v>
      </c>
    </row>
    <row r="25" x14ac:dyDescent="0.25">
      <c r="A25" s="21" t="s">
        <v>144</v>
      </c>
      <c r="B25" s="22" t="s">
        <v>594</v>
      </c>
      <c r="C25" s="22" t="s">
        <v>595</v>
      </c>
      <c r="D25" s="22"/>
      <c r="E25" s="22" t="str">
        <f>IF(Table1[[#This Row],[Dim]]=0,"","dim="&amp;Table1[[#This Row],[Dim]])</f>
        <v/>
      </c>
      <c r="F25" s="22">
        <v>1</v>
      </c>
      <c r="G25" s="22"/>
      <c r="H25" s="25" t="str">
        <f>IF(Table1[[#This Row],[Cdim]]=NOT(Table1[[#This Row],[Cdim]]=0),"","cdim= "&amp;Table1[[#This Row],[Cdim]])</f>
        <v>cdim= 1</v>
      </c>
      <c r="I25" s="25" t="str">
        <f>IF(Table1[[#This Row],[Rdim]]=NOT(Table1[[#This Row],[Rdim]]=0),"","rdim= "&amp;Table1[[#This Row],[Rdim]])</f>
        <v/>
      </c>
      <c r="J25" s="22"/>
      <c r="K25" s="22"/>
      <c r="L25" s="25" t="str">
        <f>IF(Table1[[#This Row],[ignoreRows]]=NOT(Table1[[#This Row],[ignoreRows]]=0),"","ignoreRows= "&amp;Table1[[#This Row],[ignoreRows]])</f>
        <v/>
      </c>
      <c r="M25" s="25" t="str">
        <f>IF(Table1[[#This Row],[ignoreColumns]]=NOT(Table1[[#This Row],[ignoreColumns]]=0),"","ignoreColumns= "&amp;Table1[[#This Row],[ignoreColumns]])</f>
        <v/>
      </c>
      <c r="N25" s="44" t="str">
        <f>IF(Table1[[#This Row],[Data Type]]="set","Y","N")</f>
        <v>Y</v>
      </c>
      <c r="O25" s="44" t="str">
        <f>IF(Table1[[#This Row],[Values=No Data '[Y/N']]]="Y","values=NoData","")</f>
        <v>values=NoData</v>
      </c>
      <c r="P25" s="23" t="str">
        <f>Table1[[#This Row],[Data Type]]&amp;"="&amp;Table1[[#This Row],[Name]]&amp;"    rng="&amp;Table1[[#This Row],[Range]]&amp;"    "&amp;Table1[[#This Row],[Values gams input]]&amp;"    "&amp;Table1[[#This Row],[dim input gams]]&amp;"    "&amp;Table1[[#This Row],[cdim gams input]]&amp;"     "&amp;Table1[[#This Row],[rdim gams input]]&amp;"     "&amp;Table1[[#This Row],[ignore rows gams input]]&amp;"     "&amp;Table1[[#This Row],[ignore colums gams input]]</f>
        <v>set=CF_bounds    rng=ConFac_Units!B1:C1    values=NoData        cdim= 1               </v>
      </c>
    </row>
    <row r="26" x14ac:dyDescent="0.25">
      <c r="A26" s="21" t="s">
        <v>185</v>
      </c>
      <c r="B26" s="22" t="s">
        <v>186</v>
      </c>
      <c r="C26" s="22" t="s">
        <v>187</v>
      </c>
      <c r="D26" s="22"/>
      <c r="E26" s="22" t="str">
        <f>IF(Table1[[#This Row],[Dim]]=0,"","dim="&amp;Table1[[#This Row],[Dim]])</f>
        <v/>
      </c>
      <c r="F26" s="22"/>
      <c r="G26" s="22">
        <v>1</v>
      </c>
      <c r="H26" s="22" t="str">
        <f>IF(Table1[[#This Row],[Cdim]]=NOT(Table1[[#This Row],[Cdim]]=0),"","cdim= "&amp;Table1[[#This Row],[Cdim]])</f>
        <v/>
      </c>
      <c r="I26" s="22" t="str">
        <f>IF(Table1[[#This Row],[Rdim]]=NOT(Table1[[#This Row],[Rdim]]=0),"","rdim= "&amp;Table1[[#This Row],[Rdim]])</f>
        <v>rdim= 1</v>
      </c>
      <c r="J26" s="22">
        <v>1</v>
      </c>
      <c r="K26" s="22"/>
      <c r="L26" s="22" t="str">
        <f>IF(Table1[[#This Row],[ignoreRows]]=NOT(Table1[[#This Row],[ignoreRows]]=0),"","ignoreRows= "&amp;Table1[[#This Row],[ignoreRows]])</f>
        <v>ignoreRows= 1</v>
      </c>
      <c r="M26" s="22" t="str">
        <f>IF(Table1[[#This Row],[ignoreColumns]]=NOT(Table1[[#This Row],[ignoreColumns]]=0),"","ignoreColumns= "&amp;Table1[[#This Row],[ignoreColumns]])</f>
        <v/>
      </c>
      <c r="N26" s="23" t="str">
        <f>IF(Table1[[#This Row],[Data Type]]="set","Y","N")</f>
        <v>N</v>
      </c>
      <c r="O26" s="23" t="str">
        <f>IF(Table1[[#This Row],[Values=No Data '[Y/N']]]="Y","values=NoData","")</f>
        <v/>
      </c>
      <c r="P26" s="23" t="str">
        <f>Table1[[#This Row],[Data Type]]&amp;"="&amp;Table1[[#This Row],[Name]]&amp;"    rng="&amp;Table1[[#This Row],[Range]]&amp;"    "&amp;Table1[[#This Row],[Values gams input]]&amp;"    "&amp;Table1[[#This Row],[dim input gams]]&amp;"    "&amp;Table1[[#This Row],[cdim gams input]]&amp;"     "&amp;Table1[[#This Row],[rdim gams input]]&amp;"     "&amp;Table1[[#This Row],[ignore rows gams input]]&amp;"     "&amp;Table1[[#This Row],[ignore colums gams input]]</f>
        <v>par=P1    rng=mat_data!a1:b80                 rdim= 1     ignoreRows= 1     </v>
      </c>
    </row>
    <row r="27" x14ac:dyDescent="0.25">
      <c r="A27" s="21" t="s">
        <v>185</v>
      </c>
      <c r="B27" s="22" t="s">
        <v>188</v>
      </c>
      <c r="C27" s="22" t="s">
        <v>189</v>
      </c>
      <c r="D27" s="22">
        <v>2</v>
      </c>
      <c r="E27" s="22" t="str">
        <f>IF(Table1[[#This Row],[Dim]]=0,"","dim="&amp;Table1[[#This Row],[Dim]])</f>
        <v>dim=2</v>
      </c>
      <c r="F27" s="22">
        <v>1</v>
      </c>
      <c r="G27" s="22">
        <v>1</v>
      </c>
      <c r="H27" s="22" t="str">
        <f>IF(Table1[[#This Row],[Cdim]]=NOT(Table1[[#This Row],[Cdim]]=0),"","cdim= "&amp;Table1[[#This Row],[Cdim]])</f>
        <v>cdim= 1</v>
      </c>
      <c r="I27" s="22" t="str">
        <f>IF(Table1[[#This Row],[Rdim]]=NOT(Table1[[#This Row],[Rdim]]=0),"","rdim= "&amp;Table1[[#This Row],[Rdim]])</f>
        <v>rdim= 1</v>
      </c>
      <c r="J27" s="22"/>
      <c r="K27" s="22"/>
      <c r="L27" s="22" t="str">
        <f>IF(Table1[[#This Row],[ignoreRows]]=NOT(Table1[[#This Row],[ignoreRows]]=0),"","ignoreRows= "&amp;Table1[[#This Row],[ignoreRows]])</f>
        <v/>
      </c>
      <c r="M27" s="22" t="str">
        <f>IF(Table1[[#This Row],[ignoreColumns]]=NOT(Table1[[#This Row],[ignoreColumns]]=0),"","ignoreColumns= "&amp;Table1[[#This Row],[ignoreColumns]])</f>
        <v/>
      </c>
      <c r="N27" s="23" t="str">
        <f>IF(Table1[[#This Row],[Data Type]]="set","Y","N")</f>
        <v>N</v>
      </c>
      <c r="O27" s="23" t="str">
        <f>IF(Table1[[#This Row],[Values=No Data '[Y/N']]]="Y","values=NoData","")</f>
        <v/>
      </c>
      <c r="P27" s="23" t="str">
        <f>Table1[[#This Row],[Data Type]]&amp;"="&amp;Table1[[#This Row],[Name]]&amp;"    rng="&amp;Table1[[#This Row],[Range]]&amp;"    "&amp;Table1[[#This Row],[Values gams input]]&amp;"    "&amp;Table1[[#This Row],[dim input gams]]&amp;"    "&amp;Table1[[#This Row],[cdim gams input]]&amp;"     "&amp;Table1[[#This Row],[rdim gams input]]&amp;"     "&amp;Table1[[#This Row],[ignore rows gams input]]&amp;"     "&amp;Table1[[#This Row],[ignore colums gams input]]</f>
        <v>par=ADS_T    rng=ADS!A1:I3        dim=2    cdim= 1     rdim= 1          </v>
      </c>
      <c r="R27" s="34"/>
    </row>
    <row r="28" x14ac:dyDescent="0.25">
      <c r="A28" s="21" t="s">
        <v>185</v>
      </c>
      <c r="B28" s="22" t="s">
        <v>190</v>
      </c>
      <c r="C28" s="22" t="s">
        <v>557</v>
      </c>
      <c r="D28" s="22">
        <v>2</v>
      </c>
      <c r="E28" s="22" t="str">
        <f>IF(Table1[[#This Row],[Dim]]=0,"","dim="&amp;Table1[[#This Row],[Dim]])</f>
        <v>dim=2</v>
      </c>
      <c r="F28" s="22">
        <v>1</v>
      </c>
      <c r="G28" s="22">
        <v>1</v>
      </c>
      <c r="H28" s="22" t="str">
        <f>IF(Table1[[#This Row],[Cdim]]=NOT(Table1[[#This Row],[Cdim]]=0),"","cdim= "&amp;Table1[[#This Row],[Cdim]])</f>
        <v>cdim= 1</v>
      </c>
      <c r="I28" s="22" t="str">
        <f>IF(Table1[[#This Row],[Rdim]]=NOT(Table1[[#This Row],[Rdim]]=0),"","rdim= "&amp;Table1[[#This Row],[Rdim]])</f>
        <v>rdim= 1</v>
      </c>
      <c r="J28" s="22"/>
      <c r="K28" s="22"/>
      <c r="L28" s="22" t="str">
        <f>IF(Table1[[#This Row],[ignoreRows]]=NOT(Table1[[#This Row],[ignoreRows]]=0),"","ignoreRows= "&amp;Table1[[#This Row],[ignoreRows]])</f>
        <v/>
      </c>
      <c r="M28" s="22" t="str">
        <f>IF(Table1[[#This Row],[ignoreColumns]]=NOT(Table1[[#This Row],[ignoreColumns]]=0),"","ignoreColumns= "&amp;Table1[[#This Row],[ignoreColumns]])</f>
        <v/>
      </c>
      <c r="N28" s="23" t="str">
        <f>IF(Table1[[#This Row],[Data Type]]="set","Y","N")</f>
        <v>N</v>
      </c>
      <c r="O28" s="23" t="str">
        <f>IF(Table1[[#This Row],[Values=No Data '[Y/N']]]="Y","values=NoData","")</f>
        <v/>
      </c>
      <c r="P28" s="23" t="str">
        <f>Table1[[#This Row],[Data Type]]&amp;"="&amp;Table1[[#This Row],[Name]]&amp;"    rng="&amp;Table1[[#This Row],[Range]]&amp;"    "&amp;Table1[[#This Row],[Values gams input]]&amp;"    "&amp;Table1[[#This Row],[dim input gams]]&amp;"    "&amp;Table1[[#This Row],[cdim gams input]]&amp;"     "&amp;Table1[[#This Row],[rdim gams input]]&amp;"     "&amp;Table1[[#This Row],[ignore rows gams input]]&amp;"     "&amp;Table1[[#This Row],[ignore colums gams input]]</f>
        <v>par=SDM_T    rng=SDM!A1:H2        dim=2    cdim= 1     rdim= 1          </v>
      </c>
      <c r="R28" s="34"/>
    </row>
    <row r="29" x14ac:dyDescent="0.25">
      <c r="A29" s="21" t="s">
        <v>185</v>
      </c>
      <c r="B29" s="22" t="s">
        <v>191</v>
      </c>
      <c r="C29" s="22" t="s">
        <v>192</v>
      </c>
      <c r="D29" s="22">
        <v>2</v>
      </c>
      <c r="E29" s="22" t="str">
        <f>IF(Table1[[#This Row],[Dim]]=0,"","dim="&amp;Table1[[#This Row],[Dim]])</f>
        <v>dim=2</v>
      </c>
      <c r="F29" s="22">
        <v>1</v>
      </c>
      <c r="G29" s="22">
        <v>1</v>
      </c>
      <c r="H29" s="22" t="str">
        <f>IF(Table1[[#This Row],[Cdim]]=NOT(Table1[[#This Row],[Cdim]]=0),"","cdim= "&amp;Table1[[#This Row],[Cdim]])</f>
        <v>cdim= 1</v>
      </c>
      <c r="I29" s="22" t="str">
        <f>IF(Table1[[#This Row],[Rdim]]=NOT(Table1[[#This Row],[Rdim]]=0),"","rdim= "&amp;Table1[[#This Row],[Rdim]])</f>
        <v>rdim= 1</v>
      </c>
      <c r="J29" s="22"/>
      <c r="K29" s="22"/>
      <c r="L29" s="22" t="str">
        <f>IF(Table1[[#This Row],[ignoreRows]]=NOT(Table1[[#This Row],[ignoreRows]]=0),"","ignoreRows= "&amp;Table1[[#This Row],[ignoreRows]])</f>
        <v/>
      </c>
      <c r="M29" s="22" t="str">
        <f>IF(Table1[[#This Row],[ignoreColumns]]=NOT(Table1[[#This Row],[ignoreColumns]]=0),"","ignoreColumns= "&amp;Table1[[#This Row],[ignoreColumns]])</f>
        <v/>
      </c>
      <c r="N29" s="23" t="str">
        <f>IF(Table1[[#This Row],[Data Type]]="set","Y","N")</f>
        <v>N</v>
      </c>
      <c r="O29" s="23" t="str">
        <f>IF(Table1[[#This Row],[Values=No Data '[Y/N']]]="Y","values=NoData","")</f>
        <v/>
      </c>
      <c r="P29" s="23" t="str">
        <f>Table1[[#This Row],[Data Type]]&amp;"="&amp;Table1[[#This Row],[Name]]&amp;"    rng="&amp;Table1[[#This Row],[Range]]&amp;"    "&amp;Table1[[#This Row],[Values gams input]]&amp;"    "&amp;Table1[[#This Row],[dim input gams]]&amp;"    "&amp;Table1[[#This Row],[cdim gams input]]&amp;"     "&amp;Table1[[#This Row],[rdim gams input]]&amp;"     "&amp;Table1[[#This Row],[ignore rows gams input]]&amp;"     "&amp;Table1[[#This Row],[ignore colums gams input]]</f>
        <v>par=PRC_T    rng=PRC!A1:D2        dim=2    cdim= 1     rdim= 1          </v>
      </c>
    </row>
    <row r="30" x14ac:dyDescent="0.25">
      <c r="A30" s="21" t="s">
        <v>185</v>
      </c>
      <c r="B30" s="22" t="s">
        <v>193</v>
      </c>
      <c r="C30" s="22" t="s">
        <v>194</v>
      </c>
      <c r="D30" s="22">
        <v>2</v>
      </c>
      <c r="E30" s="22" t="str">
        <f>IF(Table1[[#This Row],[Dim]]=0,"","dim="&amp;Table1[[#This Row],[Dim]])</f>
        <v>dim=2</v>
      </c>
      <c r="F30" s="22">
        <v>1</v>
      </c>
      <c r="G30" s="22">
        <v>1</v>
      </c>
      <c r="H30" s="22" t="str">
        <f>IF(Table1[[#This Row],[Cdim]]=NOT(Table1[[#This Row],[Cdim]]=0),"","cdim= "&amp;Table1[[#This Row],[Cdim]])</f>
        <v>cdim= 1</v>
      </c>
      <c r="I30" s="22" t="str">
        <f>IF(Table1[[#This Row],[Rdim]]=NOT(Table1[[#This Row],[Rdim]]=0),"","rdim= "&amp;Table1[[#This Row],[Rdim]])</f>
        <v>rdim= 1</v>
      </c>
      <c r="J30" s="22"/>
      <c r="K30" s="22"/>
      <c r="L30" s="22" t="str">
        <f>IF(Table1[[#This Row],[ignoreRows]]=NOT(Table1[[#This Row],[ignoreRows]]=0),"","ignoreRows= "&amp;Table1[[#This Row],[ignoreRows]])</f>
        <v/>
      </c>
      <c r="M30" s="22" t="str">
        <f>IF(Table1[[#This Row],[ignoreColumns]]=NOT(Table1[[#This Row],[ignoreColumns]]=0),"","ignoreColumns= "&amp;Table1[[#This Row],[ignoreColumns]])</f>
        <v/>
      </c>
      <c r="N30" s="23" t="str">
        <f>IF(Table1[[#This Row],[Data Type]]="set","Y","N")</f>
        <v>N</v>
      </c>
      <c r="O30" s="23" t="str">
        <f>IF(Table1[[#This Row],[Values=No Data '[Y/N']]]="Y","values=NoData","")</f>
        <v/>
      </c>
      <c r="P30" s="23" t="str">
        <f>Table1[[#This Row],[Data Type]]&amp;"="&amp;Table1[[#This Row],[Name]]&amp;"    rng="&amp;Table1[[#This Row],[Range]]&amp;"    "&amp;Table1[[#This Row],[Values gams input]]&amp;"    "&amp;Table1[[#This Row],[dim input gams]]&amp;"    "&amp;Table1[[#This Row],[cdim gams input]]&amp;"     "&amp;Table1[[#This Row],[rdim gams input]]&amp;"     "&amp;Table1[[#This Row],[ignore rows gams input]]&amp;"     "&amp;Table1[[#This Row],[ignore colums gams input]]</f>
        <v>par=CNF_T    rng=CNF!A1:D2        dim=2    cdim= 1     rdim= 1          </v>
      </c>
    </row>
    <row r="31" x14ac:dyDescent="0.25">
      <c r="A31" s="21" t="s">
        <v>185</v>
      </c>
      <c r="B31" s="22" t="s">
        <v>195</v>
      </c>
      <c r="C31" s="22" t="s">
        <v>196</v>
      </c>
      <c r="D31" s="22">
        <v>2</v>
      </c>
      <c r="E31" s="22" t="str">
        <f>IF(Table1[[#This Row],[Dim]]=0,"","dim="&amp;Table1[[#This Row],[Dim]])</f>
        <v>dim=2</v>
      </c>
      <c r="F31" s="22">
        <v>1</v>
      </c>
      <c r="G31" s="22">
        <v>1</v>
      </c>
      <c r="H31" s="22" t="str">
        <f>IF(Table1[[#This Row],[Cdim]]=NOT(Table1[[#This Row],[Cdim]]=0),"","cdim= "&amp;Table1[[#This Row],[Cdim]])</f>
        <v>cdim= 1</v>
      </c>
      <c r="I31" s="22" t="str">
        <f>IF(Table1[[#This Row],[Rdim]]=NOT(Table1[[#This Row],[Rdim]]=0),"","rdim= "&amp;Table1[[#This Row],[Rdim]])</f>
        <v>rdim= 1</v>
      </c>
      <c r="J31" s="22"/>
      <c r="K31" s="22"/>
      <c r="L31" s="22" t="str">
        <f>IF(Table1[[#This Row],[ignoreRows]]=NOT(Table1[[#This Row],[ignoreRows]]=0),"","ignoreRows= "&amp;Table1[[#This Row],[ignoreRows]])</f>
        <v/>
      </c>
      <c r="M31" s="22" t="str">
        <f>IF(Table1[[#This Row],[ignoreColumns]]=NOT(Table1[[#This Row],[ignoreColumns]]=0),"","ignoreColumns= "&amp;Table1[[#This Row],[ignoreColumns]])</f>
        <v/>
      </c>
      <c r="N31" s="23" t="str">
        <f>IF(Table1[[#This Row],[Data Type]]="set","Y","N")</f>
        <v>N</v>
      </c>
      <c r="O31" s="23" t="str">
        <f>IF(Table1[[#This Row],[Values=No Data '[Y/N']]]="Y","values=NoData","")</f>
        <v/>
      </c>
      <c r="P31" s="23" t="str">
        <f>Table1[[#This Row],[Data Type]]&amp;"="&amp;Table1[[#This Row],[Name]]&amp;"    rng="&amp;Table1[[#This Row],[Range]]&amp;"    "&amp;Table1[[#This Row],[Values gams input]]&amp;"    "&amp;Table1[[#This Row],[dim input gams]]&amp;"    "&amp;Table1[[#This Row],[cdim gams input]]&amp;"     "&amp;Table1[[#This Row],[rdim gams input]]&amp;"     "&amp;Table1[[#This Row],[ignore rows gams input]]&amp;"     "&amp;Table1[[#This Row],[ignore colums gams input]]</f>
        <v>par=DST_T    rng=DST!A1:K2        dim=2    cdim= 1     rdim= 1          </v>
      </c>
    </row>
    <row r="32" x14ac:dyDescent="0.25">
      <c r="A32" s="21" t="s">
        <v>185</v>
      </c>
      <c r="B32" s="22" t="s">
        <v>197</v>
      </c>
      <c r="C32" s="22" t="s">
        <v>198</v>
      </c>
      <c r="D32" s="22">
        <v>2</v>
      </c>
      <c r="E32" s="22" t="str">
        <f>IF(Table1[[#This Row],[Dim]]=0,"","dim="&amp;Table1[[#This Row],[Dim]])</f>
        <v>dim=2</v>
      </c>
      <c r="F32" s="22">
        <v>1</v>
      </c>
      <c r="G32" s="22">
        <v>1</v>
      </c>
      <c r="H32" s="22" t="str">
        <f>IF(Table1[[#This Row],[Cdim]]=NOT(Table1[[#This Row],[Cdim]]=0),"","cdim= "&amp;Table1[[#This Row],[Cdim]])</f>
        <v>cdim= 1</v>
      </c>
      <c r="I32" s="22" t="str">
        <f>IF(Table1[[#This Row],[Rdim]]=NOT(Table1[[#This Row],[Rdim]]=0),"","rdim= "&amp;Table1[[#This Row],[Rdim]])</f>
        <v>rdim= 1</v>
      </c>
      <c r="J32" s="22"/>
      <c r="K32" s="22"/>
      <c r="L32" s="22" t="str">
        <f>IF(Table1[[#This Row],[ignoreRows]]=NOT(Table1[[#This Row],[ignoreRows]]=0),"","ignoreRows= "&amp;Table1[[#This Row],[ignoreRows]])</f>
        <v/>
      </c>
      <c r="M32" s="22" t="str">
        <f>IF(Table1[[#This Row],[ignoreColumns]]=NOT(Table1[[#This Row],[ignoreColumns]]=0),"","ignoreColumns= "&amp;Table1[[#This Row],[ignoreColumns]])</f>
        <v/>
      </c>
      <c r="N32" s="23" t="str">
        <f>IF(Table1[[#This Row],[Data Type]]="set","Y","N")</f>
        <v>N</v>
      </c>
      <c r="O32" s="23" t="str">
        <f>IF(Table1[[#This Row],[Values=No Data '[Y/N']]]="Y","values=NoData","")</f>
        <v/>
      </c>
      <c r="P32" s="23" t="str">
        <f>Table1[[#This Row],[Data Type]]&amp;"="&amp;Table1[[#This Row],[Name]]&amp;"    rng="&amp;Table1[[#This Row],[Range]]&amp;"    "&amp;Table1[[#This Row],[Values gams input]]&amp;"    "&amp;Table1[[#This Row],[dim input gams]]&amp;"    "&amp;Table1[[#This Row],[cdim gams input]]&amp;"     "&amp;Table1[[#This Row],[rdim gams input]]&amp;"     "&amp;Table1[[#This Row],[ignore rows gams input]]&amp;"     "&amp;Table1[[#This Row],[ignore colums gams input]]</f>
        <v>par=FLT_T    rng=FLT!A1:D2        dim=2    cdim= 1     rdim= 1          </v>
      </c>
    </row>
    <row r="33" x14ac:dyDescent="0.25">
      <c r="A33" s="21" t="s">
        <v>185</v>
      </c>
      <c r="B33" s="22" t="s">
        <v>199</v>
      </c>
      <c r="C33" s="22" t="s">
        <v>200</v>
      </c>
      <c r="D33" s="22">
        <v>2</v>
      </c>
      <c r="E33" s="22" t="str">
        <f>IF(Table1[[#This Row],[Dim]]=0,"","dim="&amp;Table1[[#This Row],[Dim]])</f>
        <v>dim=2</v>
      </c>
      <c r="F33" s="22">
        <v>1</v>
      </c>
      <c r="G33" s="22">
        <v>1</v>
      </c>
      <c r="H33" s="22" t="str">
        <f>IF(Table1[[#This Row],[Cdim]]=NOT(Table1[[#This Row],[Cdim]]=0),"","cdim= "&amp;Table1[[#This Row],[Cdim]])</f>
        <v>cdim= 1</v>
      </c>
      <c r="I33" s="22" t="str">
        <f>IF(Table1[[#This Row],[Rdim]]=NOT(Table1[[#This Row],[Rdim]]=0),"","rdim= "&amp;Table1[[#This Row],[Rdim]])</f>
        <v>rdim= 1</v>
      </c>
      <c r="J33" s="22"/>
      <c r="K33" s="22"/>
      <c r="L33" s="22" t="str">
        <f>IF(Table1[[#This Row],[ignoreRows]]=NOT(Table1[[#This Row],[ignoreRows]]=0),"","ignoreRows= "&amp;Table1[[#This Row],[ignoreRows]])</f>
        <v/>
      </c>
      <c r="M33" s="22" t="str">
        <f>IF(Table1[[#This Row],[ignoreColumns]]=NOT(Table1[[#This Row],[ignoreColumns]]=0),"","ignoreColumns= "&amp;Table1[[#This Row],[ignoreColumns]])</f>
        <v/>
      </c>
      <c r="N33" s="23" t="str">
        <f>IF(Table1[[#This Row],[Data Type]]="set","Y","N")</f>
        <v>N</v>
      </c>
      <c r="O33" s="23" t="str">
        <f>IF(Table1[[#This Row],[Values=No Data '[Y/N']]]="Y","values=NoData","")</f>
        <v/>
      </c>
      <c r="P33" s="23" t="str">
        <f>Table1[[#This Row],[Data Type]]&amp;"="&amp;Table1[[#This Row],[Name]]&amp;"    rng="&amp;Table1[[#This Row],[Range]]&amp;"    "&amp;Table1[[#This Row],[Values gams input]]&amp;"    "&amp;Table1[[#This Row],[dim input gams]]&amp;"    "&amp;Table1[[#This Row],[cdim gams input]]&amp;"     "&amp;Table1[[#This Row],[rdim gams input]]&amp;"     "&amp;Table1[[#This Row],[ignore rows gams input]]&amp;"     "&amp;Table1[[#This Row],[ignore colums gams input]]</f>
        <v>par=PVP_T    rng=PVP!A1:C4        dim=2    cdim= 1     rdim= 1          </v>
      </c>
    </row>
    <row r="34" x14ac:dyDescent="0.25">
      <c r="A34" s="21" t="s">
        <v>185</v>
      </c>
      <c r="B34" s="22" t="s">
        <v>201</v>
      </c>
      <c r="C34" s="22" t="s">
        <v>202</v>
      </c>
      <c r="D34" s="22">
        <v>2</v>
      </c>
      <c r="E34" s="22" t="str">
        <f>IF(Table1[[#This Row],[Dim]]=0,"","dim="&amp;Table1[[#This Row],[Dim]])</f>
        <v>dim=2</v>
      </c>
      <c r="F34" s="22">
        <v>1</v>
      </c>
      <c r="G34" s="22">
        <v>1</v>
      </c>
      <c r="H34" s="22" t="str">
        <f>IF(Table1[[#This Row],[Cdim]]=NOT(Table1[[#This Row],[Cdim]]=0),"","cdim= "&amp;Table1[[#This Row],[Cdim]])</f>
        <v>cdim= 1</v>
      </c>
      <c r="I34" s="22" t="str">
        <f>IF(Table1[[#This Row],[Rdim]]=NOT(Table1[[#This Row],[Rdim]]=0),"","rdim= "&amp;Table1[[#This Row],[Rdim]])</f>
        <v>rdim= 1</v>
      </c>
      <c r="J34" s="22"/>
      <c r="K34" s="22"/>
      <c r="L34" s="22" t="str">
        <f>IF(Table1[[#This Row],[ignoreRows]]=NOT(Table1[[#This Row],[ignoreRows]]=0),"","ignoreRows= "&amp;Table1[[#This Row],[ignoreRows]])</f>
        <v/>
      </c>
      <c r="M34" s="22" t="str">
        <f>IF(Table1[[#This Row],[ignoreColumns]]=NOT(Table1[[#This Row],[ignoreColumns]]=0),"","ignoreColumns= "&amp;Table1[[#This Row],[ignoreColumns]])</f>
        <v/>
      </c>
      <c r="N34" s="23" t="str">
        <f>IF(Table1[[#This Row],[Data Type]]="set","Y","N")</f>
        <v>N</v>
      </c>
      <c r="O34" s="23" t="str">
        <f>IF(Table1[[#This Row],[Values=No Data '[Y/N']]]="Y","values=NoData","")</f>
        <v/>
      </c>
      <c r="P34" s="23" t="str">
        <f>Table1[[#This Row],[Data Type]]&amp;"="&amp;Table1[[#This Row],[Name]]&amp;"    rng="&amp;Table1[[#This Row],[Range]]&amp;"    "&amp;Table1[[#This Row],[Values gams input]]&amp;"    "&amp;Table1[[#This Row],[dim input gams]]&amp;"    "&amp;Table1[[#This Row],[cdim gams input]]&amp;"     "&amp;Table1[[#This Row],[rdim gams input]]&amp;"     "&amp;Table1[[#This Row],[ignore rows gams input]]&amp;"     "&amp;Table1[[#This Row],[ignore colums gams input]]</f>
        <v>par=MF_T    rng=MF!A1:C3        dim=2    cdim= 1     rdim= 1          </v>
      </c>
    </row>
    <row r="35" x14ac:dyDescent="0.25">
      <c r="A35" s="21" t="s">
        <v>185</v>
      </c>
      <c r="B35" s="22" t="s">
        <v>203</v>
      </c>
      <c r="C35" s="22" t="s">
        <v>204</v>
      </c>
      <c r="D35" s="22">
        <v>2</v>
      </c>
      <c r="E35" s="22" t="str">
        <f>IF(Table1[[#This Row],[Dim]]=0,"","dim="&amp;Table1[[#This Row],[Dim]])</f>
        <v>dim=2</v>
      </c>
      <c r="F35" s="22">
        <v>1</v>
      </c>
      <c r="G35" s="22">
        <v>1</v>
      </c>
      <c r="H35" s="22" t="str">
        <f>IF(Table1[[#This Row],[Cdim]]=NOT(Table1[[#This Row],[Cdim]]=0),"","cdim= "&amp;Table1[[#This Row],[Cdim]])</f>
        <v>cdim= 1</v>
      </c>
      <c r="I35" s="22" t="str">
        <f>IF(Table1[[#This Row],[Rdim]]=NOT(Table1[[#This Row],[Rdim]]=0),"","rdim= "&amp;Table1[[#This Row],[Rdim]])</f>
        <v>rdim= 1</v>
      </c>
      <c r="J35" s="22"/>
      <c r="K35" s="22"/>
      <c r="L35" s="22" t="str">
        <f>IF(Table1[[#This Row],[ignoreRows]]=NOT(Table1[[#This Row],[ignoreRows]]=0),"","ignoreRows= "&amp;Table1[[#This Row],[ignoreRows]])</f>
        <v/>
      </c>
      <c r="M35" s="22" t="str">
        <f>IF(Table1[[#This Row],[ignoreColumns]]=NOT(Table1[[#This Row],[ignoreColumns]]=0),"","ignoreColumns= "&amp;Table1[[#This Row],[ignoreColumns]])</f>
        <v/>
      </c>
      <c r="N35" s="23" t="str">
        <f>IF(Table1[[#This Row],[Data Type]]="set","Y","N")</f>
        <v>N</v>
      </c>
      <c r="O35" s="23" t="str">
        <f>IF(Table1[[#This Row],[Values=No Data '[Y/N']]]="Y","values=NoData","")</f>
        <v/>
      </c>
      <c r="P35" s="23" t="str">
        <f>Table1[[#This Row],[Data Type]]&amp;"="&amp;Table1[[#This Row],[Name]]&amp;"    rng="&amp;Table1[[#This Row],[Range]]&amp;"    "&amp;Table1[[#This Row],[Values gams input]]&amp;"    "&amp;Table1[[#This Row],[dim input gams]]&amp;"    "&amp;Table1[[#This Row],[cdim gams input]]&amp;"     "&amp;Table1[[#This Row],[rdim gams input]]&amp;"     "&amp;Table1[[#This Row],[ignore rows gams input]]&amp;"     "&amp;Table1[[#This Row],[ignore colums gams input]]</f>
        <v>par=UF_T    rng=UF!A1:C3        dim=2    cdim= 1     rdim= 1          </v>
      </c>
    </row>
    <row r="36" x14ac:dyDescent="0.25">
      <c r="A36" s="21" t="s">
        <v>185</v>
      </c>
      <c r="B36" s="22" t="s">
        <v>205</v>
      </c>
      <c r="C36" s="22" t="s">
        <v>206</v>
      </c>
      <c r="D36" s="22">
        <v>2</v>
      </c>
      <c r="E36" s="22" t="str">
        <f>IF(Table1[[#This Row],[Dim]]=0,"","dim="&amp;Table1[[#This Row],[Dim]])</f>
        <v>dim=2</v>
      </c>
      <c r="F36" s="22">
        <v>1</v>
      </c>
      <c r="G36" s="22">
        <v>1</v>
      </c>
      <c r="H36" s="22" t="str">
        <f>IF(Table1[[#This Row],[Cdim]]=NOT(Table1[[#This Row],[Cdim]]=0),"","cdim= "&amp;Table1[[#This Row],[Cdim]])</f>
        <v>cdim= 1</v>
      </c>
      <c r="I36" s="22" t="str">
        <f>IF(Table1[[#This Row],[Rdim]]=NOT(Table1[[#This Row],[Rdim]]=0),"","rdim= "&amp;Table1[[#This Row],[Rdim]])</f>
        <v>rdim= 1</v>
      </c>
      <c r="J36" s="22"/>
      <c r="K36" s="22"/>
      <c r="L36" s="22" t="str">
        <f>IF(Table1[[#This Row],[ignoreRows]]=NOT(Table1[[#This Row],[ignoreRows]]=0),"","ignoreRows= "&amp;Table1[[#This Row],[ignoreRows]])</f>
        <v/>
      </c>
      <c r="M36" s="22" t="str">
        <f>IF(Table1[[#This Row],[ignoreColumns]]=NOT(Table1[[#This Row],[ignoreColumns]]=0),"","ignoreColumns= "&amp;Table1[[#This Row],[ignoreColumns]])</f>
        <v/>
      </c>
      <c r="N36" s="23" t="str">
        <f>IF(Table1[[#This Row],[Data Type]]="set","Y","N")</f>
        <v>N</v>
      </c>
      <c r="O36" s="23" t="str">
        <f>IF(Table1[[#This Row],[Values=No Data '[Y/N']]]="Y","values=NoData","")</f>
        <v/>
      </c>
      <c r="P36" s="23" t="str">
        <f>Table1[[#This Row],[Data Type]]&amp;"="&amp;Table1[[#This Row],[Name]]&amp;"    rng="&amp;Table1[[#This Row],[Range]]&amp;"    "&amp;Table1[[#This Row],[Values gams input]]&amp;"    "&amp;Table1[[#This Row],[dim input gams]]&amp;"    "&amp;Table1[[#This Row],[cdim gams input]]&amp;"     "&amp;Table1[[#This Row],[rdim gams input]]&amp;"     "&amp;Table1[[#This Row],[ignore rows gams input]]&amp;"     "&amp;Table1[[#This Row],[ignore colums gams input]]</f>
        <v>par=NF_T    rng=NF!A1:D2        dim=2    cdim= 1     rdim= 1          </v>
      </c>
    </row>
    <row r="37" x14ac:dyDescent="0.25">
      <c r="A37" s="21" t="s">
        <v>185</v>
      </c>
      <c r="B37" s="22" t="s">
        <v>207</v>
      </c>
      <c r="C37" s="22" t="s">
        <v>915</v>
      </c>
      <c r="D37" s="22">
        <v>2</v>
      </c>
      <c r="E37" s="22" t="str">
        <f>IF(Table1[[#This Row],[Dim]]=0,"","dim="&amp;Table1[[#This Row],[Dim]])</f>
        <v>dim=2</v>
      </c>
      <c r="F37" s="22">
        <v>1</v>
      </c>
      <c r="G37" s="22">
        <v>1</v>
      </c>
      <c r="H37" s="22" t="str">
        <f>IF(Table1[[#This Row],[Cdim]]=NOT(Table1[[#This Row],[Cdim]]=0),"","cdim= "&amp;Table1[[#This Row],[Cdim]])</f>
        <v>cdim= 1</v>
      </c>
      <c r="I37" s="22" t="str">
        <f>IF(Table1[[#This Row],[Rdim]]=NOT(Table1[[#This Row],[Rdim]]=0),"","rdim= "&amp;Table1[[#This Row],[Rdim]])</f>
        <v>rdim= 1</v>
      </c>
      <c r="J37" s="22"/>
      <c r="K37" s="22" t="s">
        <v>942</v>
      </c>
      <c r="L37" s="22" t="str">
        <f>IF(Table1[[#This Row],[ignoreRows]]=NOT(Table1[[#This Row],[ignoreRows]]=0),"","ignoreRows= "&amp;Table1[[#This Row],[ignoreRows]])</f>
        <v/>
      </c>
      <c r="M37" s="22" t="str">
        <f>IF(Table1[[#This Row],[ignoreColumns]]=NOT(Table1[[#This Row],[ignoreColumns]]=0),"","ignoreColumns= "&amp;Table1[[#This Row],[ignoreColumns]])</f>
        <v>ignoreColumns= H,J</v>
      </c>
      <c r="N37" s="23" t="str">
        <f>IF(Table1[[#This Row],[Data Type]]="set","Y","N")</f>
        <v>N</v>
      </c>
      <c r="O37" s="23" t="str">
        <f>IF(Table1[[#This Row],[Values=No Data '[Y/N']]]="Y","values=NoData","")</f>
        <v/>
      </c>
      <c r="P37" s="23" t="str">
        <f>Table1[[#This Row],[Data Type]]&amp;"="&amp;Table1[[#This Row],[Name]]&amp;"    rng="&amp;Table1[[#This Row],[Range]]&amp;"    "&amp;Table1[[#This Row],[Values gams input]]&amp;"    "&amp;Table1[[#This Row],[dim input gams]]&amp;"    "&amp;Table1[[#This Row],[cdim gams input]]&amp;"     "&amp;Table1[[#This Row],[rdim gams input]]&amp;"     "&amp;Table1[[#This Row],[ignore rows gams input]]&amp;"     "&amp;Table1[[#This Row],[ignore colums gams input]]</f>
        <v>par=Chem_T    rng=Chem_Props!A2:Y6        dim=2    cdim= 1     rdim= 1          ignoreColumns= H,J</v>
      </c>
    </row>
    <row r="38" x14ac:dyDescent="0.25">
      <c r="A38" s="21" t="s">
        <v>185</v>
      </c>
      <c r="B38" s="22" t="s">
        <v>533</v>
      </c>
      <c r="C38" s="22" t="s">
        <v>535</v>
      </c>
      <c r="D38" s="22">
        <v>2</v>
      </c>
      <c r="E38" s="22" t="str">
        <f>IF(Table1[[#This Row],[Dim]]=0,"","dim="&amp;Table1[[#This Row],[Dim]])</f>
        <v>dim=2</v>
      </c>
      <c r="F38" s="22">
        <v>1</v>
      </c>
      <c r="G38" s="22">
        <v>1</v>
      </c>
      <c r="H38" s="25" t="str">
        <f>IF(Table1[[#This Row],[Cdim]]=NOT(Table1[[#This Row],[Cdim]]=0),"","cdim= "&amp;Table1[[#This Row],[Cdim]])</f>
        <v>cdim= 1</v>
      </c>
      <c r="I38" s="25" t="str">
        <f>IF(Table1[[#This Row],[Rdim]]=NOT(Table1[[#This Row],[Rdim]]=0),"","rdim= "&amp;Table1[[#This Row],[Rdim]])</f>
        <v>rdim= 1</v>
      </c>
      <c r="J38" s="22"/>
      <c r="K38" s="22" t="s">
        <v>942</v>
      </c>
      <c r="L38" s="25" t="str">
        <f>IF(Table1[[#This Row],[ignoreRows]]=NOT(Table1[[#This Row],[ignoreRows]]=0),"","ignoreRows= "&amp;Table1[[#This Row],[ignoreRows]])</f>
        <v/>
      </c>
      <c r="M38" s="25" t="str">
        <f>IF(Table1[[#This Row],[ignoreColumns]]=NOT(Table1[[#This Row],[ignoreColumns]]=0),"","ignoreColumns= "&amp;Table1[[#This Row],[ignoreColumns]])</f>
        <v>ignoreColumns= H,J</v>
      </c>
      <c r="N38" s="43" t="s">
        <v>228</v>
      </c>
      <c r="O38" s="44" t="str">
        <f>IF(Table1[[#This Row],[Values=No Data '[Y/N']]]="Y","values=NoData","")</f>
        <v/>
      </c>
      <c r="P38" s="23" t="str">
        <f>Table1[[#This Row],[Data Type]]&amp;"="&amp;Table1[[#This Row],[Name]]&amp;"    rng="&amp;Table1[[#This Row],[Range]]&amp;"    "&amp;Table1[[#This Row],[Values gams input]]&amp;"    "&amp;Table1[[#This Row],[dim input gams]]&amp;"    "&amp;Table1[[#This Row],[cdim gams input]]&amp;"     "&amp;Table1[[#This Row],[rdim gams input]]&amp;"     "&amp;Table1[[#This Row],[ignore rows gams input]]&amp;"     "&amp;Table1[[#This Row],[ignore colums gams input]]</f>
        <v>par=Chem_T_sld    rng=Solid_Props!A2:W6        dim=2    cdim= 1     rdim= 1          ignoreColumns= H,J</v>
      </c>
    </row>
    <row r="39" x14ac:dyDescent="0.25">
      <c r="A39" s="21" t="s">
        <v>185</v>
      </c>
      <c r="B39" s="22" t="s">
        <v>534</v>
      </c>
      <c r="C39" s="22" t="s">
        <v>536</v>
      </c>
      <c r="D39" s="22">
        <v>2</v>
      </c>
      <c r="E39" s="22" t="str">
        <f>IF(Table1[[#This Row],[Dim]]=0,"","dim="&amp;Table1[[#This Row],[Dim]])</f>
        <v>dim=2</v>
      </c>
      <c r="F39" s="22">
        <v>1</v>
      </c>
      <c r="G39" s="22">
        <v>1</v>
      </c>
      <c r="H39" s="25" t="str">
        <f>IF(Table1[[#This Row],[Cdim]]=NOT(Table1[[#This Row],[Cdim]]=0),"","cdim= "&amp;Table1[[#This Row],[Cdim]])</f>
        <v>cdim= 1</v>
      </c>
      <c r="I39" s="25" t="str">
        <f>IF(Table1[[#This Row],[Rdim]]=NOT(Table1[[#This Row],[Rdim]]=0),"","rdim= "&amp;Table1[[#This Row],[Rdim]])</f>
        <v>rdim= 1</v>
      </c>
      <c r="J39" s="22"/>
      <c r="K39" s="22" t="s">
        <v>942</v>
      </c>
      <c r="L39" s="25" t="str">
        <f>IF(Table1[[#This Row],[ignoreRows]]=NOT(Table1[[#This Row],[ignoreRows]]=0),"","ignoreRows= "&amp;Table1[[#This Row],[ignoreRows]])</f>
        <v/>
      </c>
      <c r="M39" s="25" t="str">
        <f>IF(Table1[[#This Row],[ignoreColumns]]=NOT(Table1[[#This Row],[ignoreColumns]]=0),"","ignoreColumns= "&amp;Table1[[#This Row],[ignoreColumns]])</f>
        <v>ignoreColumns= H,J</v>
      </c>
      <c r="N39" s="43" t="s">
        <v>228</v>
      </c>
      <c r="O39" s="44" t="str">
        <f>IF(Table1[[#This Row],[Values=No Data '[Y/N']]]="Y","values=NoData","")</f>
        <v/>
      </c>
      <c r="P39" s="23" t="str">
        <f>Table1[[#This Row],[Data Type]]&amp;"="&amp;Table1[[#This Row],[Name]]&amp;"    rng="&amp;Table1[[#This Row],[Range]]&amp;"    "&amp;Table1[[#This Row],[Values gams input]]&amp;"    "&amp;Table1[[#This Row],[dim input gams]]&amp;"    "&amp;Table1[[#This Row],[cdim gams input]]&amp;"     "&amp;Table1[[#This Row],[rdim gams input]]&amp;"     "&amp;Table1[[#This Row],[ignore rows gams input]]&amp;"     "&amp;Table1[[#This Row],[ignore colums gams input]]</f>
        <v>par=Chem_T_sol    rng=Sol_Props!A2:W6        dim=2    cdim= 1     rdim= 1          ignoreColumns= H,J</v>
      </c>
    </row>
    <row r="40" x14ac:dyDescent="0.25">
      <c r="A40" s="21" t="s">
        <v>185</v>
      </c>
      <c r="B40" s="22" t="s">
        <v>616</v>
      </c>
      <c r="C40" s="22" t="s">
        <v>618</v>
      </c>
      <c r="D40" s="22">
        <v>2</v>
      </c>
      <c r="E40" s="22" t="str">
        <f>IF(Table1[[#This Row],[Dim]]=0,"","dim="&amp;Table1[[#This Row],[Dim]])</f>
        <v>dim=2</v>
      </c>
      <c r="F40" s="22">
        <v>1</v>
      </c>
      <c r="G40" s="22">
        <v>1</v>
      </c>
      <c r="H40" s="25" t="str">
        <f>IF(Table1[[#This Row],[Cdim]]=NOT(Table1[[#This Row],[Cdim]]=0),"","cdim= "&amp;Table1[[#This Row],[Cdim]])</f>
        <v>cdim= 1</v>
      </c>
      <c r="I40" s="25" t="str">
        <f>IF(Table1[[#This Row],[Rdim]]=NOT(Table1[[#This Row],[Rdim]]=0),"","rdim= "&amp;Table1[[#This Row],[Rdim]])</f>
        <v>rdim= 1</v>
      </c>
      <c r="J40" s="22"/>
      <c r="K40" s="22"/>
      <c r="L40" s="25" t="str">
        <f>IF(Table1[[#This Row],[ignoreRows]]=NOT(Table1[[#This Row],[ignoreRows]]=0),"","ignoreRows= "&amp;Table1[[#This Row],[ignoreRows]])</f>
        <v/>
      </c>
      <c r="M40" s="25" t="str">
        <f>IF(Table1[[#This Row],[ignoreColumns]]=NOT(Table1[[#This Row],[ignoreColumns]]=0),"","ignoreColumns= "&amp;Table1[[#This Row],[ignoreColumns]])</f>
        <v/>
      </c>
      <c r="N40" s="44" t="str">
        <f>IF(Table1[[#This Row],[Data Type]]="set","Y","N")</f>
        <v>N</v>
      </c>
      <c r="O40" s="44" t="str">
        <f>IF(Table1[[#This Row],[Values=No Data '[Y/N']]]="Y","values=NoData","")</f>
        <v/>
      </c>
      <c r="P40" s="23" t="str">
        <f>Table1[[#This Row],[Data Type]]&amp;"="&amp;Table1[[#This Row],[Name]]&amp;"    rng="&amp;Table1[[#This Row],[Range]]&amp;"    "&amp;Table1[[#This Row],[Values gams input]]&amp;"    "&amp;Table1[[#This Row],[dim input gams]]&amp;"    "&amp;Table1[[#This Row],[cdim gams input]]&amp;"     "&amp;Table1[[#This Row],[rdim gams input]]&amp;"     "&amp;Table1[[#This Row],[ignore rows gams input]]&amp;"     "&amp;Table1[[#This Row],[ignore colums gams input]]</f>
        <v>par=dkS_Constr_T    rng=Outlet_Spec!A1:C5        dim=2    cdim= 1     rdim= 1          </v>
      </c>
    </row>
    <row r="41" x14ac:dyDescent="0.25">
      <c r="A41" s="21" t="s">
        <v>185</v>
      </c>
      <c r="B41" s="22" t="s">
        <v>617</v>
      </c>
      <c r="C41" s="22" t="s">
        <v>619</v>
      </c>
      <c r="D41" s="22"/>
      <c r="E41" s="22" t="str">
        <f>IF(Table1[[#This Row],[Dim]]=0,"","dim="&amp;Table1[[#This Row],[Dim]])</f>
        <v/>
      </c>
      <c r="F41" s="22"/>
      <c r="G41" s="22"/>
      <c r="H41" s="25" t="str">
        <f>IF(Table1[[#This Row],[Cdim]]=NOT(Table1[[#This Row],[Cdim]]=0),"","cdim= "&amp;Table1[[#This Row],[Cdim]])</f>
        <v/>
      </c>
      <c r="I41" s="25" t="str">
        <f>IF(Table1[[#This Row],[Rdim]]=NOT(Table1[[#This Row],[Rdim]]=0),"","rdim= "&amp;Table1[[#This Row],[Rdim]])</f>
        <v/>
      </c>
      <c r="J41" s="22"/>
      <c r="K41" s="22"/>
      <c r="L41" s="25" t="str">
        <f>IF(Table1[[#This Row],[ignoreRows]]=NOT(Table1[[#This Row],[ignoreRows]]=0),"","ignoreRows= "&amp;Table1[[#This Row],[ignoreRows]])</f>
        <v/>
      </c>
      <c r="M41" s="25" t="str">
        <f>IF(Table1[[#This Row],[ignoreColumns]]=NOT(Table1[[#This Row],[ignoreColumns]]=0),"","ignoreColumns= "&amp;Table1[[#This Row],[ignoreColumns]])</f>
        <v/>
      </c>
      <c r="N41" s="44" t="str">
        <f>IF(Table1[[#This Row],[Data Type]]="set","Y","N")</f>
        <v>N</v>
      </c>
      <c r="O41" s="44" t="str">
        <f>IF(Table1[[#This Row],[Values=No Data '[Y/N']]]="Y","values=NoData","")</f>
        <v/>
      </c>
      <c r="P41" s="23" t="str">
        <f>Table1[[#This Row],[Data Type]]&amp;"="&amp;Table1[[#This Row],[Name]]&amp;"    rng="&amp;Table1[[#This Row],[Range]]&amp;"    "&amp;Table1[[#This Row],[Values gams input]]&amp;"    "&amp;Table1[[#This Row],[dim input gams]]&amp;"    "&amp;Table1[[#This Row],[cdim gams input]]&amp;"     "&amp;Table1[[#This Row],[rdim gams input]]&amp;"     "&amp;Table1[[#This Row],[ignore rows gams input]]&amp;"     "&amp;Table1[[#This Row],[ignore colums gams input]]</f>
        <v>par=dkO_Constr_T    rng=Outlet_Spec!F1:H7                           </v>
      </c>
    </row>
    <row r="42" x14ac:dyDescent="0.25">
      <c r="A42" s="21" t="s">
        <v>185</v>
      </c>
      <c r="B42" s="22" t="s">
        <v>596</v>
      </c>
      <c r="C42" s="22" t="s">
        <v>597</v>
      </c>
      <c r="D42" s="22">
        <v>2</v>
      </c>
      <c r="E42" s="22" t="str">
        <f>IF(Table1[[#This Row],[Dim]]=0,"","dim="&amp;Table1[[#This Row],[Dim]])</f>
        <v>dim=2</v>
      </c>
      <c r="F42" s="22">
        <v>1</v>
      </c>
      <c r="G42" s="22">
        <v>1</v>
      </c>
      <c r="H42" s="25" t="str">
        <f>IF(Table1[[#This Row],[Cdim]]=NOT(Table1[[#This Row],[Cdim]]=0),"","cdim= "&amp;Table1[[#This Row],[Cdim]])</f>
        <v>cdim= 1</v>
      </c>
      <c r="I42" s="25" t="str">
        <f>IF(Table1[[#This Row],[Rdim]]=NOT(Table1[[#This Row],[Rdim]]=0),"","rdim= "&amp;Table1[[#This Row],[Rdim]])</f>
        <v>rdim= 1</v>
      </c>
      <c r="J42" s="22"/>
      <c r="K42" s="22"/>
      <c r="L42" s="25" t="str">
        <f>IF(Table1[[#This Row],[ignoreRows]]=NOT(Table1[[#This Row],[ignoreRows]]=0),"","ignoreRows= "&amp;Table1[[#This Row],[ignoreRows]])</f>
        <v/>
      </c>
      <c r="M42" s="25" t="str">
        <f>IF(Table1[[#This Row],[ignoreColumns]]=NOT(Table1[[#This Row],[ignoreColumns]]=0),"","ignoreColumns= "&amp;Table1[[#This Row],[ignoreColumns]])</f>
        <v/>
      </c>
      <c r="N42" s="44" t="str">
        <f>IF(Table1[[#This Row],[Data Type]]="set","Y","N")</f>
        <v>N</v>
      </c>
      <c r="O42" s="44" t="str">
        <f>IF(Table1[[#This Row],[Values=No Data '[Y/N']]]="Y","values=NoData","")</f>
        <v/>
      </c>
      <c r="P42" s="23" t="str">
        <f>Table1[[#This Row],[Data Type]]&amp;"="&amp;Table1[[#This Row],[Name]]&amp;"    rng="&amp;Table1[[#This Row],[Range]]&amp;"    "&amp;Table1[[#This Row],[Values gams input]]&amp;"    "&amp;Table1[[#This Row],[dim input gams]]&amp;"    "&amp;Table1[[#This Row],[cdim gams input]]&amp;"     "&amp;Table1[[#This Row],[rdim gams input]]&amp;"     "&amp;Table1[[#This Row],[ignore rows gams input]]&amp;"     "&amp;Table1[[#This Row],[ignore colums gams input]]</f>
        <v>par=CF_T_bounds    rng=ConFac_Units!A1:C12        dim=2    cdim= 1     rdim= 1          </v>
      </c>
    </row>
    <row r="43" x14ac:dyDescent="0.25">
      <c r="A43" s="21" t="s">
        <v>185</v>
      </c>
      <c r="B43" s="22" t="s">
        <v>208</v>
      </c>
      <c r="C43" s="22" t="s">
        <v>209</v>
      </c>
      <c r="D43" s="22"/>
      <c r="E43" s="22" t="str">
        <f>IF(Table1[[#This Row],[Dim]]=0,"","dim="&amp;Table1[[#This Row],[Dim]])</f>
        <v/>
      </c>
      <c r="F43" s="22"/>
      <c r="G43" s="22">
        <v>1</v>
      </c>
      <c r="H43" s="22" t="str">
        <f>IF(Table1[[#This Row],[Cdim]]=NOT(Table1[[#This Row],[Cdim]]=0),"","cdim= "&amp;Table1[[#This Row],[Cdim]])</f>
        <v/>
      </c>
      <c r="I43" s="22" t="str">
        <f>IF(Table1[[#This Row],[Rdim]]=NOT(Table1[[#This Row],[Rdim]]=0),"","rdim= "&amp;Table1[[#This Row],[Rdim]])</f>
        <v>rdim= 1</v>
      </c>
      <c r="J43" s="22"/>
      <c r="K43" s="22"/>
      <c r="L43" s="22" t="str">
        <f>IF(Table1[[#This Row],[ignoreRows]]=NOT(Table1[[#This Row],[ignoreRows]]=0),"","ignoreRows= "&amp;Table1[[#This Row],[ignoreRows]])</f>
        <v/>
      </c>
      <c r="M43" s="22" t="str">
        <f>IF(Table1[[#This Row],[ignoreColumns]]=NOT(Table1[[#This Row],[ignoreColumns]]=0),"","ignoreColumns= "&amp;Table1[[#This Row],[ignoreColumns]])</f>
        <v/>
      </c>
      <c r="N43" s="23" t="str">
        <f>IF(Table1[[#This Row],[Data Type]]="set","Y","N")</f>
        <v>N</v>
      </c>
      <c r="O43" s="23" t="str">
        <f>IF(Table1[[#This Row],[Values=No Data '[Y/N']]]="Y","values=NoData","")</f>
        <v/>
      </c>
      <c r="P43" s="23" t="str">
        <f>Table1[[#This Row],[Data Type]]&amp;"="&amp;Table1[[#This Row],[Name]]&amp;"    rng="&amp;Table1[[#This Row],[Range]]&amp;"    "&amp;Table1[[#This Row],[Values gams input]]&amp;"    "&amp;Table1[[#This Row],[dim input gams]]&amp;"    "&amp;Table1[[#This Row],[cdim gams input]]&amp;"     "&amp;Table1[[#This Row],[rdim gams input]]&amp;"     "&amp;Table1[[#This Row],[ignore rows gams input]]&amp;"     "&amp;Table1[[#This Row],[ignore colums gams input]]</f>
        <v>par=Flow    rng=Chem_Props!A1:B1                 rdim= 1          </v>
      </c>
    </row>
    <row r="44" x14ac:dyDescent="0.25">
      <c r="A44" s="21" t="s">
        <v>185</v>
      </c>
      <c r="B44" s="22" t="s">
        <v>210</v>
      </c>
      <c r="C44" s="22" t="s">
        <v>211</v>
      </c>
      <c r="D44" s="22"/>
      <c r="E44" s="22" t="str">
        <f>IF(Table1[[#This Row],[Dim]]=0,"","dim="&amp;Table1[[#This Row],[Dim]])</f>
        <v/>
      </c>
      <c r="F44" s="22"/>
      <c r="G44" s="22"/>
      <c r="H44" s="22" t="str">
        <f>IF(Table1[[#This Row],[Cdim]]=NOT(Table1[[#This Row],[Cdim]]=0),"","cdim= "&amp;Table1[[#This Row],[Cdim]])</f>
        <v/>
      </c>
      <c r="I44" s="22" t="str">
        <f>IF(Table1[[#This Row],[Rdim]]=NOT(Table1[[#This Row],[Rdim]]=0),"","rdim= "&amp;Table1[[#This Row],[Rdim]])</f>
        <v/>
      </c>
      <c r="J44" s="22"/>
      <c r="K44" s="22"/>
      <c r="L44" s="22" t="str">
        <f>IF(Table1[[#This Row],[ignoreRows]]=NOT(Table1[[#This Row],[ignoreRows]]=0),"","ignoreRows= "&amp;Table1[[#This Row],[ignoreRows]])</f>
        <v/>
      </c>
      <c r="M44" s="22" t="str">
        <f>IF(Table1[[#This Row],[ignoreColumns]]=NOT(Table1[[#This Row],[ignoreColumns]]=0),"","ignoreColumns= "&amp;Table1[[#This Row],[ignoreColumns]])</f>
        <v/>
      </c>
      <c r="N44" s="23" t="str">
        <f>IF(Table1[[#This Row],[Data Type]]="set","Y","N")</f>
        <v>N</v>
      </c>
      <c r="O44" s="23" t="str">
        <f>IF(Table1[[#This Row],[Values=No Data '[Y/N']]]="Y","values=NoData","")</f>
        <v/>
      </c>
      <c r="P44" s="23" t="str">
        <f>Table1[[#This Row],[Data Type]]&amp;"="&amp;Table1[[#This Row],[Name]]&amp;"    rng="&amp;Table1[[#This Row],[Range]]&amp;"    "&amp;Table1[[#This Row],[Values gams input]]&amp;"    "&amp;Table1[[#This Row],[dim input gams]]&amp;"    "&amp;Table1[[#This Row],[cdim gams input]]&amp;"     "&amp;Table1[[#This Row],[rdim gams input]]&amp;"     "&amp;Table1[[#This Row],[ignore rows gams input]]&amp;"     "&amp;Table1[[#This Row],[ignore colums gams input]]</f>
        <v>par=Lbr    rng=Lbr_data!a1:f40                           </v>
      </c>
    </row>
    <row r="45" x14ac:dyDescent="0.25">
      <c r="A45" s="21" t="s">
        <v>185</v>
      </c>
      <c r="B45" s="22" t="s">
        <v>212</v>
      </c>
      <c r="C45" s="22" t="s">
        <v>213</v>
      </c>
      <c r="D45" s="22">
        <v>2</v>
      </c>
      <c r="E45" s="22" t="str">
        <f>IF(Table1[[#This Row],[Dim]]=0,"","dim="&amp;Table1[[#This Row],[Dim]])</f>
        <v>dim=2</v>
      </c>
      <c r="F45" s="22">
        <v>1</v>
      </c>
      <c r="G45" s="22">
        <v>1</v>
      </c>
      <c r="H45" s="22" t="str">
        <f>IF(Table1[[#This Row],[Cdim]]=NOT(Table1[[#This Row],[Cdim]]=0),"","cdim= "&amp;Table1[[#This Row],[Cdim]])</f>
        <v>cdim= 1</v>
      </c>
      <c r="I45" s="22" t="str">
        <f>IF(Table1[[#This Row],[Rdim]]=NOT(Table1[[#This Row],[Rdim]]=0),"","rdim= "&amp;Table1[[#This Row],[Rdim]])</f>
        <v>rdim= 1</v>
      </c>
      <c r="J45" s="22"/>
      <c r="K45" s="22"/>
      <c r="L45" s="22" t="str">
        <f>IF(Table1[[#This Row],[ignoreRows]]=NOT(Table1[[#This Row],[ignoreRows]]=0),"","ignoreRows= "&amp;Table1[[#This Row],[ignoreRows]])</f>
        <v/>
      </c>
      <c r="M45" s="22" t="str">
        <f>IF(Table1[[#This Row],[ignoreColumns]]=NOT(Table1[[#This Row],[ignoreColumns]]=0),"","ignoreColumns= "&amp;Table1[[#This Row],[ignoreColumns]])</f>
        <v/>
      </c>
      <c r="N45" s="23" t="str">
        <f>IF(Table1[[#This Row],[Data Type]]="set","Y","N")</f>
        <v>N</v>
      </c>
      <c r="O45" s="23" t="str">
        <f>IF(Table1[[#This Row],[Values=No Data '[Y/N']]]="Y","values=NoData","")</f>
        <v/>
      </c>
      <c r="P45" s="23" t="str">
        <f>Table1[[#This Row],[Data Type]]&amp;"="&amp;Table1[[#This Row],[Name]]&amp;"    rng="&amp;Table1[[#This Row],[Range]]&amp;"    "&amp;Table1[[#This Row],[Values gams input]]&amp;"    "&amp;Table1[[#This Row],[dim input gams]]&amp;"    "&amp;Table1[[#This Row],[cdim gams input]]&amp;"     "&amp;Table1[[#This Row],[rdim gams input]]&amp;"     "&amp;Table1[[#This Row],[ignore rows gams input]]&amp;"     "&amp;Table1[[#This Row],[ignore colums gams input]]</f>
        <v>par=Con_mat    rng=Con_mat!a1:aq80        dim=2    cdim= 1     rdim= 1          </v>
      </c>
    </row>
    <row r="46" x14ac:dyDescent="0.25">
      <c r="A46" s="21" t="s">
        <v>185</v>
      </c>
      <c r="B46" s="22" t="s">
        <v>214</v>
      </c>
      <c r="C46" s="22" t="s">
        <v>940</v>
      </c>
      <c r="D46" s="22">
        <v>2</v>
      </c>
      <c r="E46" s="22" t="str">
        <f>IF(Table1[[#This Row],[Dim]]=0,"","dim="&amp;Table1[[#This Row],[Dim]])</f>
        <v>dim=2</v>
      </c>
      <c r="F46" s="22">
        <v>1</v>
      </c>
      <c r="G46" s="22">
        <v>1</v>
      </c>
      <c r="H46" s="22" t="str">
        <f>IF(Table1[[#This Row],[Cdim]]=NOT(Table1[[#This Row],[Cdim]]=0),"","cdim= "&amp;Table1[[#This Row],[Cdim]])</f>
        <v>cdim= 1</v>
      </c>
      <c r="I46" s="22" t="str">
        <f>IF(Table1[[#This Row],[Rdim]]=NOT(Table1[[#This Row],[Rdim]]=0),"","rdim= "&amp;Table1[[#This Row],[Rdim]])</f>
        <v>rdim= 1</v>
      </c>
      <c r="J46" s="22"/>
      <c r="K46" s="22"/>
      <c r="L46" s="22" t="str">
        <f>IF(Table1[[#This Row],[ignoreRows]]=NOT(Table1[[#This Row],[ignoreRows]]=0),"","ignoreRows= "&amp;Table1[[#This Row],[ignoreRows]])</f>
        <v/>
      </c>
      <c r="M46" s="22" t="str">
        <f>IF(Table1[[#This Row],[ignoreColumns]]=NOT(Table1[[#This Row],[ignoreColumns]]=0),"","ignoreColumns= "&amp;Table1[[#This Row],[ignoreColumns]])</f>
        <v/>
      </c>
      <c r="N46" s="23" t="str">
        <f>IF(Table1[[#This Row],[Data Type]]="set","Y","N")</f>
        <v>N</v>
      </c>
      <c r="O46" s="23" t="str">
        <f>IF(Table1[[#This Row],[Values=No Data '[Y/N']]]="Y","values=NoData","")</f>
        <v/>
      </c>
      <c r="P46" s="23" t="str">
        <f>Table1[[#This Row],[Data Type]]&amp;"="&amp;Table1[[#This Row],[Name]]&amp;"    rng="&amp;Table1[[#This Row],[Range]]&amp;"    "&amp;Table1[[#This Row],[Values gams input]]&amp;"    "&amp;Table1[[#This Row],[dim input gams]]&amp;"    "&amp;Table1[[#This Row],[cdim gams input]]&amp;"     "&amp;Table1[[#This Row],[rdim gams input]]&amp;"     "&amp;Table1[[#This Row],[ignore rows gams input]]&amp;"     "&amp;Table1[[#This Row],[ignore colums gams input]]</f>
        <v>par=CMSTR    rng=CMSTR_mat!a1:bq80        dim=2    cdim= 1     rdim= 1          </v>
      </c>
    </row>
    <row r="47" x14ac:dyDescent="0.25">
      <c r="A47" s="21" t="s">
        <v>185</v>
      </c>
      <c r="B47" s="22" t="s">
        <v>215</v>
      </c>
      <c r="C47" s="22" t="s">
        <v>941</v>
      </c>
      <c r="D47" s="22">
        <v>2</v>
      </c>
      <c r="E47" s="22" t="str">
        <f>IF(Table1[[#This Row],[Dim]]=0,"","dim="&amp;Table1[[#This Row],[Dim]])</f>
        <v>dim=2</v>
      </c>
      <c r="F47" s="22">
        <v>1</v>
      </c>
      <c r="G47" s="22">
        <v>1</v>
      </c>
      <c r="H47" s="22" t="str">
        <f>IF(Table1[[#This Row],[Cdim]]=NOT(Table1[[#This Row],[Cdim]]=0),"","cdim= "&amp;Table1[[#This Row],[Cdim]])</f>
        <v>cdim= 1</v>
      </c>
      <c r="I47" s="22" t="str">
        <f>IF(Table1[[#This Row],[Rdim]]=NOT(Table1[[#This Row],[Rdim]]=0),"","rdim= "&amp;Table1[[#This Row],[Rdim]])</f>
        <v>rdim= 1</v>
      </c>
      <c r="J47" s="22"/>
      <c r="K47" s="22"/>
      <c r="L47" s="22" t="str">
        <f>IF(Table1[[#This Row],[ignoreRows]]=NOT(Table1[[#This Row],[ignoreRows]]=0),"","ignoreRows= "&amp;Table1[[#This Row],[ignoreRows]])</f>
        <v/>
      </c>
      <c r="M47" s="22" t="str">
        <f>IF(Table1[[#This Row],[ignoreColumns]]=NOT(Table1[[#This Row],[ignoreColumns]]=0),"","ignoreColumns= "&amp;Table1[[#This Row],[ignoreColumns]])</f>
        <v/>
      </c>
      <c r="N47" s="23" t="str">
        <f>IF(Table1[[#This Row],[Data Type]]="set","Y","N")</f>
        <v>N</v>
      </c>
      <c r="O47" s="23" t="str">
        <f>IF(Table1[[#This Row],[Values=No Data '[Y/N']]]="Y","values=NoData","")</f>
        <v/>
      </c>
      <c r="P47" s="23" t="str">
        <f>Table1[[#This Row],[Data Type]]&amp;"="&amp;Table1[[#This Row],[Name]]&amp;"    rng="&amp;Table1[[#This Row],[Range]]&amp;"    "&amp;Table1[[#This Row],[Values gams input]]&amp;"    "&amp;Table1[[#This Row],[dim input gams]]&amp;"    "&amp;Table1[[#This Row],[cdim gams input]]&amp;"     "&amp;Table1[[#This Row],[rdim gams input]]&amp;"     "&amp;Table1[[#This Row],[ignore rows gams input]]&amp;"     "&amp;Table1[[#This Row],[ignore colums gams input]]</f>
        <v>par=CMUNT    rng=CMUNT_mat!a1:bq80        dim=2    cdim= 1     rdim= 1          </v>
      </c>
    </row>
    <row r="48" x14ac:dyDescent="0.25">
      <c r="A48" s="21" t="s">
        <v>144</v>
      </c>
      <c r="B48" s="22" t="s">
        <v>216</v>
      </c>
      <c r="C48" s="22" t="s">
        <v>622</v>
      </c>
      <c r="D48" s="22"/>
      <c r="E48" s="22" t="str">
        <f>IF(Table1[[#This Row],[Dim]]=0,"","dim="&amp;Table1[[#This Row],[Dim]])</f>
        <v/>
      </c>
      <c r="F48" s="22">
        <v>1</v>
      </c>
      <c r="G48" s="22"/>
      <c r="H48" s="22" t="str">
        <f>IF(Table1[[#This Row],[Cdim]]=NOT(Table1[[#This Row],[Cdim]]=0),"","cdim= "&amp;Table1[[#This Row],[Cdim]])</f>
        <v>cdim= 1</v>
      </c>
      <c r="I48" s="22" t="str">
        <f>IF(Table1[[#This Row],[Rdim]]=NOT(Table1[[#This Row],[Rdim]]=0),"","rdim= "&amp;Table1[[#This Row],[Rdim]])</f>
        <v/>
      </c>
      <c r="J48" s="22"/>
      <c r="K48" s="22"/>
      <c r="L48" s="22" t="str">
        <f>IF(Table1[[#This Row],[ignoreRows]]=NOT(Table1[[#This Row],[ignoreRows]]=0),"","ignoreRows= "&amp;Table1[[#This Row],[ignoreRows]])</f>
        <v/>
      </c>
      <c r="M48" s="22" t="str">
        <f>IF(Table1[[#This Row],[ignoreColumns]]=NOT(Table1[[#This Row],[ignoreColumns]]=0),"","ignoreColumns= "&amp;Table1[[#This Row],[ignoreColumns]])</f>
        <v/>
      </c>
      <c r="N48" s="23" t="str">
        <f>IF(Table1[[#This Row],[Data Type]]="set","Y","N")</f>
        <v>Y</v>
      </c>
      <c r="O48" s="23" t="str">
        <f>IF(Table1[[#This Row],[Values=No Data '[Y/N']]]="Y","values=NoData","")</f>
        <v>values=NoData</v>
      </c>
      <c r="P48" s="23" t="str">
        <f>Table1[[#This Row],[Data Type]]&amp;"="&amp;Table1[[#This Row],[Name]]&amp;"    rng="&amp;Table1[[#This Row],[Range]]&amp;"    "&amp;Table1[[#This Row],[Values gams input]]&amp;"    "&amp;Table1[[#This Row],[dim input gams]]&amp;"    "&amp;Table1[[#This Row],[cdim gams input]]&amp;"     "&amp;Table1[[#This Row],[rdim gams input]]&amp;"     "&amp;Table1[[#This Row],[ignore rows gams input]]&amp;"     "&amp;Table1[[#This Row],[ignore colums gams input]]</f>
        <v>set=i    rng=Con_mat!B1:AC1    values=NoData        cdim= 1               </v>
      </c>
    </row>
    <row r="49" x14ac:dyDescent="0.25">
      <c r="A49" s="21" t="s">
        <v>144</v>
      </c>
      <c r="B49" s="22" t="s">
        <v>218</v>
      </c>
      <c r="C49" s="22" t="s">
        <v>622</v>
      </c>
      <c r="D49" s="22"/>
      <c r="E49" s="22" t="str">
        <f>IF(Table1[[#This Row],[Dim]]=0,"","dim="&amp;Table1[[#This Row],[Dim]])</f>
        <v/>
      </c>
      <c r="F49" s="22">
        <v>1</v>
      </c>
      <c r="G49" s="22"/>
      <c r="H49" s="22" t="str">
        <f>IF(Table1[[#This Row],[Cdim]]=NOT(Table1[[#This Row],[Cdim]]=0),"","cdim= "&amp;Table1[[#This Row],[Cdim]])</f>
        <v>cdim= 1</v>
      </c>
      <c r="I49" s="22" t="str">
        <f>IF(Table1[[#This Row],[Rdim]]=NOT(Table1[[#This Row],[Rdim]]=0),"","rdim= "&amp;Table1[[#This Row],[Rdim]])</f>
        <v/>
      </c>
      <c r="J49" s="22"/>
      <c r="K49" s="22" t="s">
        <v>623</v>
      </c>
      <c r="L49" s="22" t="str">
        <f>IF(Table1[[#This Row],[ignoreRows]]=NOT(Table1[[#This Row],[ignoreRows]]=0),"","ignoreRows= "&amp;Table1[[#This Row],[ignoreRows]])</f>
        <v/>
      </c>
      <c r="M49" s="22" t="str">
        <f>IF(Table1[[#This Row],[ignoreColumns]]=NOT(Table1[[#This Row],[ignoreColumns]]=0),"","ignoreColumns= "&amp;Table1[[#This Row],[ignoreColumns]])</f>
        <v>ignoreColumns= B,G,I,J,N,P,Q,U,V,W,Z,AB,AC</v>
      </c>
      <c r="N49" s="23" t="str">
        <f>IF(Table1[[#This Row],[Data Type]]="set","Y","N")</f>
        <v>Y</v>
      </c>
      <c r="O49" s="23" t="str">
        <f>IF(Table1[[#This Row],[Values=No Data '[Y/N']]]="Y","values=NoData","")</f>
        <v>values=NoData</v>
      </c>
      <c r="P49" s="23" t="str">
        <f>Table1[[#This Row],[Data Type]]&amp;"="&amp;Table1[[#This Row],[Name]]&amp;"    rng="&amp;Table1[[#This Row],[Range]]&amp;"    "&amp;Table1[[#This Row],[Values gams input]]&amp;"    "&amp;Table1[[#This Row],[dim input gams]]&amp;"    "&amp;Table1[[#This Row],[cdim gams input]]&amp;"     "&amp;Table1[[#This Row],[rdim gams input]]&amp;"     "&amp;Table1[[#This Row],[ignore rows gams input]]&amp;"     "&amp;Table1[[#This Row],[ignore colums gams input]]</f>
        <v>set=i1    rng=Con_mat!B1:AC1    values=NoData        cdim= 1               ignoreColumns= B,G,I,J,N,P,Q,U,V,W,Z,AB,AC</v>
      </c>
    </row>
    <row r="50" x14ac:dyDescent="0.25">
      <c r="A50" s="21" t="s">
        <v>144</v>
      </c>
      <c r="B50" s="22" t="s">
        <v>521</v>
      </c>
      <c r="C50" s="22" t="s">
        <v>622</v>
      </c>
      <c r="D50" s="22"/>
      <c r="E50" s="22" t="str">
        <f>IF(Table1[[#This Row],[Dim]]=0,"","dim="&amp;Table1[[#This Row],[Dim]])</f>
        <v/>
      </c>
      <c r="F50" s="22">
        <v>1</v>
      </c>
      <c r="G50" s="22"/>
      <c r="H50" s="25" t="str">
        <f>IF(Table1[[#This Row],[Cdim]]=NOT(Table1[[#This Row],[Cdim]]=0),"","cdim= "&amp;Table1[[#This Row],[Cdim]])</f>
        <v>cdim= 1</v>
      </c>
      <c r="I50" s="25" t="str">
        <f>IF(Table1[[#This Row],[Rdim]]=NOT(Table1[[#This Row],[Rdim]]=0),"","rdim= "&amp;Table1[[#This Row],[Rdim]])</f>
        <v/>
      </c>
      <c r="J50" s="22"/>
      <c r="K50" s="22" t="s">
        <v>624</v>
      </c>
      <c r="L50" s="25" t="str">
        <f>IF(Table1[[#This Row],[ignoreRows]]=NOT(Table1[[#This Row],[ignoreRows]]=0),"","ignoreRows= "&amp;Table1[[#This Row],[ignoreRows]])</f>
        <v/>
      </c>
      <c r="M50" s="25" t="str">
        <f>IF(Table1[[#This Row],[ignoreColumns]]=NOT(Table1[[#This Row],[ignoreColumns]]=0),"","ignoreColumns= "&amp;Table1[[#This Row],[ignoreColumns]])</f>
        <v>ignoreColumns= B,C,E,F,G,H,I,J,K,M,N,P,Q,U,V,W,Z,AB,AC</v>
      </c>
      <c r="N50" s="44" t="str">
        <f>IF(Table1[[#This Row],[Data Type]]="set","Y","N")</f>
        <v>Y</v>
      </c>
      <c r="O50" s="44" t="str">
        <f>IF(Table1[[#This Row],[Values=No Data '[Y/N']]]="Y","values=NoData","")</f>
        <v>values=NoData</v>
      </c>
      <c r="P50" s="23" t="str">
        <f>Table1[[#This Row],[Data Type]]&amp;"="&amp;Table1[[#This Row],[Name]]&amp;"    rng="&amp;Table1[[#This Row],[Range]]&amp;"    "&amp;Table1[[#This Row],[Values gams input]]&amp;"    "&amp;Table1[[#This Row],[dim input gams]]&amp;"    "&amp;Table1[[#This Row],[cdim gams input]]&amp;"     "&amp;Table1[[#This Row],[rdim gams input]]&amp;"     "&amp;Table1[[#This Row],[ignore rows gams input]]&amp;"     "&amp;Table1[[#This Row],[ignore colums gams input]]</f>
        <v>set=i2    rng=Con_mat!B1:AC1    values=NoData        cdim= 1               ignoreColumns= B,C,E,F,G,H,I,J,K,M,N,P,Q,U,V,W,Z,AB,AC</v>
      </c>
    </row>
    <row r="51" x14ac:dyDescent="0.25">
      <c r="A51" s="21" t="s">
        <v>144</v>
      </c>
      <c r="B51" s="22" t="s">
        <v>219</v>
      </c>
      <c r="C51" s="22" t="s">
        <v>622</v>
      </c>
      <c r="D51" s="22"/>
      <c r="E51" s="22" t="str">
        <f>IF(Table1[[#This Row],[Dim]]=0,"","dim="&amp;Table1[[#This Row],[Dim]])</f>
        <v/>
      </c>
      <c r="F51" s="22">
        <v>1</v>
      </c>
      <c r="G51" s="22"/>
      <c r="H51" s="22" t="str">
        <f>IF(Table1[[#This Row],[Cdim]]=NOT(Table1[[#This Row],[Cdim]]=0),"","cdim= "&amp;Table1[[#This Row],[Cdim]])</f>
        <v>cdim= 1</v>
      </c>
      <c r="I51" s="22" t="str">
        <f>IF(Table1[[#This Row],[Rdim]]=NOT(Table1[[#This Row],[Rdim]]=0),"","rdim= "&amp;Table1[[#This Row],[Rdim]])</f>
        <v/>
      </c>
      <c r="J51" s="22"/>
      <c r="K51" s="22" t="s">
        <v>527</v>
      </c>
      <c r="L51" s="22" t="str">
        <f>IF(Table1[[#This Row],[ignoreRows]]=NOT(Table1[[#This Row],[ignoreRows]]=0),"","ignoreRows= "&amp;Table1[[#This Row],[ignoreRows]])</f>
        <v/>
      </c>
      <c r="M51" s="22" t="str">
        <f>IF(Table1[[#This Row],[ignoreColumns]]=NOT(Table1[[#This Row],[ignoreColumns]]=0),"","ignoreColumns= "&amp;Table1[[#This Row],[ignoreColumns]])</f>
        <v>ignoreColumns= C,D,E,F,H,K,L,M,O,R,S,T,X,Y,AA</v>
      </c>
      <c r="N51" s="23" t="str">
        <f>IF(Table1[[#This Row],[Data Type]]="set","Y","N")</f>
        <v>Y</v>
      </c>
      <c r="O51" s="23" t="str">
        <f>IF(Table1[[#This Row],[Values=No Data '[Y/N']]]="Y","values=NoData","")</f>
        <v>values=NoData</v>
      </c>
      <c r="P51" s="23" t="str">
        <f>Table1[[#This Row],[Data Type]]&amp;"="&amp;Table1[[#This Row],[Name]]&amp;"    rng="&amp;Table1[[#This Row],[Range]]&amp;"    "&amp;Table1[[#This Row],[Values gams input]]&amp;"    "&amp;Table1[[#This Row],[dim input gams]]&amp;"    "&amp;Table1[[#This Row],[cdim gams input]]&amp;"     "&amp;Table1[[#This Row],[rdim gams input]]&amp;"     "&amp;Table1[[#This Row],[ignore rows gams input]]&amp;"     "&amp;Table1[[#This Row],[ignore colums gams input]]</f>
        <v>set=i3    rng=Con_mat!B1:AC1    values=NoData        cdim= 1               ignoreColumns= C,D,E,F,H,K,L,M,O,R,S,T,X,Y,AA</v>
      </c>
    </row>
    <row r="52" x14ac:dyDescent="0.25">
      <c r="A52" s="21" t="s">
        <v>144</v>
      </c>
      <c r="B52" s="22" t="s">
        <v>522</v>
      </c>
      <c r="C52" s="22" t="s">
        <v>622</v>
      </c>
      <c r="D52" s="22"/>
      <c r="E52" s="22" t="str">
        <f>IF(Table1[[#This Row],[Dim]]=0,"","dim="&amp;Table1[[#This Row],[Dim]])</f>
        <v/>
      </c>
      <c r="F52" s="22">
        <v>1</v>
      </c>
      <c r="G52" s="22"/>
      <c r="H52" s="25" t="str">
        <f>IF(Table1[[#This Row],[Cdim]]=NOT(Table1[[#This Row],[Cdim]]=0),"","cdim= "&amp;Table1[[#This Row],[Cdim]])</f>
        <v>cdim= 1</v>
      </c>
      <c r="I52" s="25" t="str">
        <f>IF(Table1[[#This Row],[Rdim]]=NOT(Table1[[#This Row],[Rdim]]=0),"","rdim= "&amp;Table1[[#This Row],[Rdim]])</f>
        <v/>
      </c>
      <c r="J52" s="22"/>
      <c r="K52" s="22" t="s">
        <v>625</v>
      </c>
      <c r="L52" s="25" t="str">
        <f>IF(Table1[[#This Row],[ignoreRows]]=NOT(Table1[[#This Row],[ignoreRows]]=0),"","ignoreRows= "&amp;Table1[[#This Row],[ignoreRows]])</f>
        <v/>
      </c>
      <c r="M52" s="25" t="str">
        <f>IF(Table1[[#This Row],[ignoreColumns]]=NOT(Table1[[#This Row],[ignoreColumns]]=0),"","ignoreColumns= "&amp;Table1[[#This Row],[ignoreColumns]])</f>
        <v>ignoreColumns= B,C,F,G,H,I,J,K,N,P,Q,U,V,W,Z,AB,AC</v>
      </c>
      <c r="N52" s="44" t="str">
        <f>IF(Table1[[#This Row],[Data Type]]="set","Y","N")</f>
        <v>Y</v>
      </c>
      <c r="O52" s="44" t="str">
        <f>IF(Table1[[#This Row],[Values=No Data '[Y/N']]]="Y","values=NoData","")</f>
        <v>values=NoData</v>
      </c>
      <c r="P52" s="23" t="str">
        <f>Table1[[#This Row],[Data Type]]&amp;"="&amp;Table1[[#This Row],[Name]]&amp;"    rng="&amp;Table1[[#This Row],[Range]]&amp;"    "&amp;Table1[[#This Row],[Values gams input]]&amp;"    "&amp;Table1[[#This Row],[dim input gams]]&amp;"    "&amp;Table1[[#This Row],[cdim gams input]]&amp;"     "&amp;Table1[[#This Row],[rdim gams input]]&amp;"     "&amp;Table1[[#This Row],[ignore rows gams input]]&amp;"     "&amp;Table1[[#This Row],[ignore colums gams input]]</f>
        <v>set=i4    rng=Con_mat!B1:AC1    values=NoData        cdim= 1               ignoreColumns= B,C,F,G,H,I,J,K,N,P,Q,U,V,W,Z,AB,AC</v>
      </c>
    </row>
    <row r="53" x14ac:dyDescent="0.25">
      <c r="A53" s="21" t="s">
        <v>144</v>
      </c>
      <c r="B53" s="22" t="s">
        <v>523</v>
      </c>
      <c r="C53" s="22" t="s">
        <v>622</v>
      </c>
      <c r="D53" s="22"/>
      <c r="E53" s="22" t="str">
        <f>IF(Table1[[#This Row],[Dim]]=0,"","dim="&amp;Table1[[#This Row],[Dim]])</f>
        <v/>
      </c>
      <c r="F53" s="22">
        <v>1</v>
      </c>
      <c r="G53" s="22"/>
      <c r="H53" s="25" t="str">
        <f>IF(Table1[[#This Row],[Cdim]]=NOT(Table1[[#This Row],[Cdim]]=0),"","cdim= "&amp;Table1[[#This Row],[Cdim]])</f>
        <v>cdim= 1</v>
      </c>
      <c r="I53" s="25" t="str">
        <f>IF(Table1[[#This Row],[Rdim]]=NOT(Table1[[#This Row],[Rdim]]=0),"","rdim= "&amp;Table1[[#This Row],[Rdim]])</f>
        <v/>
      </c>
      <c r="J53" s="22"/>
      <c r="K53" s="22" t="s">
        <v>626</v>
      </c>
      <c r="L53" s="25" t="str">
        <f>IF(Table1[[#This Row],[ignoreRows]]=NOT(Table1[[#This Row],[ignoreRows]]=0),"","ignoreRows= "&amp;Table1[[#This Row],[ignoreRows]])</f>
        <v/>
      </c>
      <c r="M53" s="25" t="str">
        <f>IF(Table1[[#This Row],[ignoreColumns]]=NOT(Table1[[#This Row],[ignoreColumns]]=0),"","ignoreColumns= "&amp;Table1[[#This Row],[ignoreColumns]])</f>
        <v>ignoreColumns= B,C,D,E,G,H,I,J,K,L,M,N,O,P,Q,R,S,T,U,V,W,X,Y,Z,AA,AB,AC</v>
      </c>
      <c r="N53" s="44" t="str">
        <f>IF(Table1[[#This Row],[Data Type]]="set","Y","N")</f>
        <v>Y</v>
      </c>
      <c r="O53" s="44" t="str">
        <f>IF(Table1[[#This Row],[Values=No Data '[Y/N']]]="Y","values=NoData","")</f>
        <v>values=NoData</v>
      </c>
      <c r="P53" s="23" t="str">
        <f>Table1[[#This Row],[Data Type]]&amp;"="&amp;Table1[[#This Row],[Name]]&amp;"    rng="&amp;Table1[[#This Row],[Range]]&amp;"    "&amp;Table1[[#This Row],[Values gams input]]&amp;"    "&amp;Table1[[#This Row],[dim input gams]]&amp;"    "&amp;Table1[[#This Row],[cdim gams input]]&amp;"     "&amp;Table1[[#This Row],[rdim gams input]]&amp;"     "&amp;Table1[[#This Row],[ignore rows gams input]]&amp;"     "&amp;Table1[[#This Row],[ignore colums gams input]]</f>
        <v>set=i5    rng=Con_mat!B1:AC1    values=NoData        cdim= 1               ignoreColumns= B,C,D,E,G,H,I,J,K,L,M,N,O,P,Q,R,S,T,U,V,W,X,Y,Z,AA,AB,AC</v>
      </c>
    </row>
    <row r="54" x14ac:dyDescent="0.25">
      <c r="A54" s="21" t="s">
        <v>144</v>
      </c>
      <c r="B54" s="22" t="s">
        <v>592</v>
      </c>
      <c r="C54" s="22" t="s">
        <v>593</v>
      </c>
      <c r="D54" s="22"/>
      <c r="E54" s="22" t="str">
        <f>IF(Table1[[#This Row],[Dim]]=0,"","dim="&amp;Table1[[#This Row],[Dim]])</f>
        <v/>
      </c>
      <c r="F54" s="22"/>
      <c r="G54" s="22">
        <v>1</v>
      </c>
      <c r="H54" s="25" t="str">
        <f>IF(Table1[[#This Row],[Cdim]]=NOT(Table1[[#This Row],[Cdim]]=0),"","cdim= "&amp;Table1[[#This Row],[Cdim]])</f>
        <v/>
      </c>
      <c r="I54" s="25" t="str">
        <f>IF(Table1[[#This Row],[Rdim]]=NOT(Table1[[#This Row],[Rdim]]=0),"","rdim= "&amp;Table1[[#This Row],[Rdim]])</f>
        <v>rdim= 1</v>
      </c>
      <c r="J54" s="22"/>
      <c r="K54" s="22"/>
      <c r="L54" s="25" t="str">
        <f>IF(Table1[[#This Row],[ignoreRows]]=NOT(Table1[[#This Row],[ignoreRows]]=0),"","ignoreRows= "&amp;Table1[[#This Row],[ignoreRows]])</f>
        <v/>
      </c>
      <c r="M54" s="25" t="str">
        <f>IF(Table1[[#This Row],[ignoreColumns]]=NOT(Table1[[#This Row],[ignoreColumns]]=0),"","ignoreColumns= "&amp;Table1[[#This Row],[ignoreColumns]])</f>
        <v/>
      </c>
      <c r="N54" s="44" t="str">
        <f>IF(Table1[[#This Row],[Data Type]]="set","Y","N")</f>
        <v>Y</v>
      </c>
      <c r="O54" s="44" t="str">
        <f>IF(Table1[[#This Row],[Values=No Data '[Y/N']]]="Y","values=NoData","")</f>
        <v>values=NoData</v>
      </c>
      <c r="P54" s="23" t="str">
        <f>Table1[[#This Row],[Data Type]]&amp;"="&amp;Table1[[#This Row],[Name]]&amp;"    rng="&amp;Table1[[#This Row],[Range]]&amp;"    "&amp;Table1[[#This Row],[Values gams input]]&amp;"    "&amp;Table1[[#This Row],[dim input gams]]&amp;"    "&amp;Table1[[#This Row],[cdim gams input]]&amp;"     "&amp;Table1[[#This Row],[rdim gams input]]&amp;"     "&amp;Table1[[#This Row],[ignore rows gams input]]&amp;"     "&amp;Table1[[#This Row],[ignore colums gams input]]</f>
        <v>set=i6    rng=ConFac_Units!A2:A12    values=NoData             rdim= 1          </v>
      </c>
    </row>
    <row r="55" x14ac:dyDescent="0.25">
      <c r="A55" s="21" t="s">
        <v>144</v>
      </c>
      <c r="B55" s="22" t="s">
        <v>220</v>
      </c>
      <c r="C55" s="22" t="s">
        <v>217</v>
      </c>
      <c r="D55" s="22"/>
      <c r="E55" s="22" t="str">
        <f>IF(Table1[[#This Row],[Dim]]=0,"","dim="&amp;Table1[[#This Row],[Dim]])</f>
        <v/>
      </c>
      <c r="F55" s="22">
        <v>1</v>
      </c>
      <c r="G55" s="22"/>
      <c r="H55" s="22" t="str">
        <f>IF(Table1[[#This Row],[Cdim]]=NOT(Table1[[#This Row],[Cdim]]=0),"","cdim= "&amp;Table1[[#This Row],[Cdim]])</f>
        <v>cdim= 1</v>
      </c>
      <c r="I55" s="22" t="str">
        <f>IF(Table1[[#This Row],[Rdim]]=NOT(Table1[[#This Row],[Rdim]]=0),"","rdim= "&amp;Table1[[#This Row],[Rdim]])</f>
        <v/>
      </c>
      <c r="J55" s="22"/>
      <c r="K55" s="22" t="s">
        <v>221</v>
      </c>
      <c r="L55" s="22" t="str">
        <f>IF(Table1[[#This Row],[ignoreRows]]=NOT(Table1[[#This Row],[ignoreRows]]=0),"","ignoreRows= "&amp;Table1[[#This Row],[ignoreRows]])</f>
        <v/>
      </c>
      <c r="M55" s="22" t="str">
        <f>IF(Table1[[#This Row],[ignoreColumns]]=NOT(Table1[[#This Row],[ignoreColumns]]=0),"","ignoreColumns= "&amp;Table1[[#This Row],[ignoreColumns]])</f>
        <v>ignoreColumns= B,I,J,P,Q,V,W,AB</v>
      </c>
      <c r="N55" s="23" t="str">
        <f>IF(Table1[[#This Row],[Data Type]]="set","Y","N")</f>
        <v>Y</v>
      </c>
      <c r="O55" s="23" t="str">
        <f>IF(Table1[[#This Row],[Values=No Data '[Y/N']]]="Y","values=NoData","")</f>
        <v>values=NoData</v>
      </c>
      <c r="P55" s="23" t="str">
        <f>Table1[[#This Row],[Data Type]]&amp;"="&amp;Table1[[#This Row],[Name]]&amp;"    rng="&amp;Table1[[#This Row],[Range]]&amp;"    "&amp;Table1[[#This Row],[Values gams input]]&amp;"    "&amp;Table1[[#This Row],[dim input gams]]&amp;"    "&amp;Table1[[#This Row],[cdim gams input]]&amp;"     "&amp;Table1[[#This Row],[rdim gams input]]&amp;"     "&amp;Table1[[#This Row],[ignore rows gams input]]&amp;"     "&amp;Table1[[#This Row],[ignore colums gams input]]</f>
        <v>set=ibv    rng=Con_mat!B1:AB1    values=NoData        cdim= 1               ignoreColumns= B,I,J,P,Q,V,W,AB</v>
      </c>
    </row>
    <row r="56" x14ac:dyDescent="0.25">
      <c r="A56" s="21" t="s">
        <v>144</v>
      </c>
      <c r="B56" s="22" t="s">
        <v>222</v>
      </c>
      <c r="C56" s="22" t="s">
        <v>532</v>
      </c>
      <c r="D56" s="22"/>
      <c r="E56" s="22" t="str">
        <f>IF(Table1[[#This Row],[Dim]]=0,"","dim="&amp;Table1[[#This Row],[Dim]])</f>
        <v/>
      </c>
      <c r="F56" s="22">
        <v>1</v>
      </c>
      <c r="G56" s="22"/>
      <c r="H56" s="22" t="str">
        <f>IF(Table1[[#This Row],[Cdim]]=NOT(Table1[[#This Row],[Cdim]]=0),"","cdim= "&amp;Table1[[#This Row],[Cdim]])</f>
        <v>cdim= 1</v>
      </c>
      <c r="I56" s="22" t="str">
        <f>IF(Table1[[#This Row],[Rdim]]=NOT(Table1[[#This Row],[Rdim]]=0),"","rdim= "&amp;Table1[[#This Row],[Rdim]])</f>
        <v/>
      </c>
      <c r="J56" s="22"/>
      <c r="K56" s="22"/>
      <c r="L56" s="22" t="str">
        <f>IF(Table1[[#This Row],[ignoreRows]]=NOT(Table1[[#This Row],[ignoreRows]]=0),"","ignoreRows= "&amp;Table1[[#This Row],[ignoreRows]])</f>
        <v/>
      </c>
      <c r="M56" s="22" t="str">
        <f>IF(Table1[[#This Row],[ignoreColumns]]=NOT(Table1[[#This Row],[ignoreColumns]]=0),"","ignoreColumns= "&amp;Table1[[#This Row],[ignoreColumns]])</f>
        <v/>
      </c>
      <c r="N56" s="23" t="str">
        <f>IF(Table1[[#This Row],[Data Type]]="set","Y","N")</f>
        <v>Y</v>
      </c>
      <c r="O56" s="23" t="str">
        <f>IF(Table1[[#This Row],[Values=No Data '[Y/N']]]="Y","values=NoData","")</f>
        <v>values=NoData</v>
      </c>
      <c r="P56" s="23" t="str">
        <f>Table1[[#This Row],[Data Type]]&amp;"="&amp;Table1[[#This Row],[Name]]&amp;"    rng="&amp;Table1[[#This Row],[Range]]&amp;"    "&amp;Table1[[#This Row],[Values gams input]]&amp;"    "&amp;Table1[[#This Row],[dim input gams]]&amp;"    "&amp;Table1[[#This Row],[cdim gams input]]&amp;"     "&amp;Table1[[#This Row],[rdim gams input]]&amp;"     "&amp;Table1[[#This Row],[ignore rows gams input]]&amp;"     "&amp;Table1[[#This Row],[ignore colums gams input]]</f>
        <v>set=Nstg    rng=mat_data!J1:M1    values=NoData        cdim= 1               </v>
      </c>
    </row>
    <row r="57" x14ac:dyDescent="0.25">
      <c r="A57" s="21" t="s">
        <v>144</v>
      </c>
      <c r="B57" s="22" t="s">
        <v>223</v>
      </c>
      <c r="C57" s="22" t="s">
        <v>224</v>
      </c>
      <c r="D57" s="22"/>
      <c r="E57" s="22" t="str">
        <f>IF(Table1[[#This Row],[Dim]]=0,"","dim="&amp;Table1[[#This Row],[Dim]])</f>
        <v/>
      </c>
      <c r="F57" s="22">
        <v>1</v>
      </c>
      <c r="G57" s="22"/>
      <c r="H57" s="22" t="str">
        <f>IF(Table1[[#This Row],[Cdim]]=NOT(Table1[[#This Row],[Cdim]]=0),"","cdim= "&amp;Table1[[#This Row],[Cdim]])</f>
        <v>cdim= 1</v>
      </c>
      <c r="I57" s="22" t="str">
        <f>IF(Table1[[#This Row],[Rdim]]=NOT(Table1[[#This Row],[Rdim]]=0),"","rdim= "&amp;Table1[[#This Row],[Rdim]])</f>
        <v/>
      </c>
      <c r="J57" s="22"/>
      <c r="K57" s="22" t="s">
        <v>225</v>
      </c>
      <c r="L57" s="22" t="str">
        <f>IF(Table1[[#This Row],[ignoreRows]]=NOT(Table1[[#This Row],[ignoreRows]]=0),"","ignoreRows= "&amp;Table1[[#This Row],[ignoreRows]])</f>
        <v/>
      </c>
      <c r="M57" s="22" t="str">
        <f>IF(Table1[[#This Row],[ignoreColumns]]=NOT(Table1[[#This Row],[ignoreColumns]]=0),"","ignoreColumns= "&amp;Table1[[#This Row],[ignoreColumns]])</f>
        <v>ignoreColumns= G</v>
      </c>
      <c r="N57" s="23" t="str">
        <f>IF(Table1[[#This Row],[Data Type]]="set","Y","N")</f>
        <v>Y</v>
      </c>
      <c r="O57" s="23" t="str">
        <f>IF(Table1[[#This Row],[Values=No Data '[Y/N']]]="Y","values=NoData","")</f>
        <v>values=NoData</v>
      </c>
      <c r="P57" s="23" t="str">
        <f>Table1[[#This Row],[Data Type]]&amp;"="&amp;Table1[[#This Row],[Name]]&amp;"    rng="&amp;Table1[[#This Row],[Range]]&amp;"    "&amp;Table1[[#This Row],[Values gams input]]&amp;"    "&amp;Table1[[#This Row],[dim input gams]]&amp;"    "&amp;Table1[[#This Row],[cdim gams input]]&amp;"     "&amp;Table1[[#This Row],[rdim gams input]]&amp;"     "&amp;Table1[[#This Row],[ignore rows gams input]]&amp;"     "&amp;Table1[[#This Row],[ignore colums gams input]]</f>
        <v>set=istg1    rng=Con_mat!C1:H1    values=NoData        cdim= 1               ignoreColumns= G</v>
      </c>
    </row>
    <row r="58" x14ac:dyDescent="0.25">
      <c r="A58" s="21" t="s">
        <v>144</v>
      </c>
      <c r="B58" s="22" t="s">
        <v>226</v>
      </c>
      <c r="C58" s="22" t="s">
        <v>227</v>
      </c>
      <c r="D58" s="22"/>
      <c r="E58" s="22" t="str">
        <f>IF(Table1[[#This Row],[Dim]]=0,"","dim="&amp;Table1[[#This Row],[Dim]])</f>
        <v/>
      </c>
      <c r="F58" s="22">
        <v>1</v>
      </c>
      <c r="G58" s="22"/>
      <c r="H58" s="22" t="str">
        <f>IF(Table1[[#This Row],[Cdim]]=NOT(Table1[[#This Row],[Cdim]]=0),"","cdim= "&amp;Table1[[#This Row],[Cdim]])</f>
        <v>cdim= 1</v>
      </c>
      <c r="I58" s="22" t="str">
        <f>IF(Table1[[#This Row],[Rdim]]=NOT(Table1[[#This Row],[Rdim]]=0),"","rdim= "&amp;Table1[[#This Row],[Rdim]])</f>
        <v/>
      </c>
      <c r="J58" s="22"/>
      <c r="K58" s="22" t="s">
        <v>228</v>
      </c>
      <c r="L58" s="22" t="str">
        <f>IF(Table1[[#This Row],[ignoreRows]]=NOT(Table1[[#This Row],[ignoreRows]]=0),"","ignoreRows= "&amp;Table1[[#This Row],[ignoreRows]])</f>
        <v/>
      </c>
      <c r="M58" s="22" t="str">
        <f>IF(Table1[[#This Row],[ignoreColumns]]=NOT(Table1[[#This Row],[ignoreColumns]]=0),"","ignoreColumns= "&amp;Table1[[#This Row],[ignoreColumns]])</f>
        <v>ignoreColumns= N</v>
      </c>
      <c r="N58" s="23" t="str">
        <f>IF(Table1[[#This Row],[Data Type]]="set","Y","N")</f>
        <v>Y</v>
      </c>
      <c r="O58" s="23" t="str">
        <f>IF(Table1[[#This Row],[Values=No Data '[Y/N']]]="Y","values=NoData","")</f>
        <v>values=NoData</v>
      </c>
      <c r="P58" s="23" t="str">
        <f>Table1[[#This Row],[Data Type]]&amp;"="&amp;Table1[[#This Row],[Name]]&amp;"    rng="&amp;Table1[[#This Row],[Range]]&amp;"    "&amp;Table1[[#This Row],[Values gams input]]&amp;"    "&amp;Table1[[#This Row],[dim input gams]]&amp;"    "&amp;Table1[[#This Row],[cdim gams input]]&amp;"     "&amp;Table1[[#This Row],[rdim gams input]]&amp;"     "&amp;Table1[[#This Row],[ignore rows gams input]]&amp;"     "&amp;Table1[[#This Row],[ignore colums gams input]]</f>
        <v>set=istg2    rng=Con_mat!K1:O1    values=NoData        cdim= 1               ignoreColumns= N</v>
      </c>
    </row>
    <row r="59" x14ac:dyDescent="0.25">
      <c r="A59" s="21" t="s">
        <v>144</v>
      </c>
      <c r="B59" s="22" t="s">
        <v>229</v>
      </c>
      <c r="C59" s="22" t="s">
        <v>230</v>
      </c>
      <c r="D59" s="22"/>
      <c r="E59" s="22" t="str">
        <f>IF(Table1[[#This Row],[Dim]]=0,"","dim="&amp;Table1[[#This Row],[Dim]])</f>
        <v/>
      </c>
      <c r="F59" s="22">
        <v>1</v>
      </c>
      <c r="G59" s="22"/>
      <c r="H59" s="22" t="str">
        <f>IF(Table1[[#This Row],[Cdim]]=NOT(Table1[[#This Row],[Cdim]]=0),"","cdim= "&amp;Table1[[#This Row],[Cdim]])</f>
        <v>cdim= 1</v>
      </c>
      <c r="I59" s="22" t="str">
        <f>IF(Table1[[#This Row],[Rdim]]=NOT(Table1[[#This Row],[Rdim]]=0),"","rdim= "&amp;Table1[[#This Row],[Rdim]])</f>
        <v/>
      </c>
      <c r="J59" s="22"/>
      <c r="K59" s="22"/>
      <c r="L59" s="22" t="str">
        <f>IF(Table1[[#This Row],[ignoreRows]]=NOT(Table1[[#This Row],[ignoreRows]]=0),"","ignoreRows= "&amp;Table1[[#This Row],[ignoreRows]])</f>
        <v/>
      </c>
      <c r="M59" s="22" t="str">
        <f>IF(Table1[[#This Row],[ignoreColumns]]=NOT(Table1[[#This Row],[ignoreColumns]]=0),"","ignoreColumns= "&amp;Table1[[#This Row],[ignoreColumns]])</f>
        <v/>
      </c>
      <c r="N59" s="23" t="str">
        <f>IF(Table1[[#This Row],[Data Type]]="set","Y","N")</f>
        <v>Y</v>
      </c>
      <c r="O59" s="23" t="str">
        <f>IF(Table1[[#This Row],[Values=No Data '[Y/N']]]="Y","values=NoData","")</f>
        <v>values=NoData</v>
      </c>
      <c r="P59" s="23" t="str">
        <f>Table1[[#This Row],[Data Type]]&amp;"="&amp;Table1[[#This Row],[Name]]&amp;"    rng="&amp;Table1[[#This Row],[Range]]&amp;"    "&amp;Table1[[#This Row],[Values gams input]]&amp;"    "&amp;Table1[[#This Row],[dim input gams]]&amp;"    "&amp;Table1[[#This Row],[cdim gams input]]&amp;"     "&amp;Table1[[#This Row],[rdim gams input]]&amp;"     "&amp;Table1[[#This Row],[ignore rows gams input]]&amp;"     "&amp;Table1[[#This Row],[ignore colums gams input]]</f>
        <v>set=istg3    rng=Con_mat!R1:T1    values=NoData        cdim= 1               </v>
      </c>
    </row>
    <row r="60" ht="18.75" x14ac:dyDescent="0.3">
      <c r="A60" s="21" t="s">
        <v>144</v>
      </c>
      <c r="B60" s="22" t="s">
        <v>231</v>
      </c>
      <c r="C60" s="22" t="s">
        <v>232</v>
      </c>
      <c r="D60" s="22"/>
      <c r="E60" s="22" t="str">
        <f>IF(Table1[[#This Row],[Dim]]=0,"","dim="&amp;Table1[[#This Row],[Dim]])</f>
        <v/>
      </c>
      <c r="F60" s="22">
        <v>1</v>
      </c>
      <c r="G60" s="22"/>
      <c r="H60" s="22" t="str">
        <f>IF(Table1[[#This Row],[Cdim]]=NOT(Table1[[#This Row],[Cdim]]=0),"","cdim= "&amp;Table1[[#This Row],[Cdim]])</f>
        <v>cdim= 1</v>
      </c>
      <c r="I60" s="22" t="str">
        <f>IF(Table1[[#This Row],[Rdim]]=NOT(Table1[[#This Row],[Rdim]]=0),"","rdim= "&amp;Table1[[#This Row],[Rdim]])</f>
        <v/>
      </c>
      <c r="J60" s="22"/>
      <c r="K60" s="22" t="s">
        <v>233</v>
      </c>
      <c r="L60" s="22" t="str">
        <f>IF(Table1[[#This Row],[ignoreRows]]=NOT(Table1[[#This Row],[ignoreRows]]=0),"","ignoreRows= "&amp;Table1[[#This Row],[ignoreRows]])</f>
        <v/>
      </c>
      <c r="M60" s="22" t="str">
        <f>IF(Table1[[#This Row],[ignoreColumns]]=NOT(Table1[[#This Row],[ignoreColumns]]=0),"","ignoreColumns= "&amp;Table1[[#This Row],[ignoreColumns]])</f>
        <v>ignoreColumns= Z</v>
      </c>
      <c r="N60" s="23" t="str">
        <f>IF(Table1[[#This Row],[Data Type]]="set","Y","N")</f>
        <v>Y</v>
      </c>
      <c r="O60" s="23" t="str">
        <f>IF(Table1[[#This Row],[Values=No Data '[Y/N']]]="Y","values=NoData","")</f>
        <v>values=NoData</v>
      </c>
      <c r="P60" s="23" t="str">
        <f>Table1[[#This Row],[Data Type]]&amp;"="&amp;Table1[[#This Row],[Name]]&amp;"    rng="&amp;Table1[[#This Row],[Range]]&amp;"    "&amp;Table1[[#This Row],[Values gams input]]&amp;"    "&amp;Table1[[#This Row],[dim input gams]]&amp;"    "&amp;Table1[[#This Row],[cdim gams input]]&amp;"     "&amp;Table1[[#This Row],[rdim gams input]]&amp;"     "&amp;Table1[[#This Row],[ignore rows gams input]]&amp;"     "&amp;Table1[[#This Row],[ignore colums gams input]]</f>
        <v>set=istg4    rng=Con_mat!X1:AA1    values=NoData        cdim= 1               ignoreColumns= Z</v>
      </c>
      <c r="R60" s="24"/>
      <c r="S60" s="24"/>
    </row>
    <row r="61" ht="18.75" x14ac:dyDescent="0.3">
      <c r="A61" s="21" t="s">
        <v>144</v>
      </c>
      <c r="B61" s="22" t="s">
        <v>234</v>
      </c>
      <c r="C61" s="22" t="s">
        <v>235</v>
      </c>
      <c r="D61" s="22"/>
      <c r="E61" s="22" t="str">
        <f>IF(Table1[[#This Row],[Dim]]=0,"","dim="&amp;Table1[[#This Row],[Dim]])</f>
        <v/>
      </c>
      <c r="F61" s="22"/>
      <c r="G61" s="22">
        <v>1</v>
      </c>
      <c r="H61" s="22" t="str">
        <f>IF(Table1[[#This Row],[Cdim]]=NOT(Table1[[#This Row],[Cdim]]=0),"","cdim= "&amp;Table1[[#This Row],[Cdim]])</f>
        <v/>
      </c>
      <c r="I61" s="22" t="str">
        <f>IF(Table1[[#This Row],[Rdim]]=NOT(Table1[[#This Row],[Rdim]]=0),"","rdim= "&amp;Table1[[#This Row],[Rdim]])</f>
        <v>rdim= 1</v>
      </c>
      <c r="J61" s="22"/>
      <c r="K61" s="22"/>
      <c r="L61" s="22" t="str">
        <f>IF(Table1[[#This Row],[ignoreRows]]=NOT(Table1[[#This Row],[ignoreRows]]=0),"","ignoreRows= "&amp;Table1[[#This Row],[ignoreRows]])</f>
        <v/>
      </c>
      <c r="M61" s="22" t="str">
        <f>IF(Table1[[#This Row],[ignoreColumns]]=NOT(Table1[[#This Row],[ignoreColumns]]=0),"","ignoreColumns= "&amp;Table1[[#This Row],[ignoreColumns]])</f>
        <v/>
      </c>
      <c r="N61" s="23" t="str">
        <f>IF(Table1[[#This Row],[Data Type]]="set","Y","N")</f>
        <v>Y</v>
      </c>
      <c r="O61" s="23" t="str">
        <f>IF(Table1[[#This Row],[Values=No Data '[Y/N']]]="Y","values=NoData","")</f>
        <v>values=NoData</v>
      </c>
      <c r="P61" s="23" t="str">
        <f>Table1[[#This Row],[Data Type]]&amp;"="&amp;Table1[[#This Row],[Name]]&amp;"    rng="&amp;Table1[[#This Row],[Range]]&amp;"    "&amp;Table1[[#This Row],[Values gams input]]&amp;"    "&amp;Table1[[#This Row],[dim input gams]]&amp;"    "&amp;Table1[[#This Row],[cdim gams input]]&amp;"     "&amp;Table1[[#This Row],[rdim gams input]]&amp;"     "&amp;Table1[[#This Row],[ignore rows gams input]]&amp;"     "&amp;Table1[[#This Row],[ignore colums gams input]]</f>
        <v>set=j    rng=Con_mat!A2:A60    values=NoData             rdim= 1          </v>
      </c>
      <c r="R61" s="24"/>
      <c r="S61" s="24"/>
    </row>
    <row r="62" ht="18.75" x14ac:dyDescent="0.3">
      <c r="A62" s="21" t="s">
        <v>144</v>
      </c>
      <c r="B62" s="22" t="s">
        <v>236</v>
      </c>
      <c r="C62" s="22" t="s">
        <v>237</v>
      </c>
      <c r="D62" s="22"/>
      <c r="E62" s="22" t="str">
        <f>IF(Table1[[#This Row],[Dim]]=0,"","dim="&amp;Table1[[#This Row],[Dim]])</f>
        <v/>
      </c>
      <c r="F62" s="22"/>
      <c r="G62" s="22">
        <v>1</v>
      </c>
      <c r="H62" s="22" t="str">
        <f>IF(Table1[[#This Row],[Cdim]]=NOT(Table1[[#This Row],[Cdim]]=0),"","cdim= "&amp;Table1[[#This Row],[Cdim]])</f>
        <v/>
      </c>
      <c r="I62" s="22" t="str">
        <f>IF(Table1[[#This Row],[Rdim]]=NOT(Table1[[#This Row],[Rdim]]=0),"","rdim= "&amp;Table1[[#This Row],[Rdim]])</f>
        <v>rdim= 1</v>
      </c>
      <c r="J62" s="22" t="s">
        <v>238</v>
      </c>
      <c r="K62" s="22"/>
      <c r="L62" s="22" t="str">
        <f>IF(Table1[[#This Row],[ignoreRows]]=NOT(Table1[[#This Row],[ignoreRows]]=0),"","ignoreRows= "&amp;Table1[[#This Row],[ignoreRows]])</f>
        <v>ignoreRows= 4,5,7,8,10,11,13,14</v>
      </c>
      <c r="M62" s="22" t="str">
        <f>IF(Table1[[#This Row],[ignoreColumns]]=NOT(Table1[[#This Row],[ignoreColumns]]=0),"","ignoreColumns= "&amp;Table1[[#This Row],[ignoreColumns]])</f>
        <v/>
      </c>
      <c r="N62" s="23" t="str">
        <f>IF(Table1[[#This Row],[Data Type]]="set","Y","N")</f>
        <v>Y</v>
      </c>
      <c r="O62" s="23" t="str">
        <f>IF(Table1[[#This Row],[Values=No Data '[Y/N']]]="Y","values=NoData","")</f>
        <v>values=NoData</v>
      </c>
      <c r="P62" s="23" t="str">
        <f>Table1[[#This Row],[Data Type]]&amp;"="&amp;Table1[[#This Row],[Name]]&amp;"    rng="&amp;Table1[[#This Row],[Range]]&amp;"    "&amp;Table1[[#This Row],[Values gams input]]&amp;"    "&amp;Table1[[#This Row],[dim input gams]]&amp;"    "&amp;Table1[[#This Row],[cdim gams input]]&amp;"     "&amp;Table1[[#This Row],[rdim gams input]]&amp;"     "&amp;Table1[[#This Row],[ignore rows gams input]]&amp;"     "&amp;Table1[[#This Row],[ignore colums gams input]]</f>
        <v>set=jsplit1    rng=Con_mat!A2:A15    values=NoData             rdim= 1     ignoreRows= 4,5,7,8,10,11,13,14     </v>
      </c>
      <c r="R62" s="24"/>
      <c r="S62" s="24"/>
    </row>
    <row r="63" ht="18.75" x14ac:dyDescent="0.3">
      <c r="A63" s="21" t="s">
        <v>144</v>
      </c>
      <c r="B63" s="22" t="s">
        <v>239</v>
      </c>
      <c r="C63" s="22" t="s">
        <v>240</v>
      </c>
      <c r="D63" s="22"/>
      <c r="E63" s="22" t="str">
        <f>IF(Table1[[#This Row],[Dim]]=0,"","dim="&amp;Table1[[#This Row],[Dim]])</f>
        <v/>
      </c>
      <c r="F63" s="22"/>
      <c r="G63" s="22">
        <v>1</v>
      </c>
      <c r="H63" s="22" t="str">
        <f>IF(Table1[[#This Row],[Cdim]]=NOT(Table1[[#This Row],[Cdim]]=0),"","cdim= "&amp;Table1[[#This Row],[Cdim]])</f>
        <v/>
      </c>
      <c r="I63" s="22" t="str">
        <f>IF(Table1[[#This Row],[Rdim]]=NOT(Table1[[#This Row],[Rdim]]=0),"","rdim= "&amp;Table1[[#This Row],[Rdim]])</f>
        <v>rdim= 1</v>
      </c>
      <c r="J63" s="22"/>
      <c r="K63" s="22"/>
      <c r="L63" s="22" t="str">
        <f>IF(Table1[[#This Row],[ignoreRows]]=NOT(Table1[[#This Row],[ignoreRows]]=0),"","ignoreRows= "&amp;Table1[[#This Row],[ignoreRows]])</f>
        <v/>
      </c>
      <c r="M63" s="22" t="str">
        <f>IF(Table1[[#This Row],[ignoreColumns]]=NOT(Table1[[#This Row],[ignoreColumns]]=0),"","ignoreColumns= "&amp;Table1[[#This Row],[ignoreColumns]])</f>
        <v/>
      </c>
      <c r="N63" s="23" t="str">
        <f>IF(Table1[[#This Row],[Data Type]]="set","Y","N")</f>
        <v>Y</v>
      </c>
      <c r="O63" s="23" t="str">
        <f>IF(Table1[[#This Row],[Values=No Data '[Y/N']]]="Y","values=NoData","")</f>
        <v>values=NoData</v>
      </c>
      <c r="P63" s="23" t="str">
        <f>Table1[[#This Row],[Data Type]]&amp;"="&amp;Table1[[#This Row],[Name]]&amp;"    rng="&amp;Table1[[#This Row],[Range]]&amp;"    "&amp;Table1[[#This Row],[Values gams input]]&amp;"    "&amp;Table1[[#This Row],[dim input gams]]&amp;"    "&amp;Table1[[#This Row],[cdim gams input]]&amp;"     "&amp;Table1[[#This Row],[rdim gams input]]&amp;"     "&amp;Table1[[#This Row],[ignore rows gams input]]&amp;"     "&amp;Table1[[#This Row],[ignore colums gams input]]</f>
        <v>set=jsplit1F    rng=Con_mat!A2:A2    values=NoData             rdim= 1          </v>
      </c>
      <c r="R63" s="24"/>
      <c r="S63" s="24"/>
    </row>
    <row r="64" ht="18.75" x14ac:dyDescent="0.3">
      <c r="A64" s="21" t="s">
        <v>144</v>
      </c>
      <c r="B64" s="22" t="s">
        <v>241</v>
      </c>
      <c r="C64" s="22" t="s">
        <v>242</v>
      </c>
      <c r="D64" s="22"/>
      <c r="E64" s="22" t="str">
        <f>IF(Table1[[#This Row],[Dim]]=0,"","dim="&amp;Table1[[#This Row],[Dim]])</f>
        <v/>
      </c>
      <c r="F64" s="22"/>
      <c r="G64" s="22">
        <v>1</v>
      </c>
      <c r="H64" s="22" t="str">
        <f>IF(Table1[[#This Row],[Cdim]]=NOT(Table1[[#This Row],[Cdim]]=0),"","cdim= "&amp;Table1[[#This Row],[Cdim]])</f>
        <v/>
      </c>
      <c r="I64" s="22" t="str">
        <f>IF(Table1[[#This Row],[Rdim]]=NOT(Table1[[#This Row],[Rdim]]=0),"","rdim= "&amp;Table1[[#This Row],[Rdim]])</f>
        <v>rdim= 1</v>
      </c>
      <c r="J64" s="22" t="s">
        <v>238</v>
      </c>
      <c r="K64" s="22"/>
      <c r="L64" s="22" t="str">
        <f>IF(Table1[[#This Row],[ignoreRows]]=NOT(Table1[[#This Row],[ignoreRows]]=0),"","ignoreRows= "&amp;Table1[[#This Row],[ignoreRows]])</f>
        <v>ignoreRows= 4,5,7,8,10,11,13,14</v>
      </c>
      <c r="M64" s="22" t="str">
        <f>IF(Table1[[#This Row],[ignoreColumns]]=NOT(Table1[[#This Row],[ignoreColumns]]=0),"","ignoreColumns= "&amp;Table1[[#This Row],[ignoreColumns]])</f>
        <v/>
      </c>
      <c r="N64" s="23" t="str">
        <f>IF(Table1[[#This Row],[Data Type]]="set","Y","N")</f>
        <v>Y</v>
      </c>
      <c r="O64" s="23" t="str">
        <f>IF(Table1[[#This Row],[Values=No Data '[Y/N']]]="Y","values=NoData","")</f>
        <v>values=NoData</v>
      </c>
      <c r="P64" s="23" t="str">
        <f>Table1[[#This Row],[Data Type]]&amp;"="&amp;Table1[[#This Row],[Name]]&amp;"    rng="&amp;Table1[[#This Row],[Range]]&amp;"    "&amp;Table1[[#This Row],[Values gams input]]&amp;"    "&amp;Table1[[#This Row],[dim input gams]]&amp;"    "&amp;Table1[[#This Row],[cdim gams input]]&amp;"     "&amp;Table1[[#This Row],[rdim gams input]]&amp;"     "&amp;Table1[[#This Row],[ignore rows gams input]]&amp;"     "&amp;Table1[[#This Row],[ignore colums gams input]]</f>
        <v>set=jsplit1E    rng=Con_mat!A3:A15    values=NoData             rdim= 1     ignoreRows= 4,5,7,8,10,11,13,14     </v>
      </c>
      <c r="R64" s="24"/>
      <c r="S64" s="24"/>
    </row>
    <row r="65" ht="18.75" x14ac:dyDescent="0.3">
      <c r="A65" s="21" t="s">
        <v>144</v>
      </c>
      <c r="B65" s="22" t="s">
        <v>243</v>
      </c>
      <c r="C65" s="22" t="s">
        <v>244</v>
      </c>
      <c r="D65" s="22"/>
      <c r="E65" s="22" t="str">
        <f>IF(Table1[[#This Row],[Dim]]=0,"","dim="&amp;Table1[[#This Row],[Dim]])</f>
        <v/>
      </c>
      <c r="F65" s="22"/>
      <c r="G65" s="22">
        <v>1</v>
      </c>
      <c r="H65" s="22" t="str">
        <f>IF(Table1[[#This Row],[Cdim]]=NOT(Table1[[#This Row],[Cdim]]=0),"","cdim= "&amp;Table1[[#This Row],[Cdim]])</f>
        <v/>
      </c>
      <c r="I65" s="22" t="str">
        <f>IF(Table1[[#This Row],[Rdim]]=NOT(Table1[[#This Row],[Rdim]]=0),"","rdim= "&amp;Table1[[#This Row],[Rdim]])</f>
        <v>rdim= 1</v>
      </c>
      <c r="J65" s="22"/>
      <c r="K65" s="22"/>
      <c r="L65" s="22" t="str">
        <f>IF(Table1[[#This Row],[ignoreRows]]=NOT(Table1[[#This Row],[ignoreRows]]=0),"","ignoreRows= "&amp;Table1[[#This Row],[ignoreRows]])</f>
        <v/>
      </c>
      <c r="M65" s="22" t="str">
        <f>IF(Table1[[#This Row],[ignoreColumns]]=NOT(Table1[[#This Row],[ignoreColumns]]=0),"","ignoreColumns= "&amp;Table1[[#This Row],[ignoreColumns]])</f>
        <v/>
      </c>
      <c r="N65" s="23" t="str">
        <f>IF(Table1[[#This Row],[Data Type]]="set","Y","N")</f>
        <v>Y</v>
      </c>
      <c r="O65" s="23" t="str">
        <f>IF(Table1[[#This Row],[Values=No Data '[Y/N']]]="Y","values=NoData","")</f>
        <v>values=NoData</v>
      </c>
      <c r="P65" s="23" t="str">
        <f>Table1[[#This Row],[Data Type]]&amp;"="&amp;Table1[[#This Row],[Name]]&amp;"    rng="&amp;Table1[[#This Row],[Range]]&amp;"    "&amp;Table1[[#This Row],[Values gams input]]&amp;"    "&amp;Table1[[#This Row],[dim input gams]]&amp;"    "&amp;Table1[[#This Row],[cdim gams input]]&amp;"     "&amp;Table1[[#This Row],[rdim gams input]]&amp;"     "&amp;Table1[[#This Row],[ignore rows gams input]]&amp;"     "&amp;Table1[[#This Row],[ignore colums gams input]]</f>
        <v>set=jSDM    rng=Con_mat!A3:A5    values=NoData             rdim= 1          </v>
      </c>
      <c r="R65" s="24"/>
      <c r="S65" s="24"/>
    </row>
    <row r="66" ht="18.75" x14ac:dyDescent="0.3">
      <c r="A66" s="21" t="s">
        <v>144</v>
      </c>
      <c r="B66" s="22" t="s">
        <v>245</v>
      </c>
      <c r="C66" s="22" t="s">
        <v>246</v>
      </c>
      <c r="D66" s="22"/>
      <c r="E66" s="22" t="str">
        <f>IF(Table1[[#This Row],[Dim]]=0,"","dim="&amp;Table1[[#This Row],[Dim]])</f>
        <v/>
      </c>
      <c r="F66" s="22"/>
      <c r="G66" s="22">
        <v>1</v>
      </c>
      <c r="H66" s="22" t="str">
        <f>IF(Table1[[#This Row],[Cdim]]=NOT(Table1[[#This Row],[Cdim]]=0),"","cdim= "&amp;Table1[[#This Row],[Cdim]])</f>
        <v/>
      </c>
      <c r="I66" s="22" t="str">
        <f>IF(Table1[[#This Row],[Rdim]]=NOT(Table1[[#This Row],[Rdim]]=0),"","rdim= "&amp;Table1[[#This Row],[Rdim]])</f>
        <v>rdim= 1</v>
      </c>
      <c r="J66" s="22"/>
      <c r="K66" s="22"/>
      <c r="L66" s="22" t="str">
        <f>IF(Table1[[#This Row],[ignoreRows]]=NOT(Table1[[#This Row],[ignoreRows]]=0),"","ignoreRows= "&amp;Table1[[#This Row],[ignoreRows]])</f>
        <v/>
      </c>
      <c r="M66" s="22" t="str">
        <f>IF(Table1[[#This Row],[ignoreColumns]]=NOT(Table1[[#This Row],[ignoreColumns]]=0),"","ignoreColumns= "&amp;Table1[[#This Row],[ignoreColumns]])</f>
        <v/>
      </c>
      <c r="N66" s="23" t="str">
        <f>IF(Table1[[#This Row],[Data Type]]="set","Y","N")</f>
        <v>Y</v>
      </c>
      <c r="O66" s="23" t="str">
        <f>IF(Table1[[#This Row],[Values=No Data '[Y/N']]]="Y","values=NoData","")</f>
        <v>values=NoData</v>
      </c>
      <c r="P66" s="23" t="str">
        <f>Table1[[#This Row],[Data Type]]&amp;"="&amp;Table1[[#This Row],[Name]]&amp;"    rng="&amp;Table1[[#This Row],[Range]]&amp;"    "&amp;Table1[[#This Row],[Values gams input]]&amp;"    "&amp;Table1[[#This Row],[dim input gams]]&amp;"    "&amp;Table1[[#This Row],[cdim gams input]]&amp;"     "&amp;Table1[[#This Row],[rdim gams input]]&amp;"     "&amp;Table1[[#This Row],[ignore rows gams input]]&amp;"     "&amp;Table1[[#This Row],[ignore colums gams input]]</f>
        <v>set=jSDMF    rng=Con_mat!A3:A3    values=NoData             rdim= 1          </v>
      </c>
      <c r="R66" s="24"/>
      <c r="S66" s="24"/>
    </row>
    <row r="67" ht="18.75" x14ac:dyDescent="0.3">
      <c r="A67" s="21" t="s">
        <v>144</v>
      </c>
      <c r="B67" s="22" t="s">
        <v>249</v>
      </c>
      <c r="C67" s="22" t="s">
        <v>248</v>
      </c>
      <c r="D67" s="22"/>
      <c r="E67" s="22" t="str">
        <f>IF(Table1[[#This Row],[Dim]]=0,"","dim="&amp;Table1[[#This Row],[Dim]])</f>
        <v/>
      </c>
      <c r="F67" s="22"/>
      <c r="G67" s="22">
        <v>1</v>
      </c>
      <c r="H67" s="22" t="str">
        <f>IF(Table1[[#This Row],[Cdim]]=NOT(Table1[[#This Row],[Cdim]]=0),"","cdim= "&amp;Table1[[#This Row],[Cdim]])</f>
        <v/>
      </c>
      <c r="I67" s="22" t="str">
        <f>IF(Table1[[#This Row],[Rdim]]=NOT(Table1[[#This Row],[Rdim]]=0),"","rdim= "&amp;Table1[[#This Row],[Rdim]])</f>
        <v>rdim= 1</v>
      </c>
      <c r="J67" s="22"/>
      <c r="K67" s="22"/>
      <c r="L67" s="22" t="str">
        <f>IF(Table1[[#This Row],[ignoreRows]]=NOT(Table1[[#This Row],[ignoreRows]]=0),"","ignoreRows= "&amp;Table1[[#This Row],[ignoreRows]])</f>
        <v/>
      </c>
      <c r="M67" s="22" t="str">
        <f>IF(Table1[[#This Row],[ignoreColumns]]=NOT(Table1[[#This Row],[ignoreColumns]]=0),"","ignoreColumns= "&amp;Table1[[#This Row],[ignoreColumns]])</f>
        <v/>
      </c>
      <c r="N67" s="23" t="str">
        <f>IF(Table1[[#This Row],[Data Type]]="set","Y","N")</f>
        <v>Y</v>
      </c>
      <c r="O67" s="23" t="str">
        <f>IF(Table1[[#This Row],[Values=No Data '[Y/N']]]="Y","values=NoData","")</f>
        <v>values=NoData</v>
      </c>
      <c r="P67" s="23" t="str">
        <f>Table1[[#This Row],[Data Type]]&amp;"="&amp;Table1[[#This Row],[Name]]&amp;"    rng="&amp;Table1[[#This Row],[Range]]&amp;"    "&amp;Table1[[#This Row],[Values gams input]]&amp;"    "&amp;Table1[[#This Row],[dim input gams]]&amp;"    "&amp;Table1[[#This Row],[cdim gams input]]&amp;"     "&amp;Table1[[#This Row],[rdim gams input]]&amp;"     "&amp;Table1[[#This Row],[ignore rows gams input]]&amp;"     "&amp;Table1[[#This Row],[ignore colums gams input]]</f>
        <v>set=jSDME    rng=Con_mat!A4:A4    values=NoData             rdim= 1          </v>
      </c>
      <c r="R67" s="24"/>
      <c r="S67" s="24"/>
    </row>
    <row r="68" ht="18.75" x14ac:dyDescent="0.3">
      <c r="A68" s="21" t="s">
        <v>144</v>
      </c>
      <c r="B68" s="22" t="s">
        <v>247</v>
      </c>
      <c r="C68" s="22" t="s">
        <v>250</v>
      </c>
      <c r="D68" s="22"/>
      <c r="E68" s="22" t="str">
        <f>IF(Table1[[#This Row],[Dim]]=0,"","dim="&amp;Table1[[#This Row],[Dim]])</f>
        <v/>
      </c>
      <c r="F68" s="22"/>
      <c r="G68" s="22">
        <v>1</v>
      </c>
      <c r="H68" s="22" t="str">
        <f>IF(Table1[[#This Row],[Cdim]]=NOT(Table1[[#This Row],[Cdim]]=0),"","cdim= "&amp;Table1[[#This Row],[Cdim]])</f>
        <v/>
      </c>
      <c r="I68" s="22" t="str">
        <f>IF(Table1[[#This Row],[Rdim]]=NOT(Table1[[#This Row],[Rdim]]=0),"","rdim= "&amp;Table1[[#This Row],[Rdim]])</f>
        <v>rdim= 1</v>
      </c>
      <c r="J68" s="22"/>
      <c r="K68" s="22"/>
      <c r="L68" s="22" t="str">
        <f>IF(Table1[[#This Row],[ignoreRows]]=NOT(Table1[[#This Row],[ignoreRows]]=0),"","ignoreRows= "&amp;Table1[[#This Row],[ignoreRows]])</f>
        <v/>
      </c>
      <c r="M68" s="22" t="str">
        <f>IF(Table1[[#This Row],[ignoreColumns]]=NOT(Table1[[#This Row],[ignoreColumns]]=0),"","ignoreColumns= "&amp;Table1[[#This Row],[ignoreColumns]])</f>
        <v/>
      </c>
      <c r="N68" s="23" t="str">
        <f>IF(Table1[[#This Row],[Data Type]]="set","Y","N")</f>
        <v>Y</v>
      </c>
      <c r="O68" s="23" t="str">
        <f>IF(Table1[[#This Row],[Values=No Data '[Y/N']]]="Y","values=NoData","")</f>
        <v>values=NoData</v>
      </c>
      <c r="P68" s="23" t="str">
        <f>Table1[[#This Row],[Data Type]]&amp;"="&amp;Table1[[#This Row],[Name]]&amp;"    rng="&amp;Table1[[#This Row],[Range]]&amp;"    "&amp;Table1[[#This Row],[Values gams input]]&amp;"    "&amp;Table1[[#This Row],[dim input gams]]&amp;"    "&amp;Table1[[#This Row],[cdim gams input]]&amp;"     "&amp;Table1[[#This Row],[rdim gams input]]&amp;"     "&amp;Table1[[#This Row],[ignore rows gams input]]&amp;"     "&amp;Table1[[#This Row],[ignore colums gams input]]</f>
        <v>set=jSDMS    rng=Con_mat!A5:A5    values=NoData             rdim= 1          </v>
      </c>
      <c r="R68" s="24"/>
      <c r="S68" s="24"/>
    </row>
    <row r="69" ht="18.75" x14ac:dyDescent="0.3">
      <c r="A69" s="21" t="s">
        <v>144</v>
      </c>
      <c r="B69" s="22" t="s">
        <v>562</v>
      </c>
      <c r="C69" s="22" t="s">
        <v>251</v>
      </c>
      <c r="D69" s="22"/>
      <c r="E69" s="22" t="str">
        <f>IF(Table1[[#This Row],[Dim]]=0,"","dim="&amp;Table1[[#This Row],[Dim]])</f>
        <v/>
      </c>
      <c r="F69" s="22"/>
      <c r="G69" s="22">
        <v>1</v>
      </c>
      <c r="H69" s="22" t="str">
        <f>IF(Table1[[#This Row],[Cdim]]=NOT(Table1[[#This Row],[Cdim]]=0),"","cdim= "&amp;Table1[[#This Row],[Cdim]])</f>
        <v/>
      </c>
      <c r="I69" s="22" t="str">
        <f>IF(Table1[[#This Row],[Rdim]]=NOT(Table1[[#This Row],[Rdim]]=0),"","rdim= "&amp;Table1[[#This Row],[Rdim]])</f>
        <v>rdim= 1</v>
      </c>
      <c r="J69" s="22"/>
      <c r="K69" s="22"/>
      <c r="L69" s="22" t="str">
        <f>IF(Table1[[#This Row],[ignoreRows]]=NOT(Table1[[#This Row],[ignoreRows]]=0),"","ignoreRows= "&amp;Table1[[#This Row],[ignoreRows]])</f>
        <v/>
      </c>
      <c r="M69" s="22" t="str">
        <f>IF(Table1[[#This Row],[ignoreColumns]]=NOT(Table1[[#This Row],[ignoreColumns]]=0),"","ignoreColumns= "&amp;Table1[[#This Row],[ignoreColumns]])</f>
        <v/>
      </c>
      <c r="N69" s="23" t="str">
        <f>IF(Table1[[#This Row],[Data Type]]="set","Y","N")</f>
        <v>Y</v>
      </c>
      <c r="O69" s="23" t="str">
        <f>IF(Table1[[#This Row],[Values=No Data '[Y/N']]]="Y","values=NoData","")</f>
        <v>values=NoData</v>
      </c>
      <c r="P69" s="23" t="str">
        <f>Table1[[#This Row],[Data Type]]&amp;"="&amp;Table1[[#This Row],[Name]]&amp;"    rng="&amp;Table1[[#This Row],[Range]]&amp;"    "&amp;Table1[[#This Row],[Values gams input]]&amp;"    "&amp;Table1[[#This Row],[dim input gams]]&amp;"    "&amp;Table1[[#This Row],[cdim gams input]]&amp;"     "&amp;Table1[[#This Row],[rdim gams input]]&amp;"     "&amp;Table1[[#This Row],[ignore rows gams input]]&amp;"     "&amp;Table1[[#This Row],[ignore colums gams input]]</f>
        <v>set=jFLT1    rng=Con_mat!A6:A8    values=NoData             rdim= 1          </v>
      </c>
      <c r="R69" s="24"/>
      <c r="S69" s="24"/>
    </row>
    <row r="70" ht="18.75" x14ac:dyDescent="0.3">
      <c r="A70" s="21" t="s">
        <v>144</v>
      </c>
      <c r="B70" s="22" t="s">
        <v>526</v>
      </c>
      <c r="C70" s="22" t="s">
        <v>252</v>
      </c>
      <c r="D70" s="22"/>
      <c r="E70" s="22" t="str">
        <f>IF(Table1[[#This Row],[Dim]]=0,"","dim="&amp;Table1[[#This Row],[Dim]])</f>
        <v/>
      </c>
      <c r="F70" s="22"/>
      <c r="G70" s="22">
        <v>1</v>
      </c>
      <c r="H70" s="22" t="str">
        <f>IF(Table1[[#This Row],[Cdim]]=NOT(Table1[[#This Row],[Cdim]]=0),"","cdim= "&amp;Table1[[#This Row],[Cdim]])</f>
        <v/>
      </c>
      <c r="I70" s="22" t="str">
        <f>IF(Table1[[#This Row],[Rdim]]=NOT(Table1[[#This Row],[Rdim]]=0),"","rdim= "&amp;Table1[[#This Row],[Rdim]])</f>
        <v>rdim= 1</v>
      </c>
      <c r="J70" s="22"/>
      <c r="K70" s="22"/>
      <c r="L70" s="22" t="str">
        <f>IF(Table1[[#This Row],[ignoreRows]]=NOT(Table1[[#This Row],[ignoreRows]]=0),"","ignoreRows= "&amp;Table1[[#This Row],[ignoreRows]])</f>
        <v/>
      </c>
      <c r="M70" s="22" t="str">
        <f>IF(Table1[[#This Row],[ignoreColumns]]=NOT(Table1[[#This Row],[ignoreColumns]]=0),"","ignoreColumns= "&amp;Table1[[#This Row],[ignoreColumns]])</f>
        <v/>
      </c>
      <c r="N70" s="23" t="str">
        <f>IF(Table1[[#This Row],[Data Type]]="set","Y","N")</f>
        <v>Y</v>
      </c>
      <c r="O70" s="23" t="str">
        <f>IF(Table1[[#This Row],[Values=No Data '[Y/N']]]="Y","values=NoData","")</f>
        <v>values=NoData</v>
      </c>
      <c r="P70" s="23" t="str">
        <f>Table1[[#This Row],[Data Type]]&amp;"="&amp;Table1[[#This Row],[Name]]&amp;"    rng="&amp;Table1[[#This Row],[Range]]&amp;"    "&amp;Table1[[#This Row],[Values gams input]]&amp;"    "&amp;Table1[[#This Row],[dim input gams]]&amp;"    "&amp;Table1[[#This Row],[cdim gams input]]&amp;"     "&amp;Table1[[#This Row],[rdim gams input]]&amp;"     "&amp;Table1[[#This Row],[ignore rows gams input]]&amp;"     "&amp;Table1[[#This Row],[ignore colums gams input]]</f>
        <v>set=jFLT1F    rng=Con_mat!A6:A6    values=NoData             rdim= 1          </v>
      </c>
      <c r="R70" s="24"/>
      <c r="S70" s="24"/>
    </row>
    <row r="71" ht="18.75" x14ac:dyDescent="0.3">
      <c r="A71" s="21" t="s">
        <v>144</v>
      </c>
      <c r="B71" s="22" t="s">
        <v>524</v>
      </c>
      <c r="C71" s="22" t="s">
        <v>253</v>
      </c>
      <c r="D71" s="22"/>
      <c r="E71" s="22" t="str">
        <f>IF(Table1[[#This Row],[Dim]]=0,"","dim="&amp;Table1[[#This Row],[Dim]])</f>
        <v/>
      </c>
      <c r="F71" s="22"/>
      <c r="G71" s="22">
        <v>1</v>
      </c>
      <c r="H71" s="22" t="str">
        <f>IF(Table1[[#This Row],[Cdim]]=NOT(Table1[[#This Row],[Cdim]]=0),"","cdim= "&amp;Table1[[#This Row],[Cdim]])</f>
        <v/>
      </c>
      <c r="I71" s="22" t="str">
        <f>IF(Table1[[#This Row],[Rdim]]=NOT(Table1[[#This Row],[Rdim]]=0),"","rdim= "&amp;Table1[[#This Row],[Rdim]])</f>
        <v>rdim= 1</v>
      </c>
      <c r="J71" s="22"/>
      <c r="K71" s="22"/>
      <c r="L71" s="22" t="str">
        <f>IF(Table1[[#This Row],[ignoreRows]]=NOT(Table1[[#This Row],[ignoreRows]]=0),"","ignoreRows= "&amp;Table1[[#This Row],[ignoreRows]])</f>
        <v/>
      </c>
      <c r="M71" s="22" t="str">
        <f>IF(Table1[[#This Row],[ignoreColumns]]=NOT(Table1[[#This Row],[ignoreColumns]]=0),"","ignoreColumns= "&amp;Table1[[#This Row],[ignoreColumns]])</f>
        <v/>
      </c>
      <c r="N71" s="23" t="str">
        <f>IF(Table1[[#This Row],[Data Type]]="set","Y","N")</f>
        <v>Y</v>
      </c>
      <c r="O71" s="23" t="str">
        <f>IF(Table1[[#This Row],[Values=No Data '[Y/N']]]="Y","values=NoData","")</f>
        <v>values=NoData</v>
      </c>
      <c r="P71" s="23" t="str">
        <f>Table1[[#This Row],[Data Type]]&amp;"="&amp;Table1[[#This Row],[Name]]&amp;"    rng="&amp;Table1[[#This Row],[Range]]&amp;"    "&amp;Table1[[#This Row],[Values gams input]]&amp;"    "&amp;Table1[[#This Row],[dim input gams]]&amp;"    "&amp;Table1[[#This Row],[cdim gams input]]&amp;"     "&amp;Table1[[#This Row],[rdim gams input]]&amp;"     "&amp;Table1[[#This Row],[ignore rows gams input]]&amp;"     "&amp;Table1[[#This Row],[ignore colums gams input]]</f>
        <v>set=jFLT1E    rng=Con_mat!A7:A7    values=NoData             rdim= 1          </v>
      </c>
      <c r="R71" s="24"/>
      <c r="S71" s="24"/>
    </row>
    <row r="72" ht="18.75" x14ac:dyDescent="0.3">
      <c r="A72" s="21" t="s">
        <v>144</v>
      </c>
      <c r="B72" s="22" t="s">
        <v>525</v>
      </c>
      <c r="C72" s="22" t="s">
        <v>254</v>
      </c>
      <c r="D72" s="22"/>
      <c r="E72" s="22" t="str">
        <f>IF(Table1[[#This Row],[Dim]]=0,"","dim="&amp;Table1[[#This Row],[Dim]])</f>
        <v/>
      </c>
      <c r="F72" s="22"/>
      <c r="G72" s="22">
        <v>1</v>
      </c>
      <c r="H72" s="22" t="str">
        <f>IF(Table1[[#This Row],[Cdim]]=NOT(Table1[[#This Row],[Cdim]]=0),"","cdim= "&amp;Table1[[#This Row],[Cdim]])</f>
        <v/>
      </c>
      <c r="I72" s="22" t="str">
        <f>IF(Table1[[#This Row],[Rdim]]=NOT(Table1[[#This Row],[Rdim]]=0),"","rdim= "&amp;Table1[[#This Row],[Rdim]])</f>
        <v>rdim= 1</v>
      </c>
      <c r="J72" s="22"/>
      <c r="K72" s="22"/>
      <c r="L72" s="22" t="str">
        <f>IF(Table1[[#This Row],[ignoreRows]]=NOT(Table1[[#This Row],[ignoreRows]]=0),"","ignoreRows= "&amp;Table1[[#This Row],[ignoreRows]])</f>
        <v/>
      </c>
      <c r="M72" s="22" t="str">
        <f>IF(Table1[[#This Row],[ignoreColumns]]=NOT(Table1[[#This Row],[ignoreColumns]]=0),"","ignoreColumns= "&amp;Table1[[#This Row],[ignoreColumns]])</f>
        <v/>
      </c>
      <c r="N72" s="23" t="str">
        <f>IF(Table1[[#This Row],[Data Type]]="set","Y","N")</f>
        <v>Y</v>
      </c>
      <c r="O72" s="23" t="str">
        <f>IF(Table1[[#This Row],[Values=No Data '[Y/N']]]="Y","values=NoData","")</f>
        <v>values=NoData</v>
      </c>
      <c r="P72" s="23" t="str">
        <f>Table1[[#This Row],[Data Type]]&amp;"="&amp;Table1[[#This Row],[Name]]&amp;"    rng="&amp;Table1[[#This Row],[Range]]&amp;"    "&amp;Table1[[#This Row],[Values gams input]]&amp;"    "&amp;Table1[[#This Row],[dim input gams]]&amp;"    "&amp;Table1[[#This Row],[cdim gams input]]&amp;"     "&amp;Table1[[#This Row],[rdim gams input]]&amp;"     "&amp;Table1[[#This Row],[ignore rows gams input]]&amp;"     "&amp;Table1[[#This Row],[ignore colums gams input]]</f>
        <v>set=jFLT1S    rng=Con_mat!A8:A8    values=NoData             rdim= 1          </v>
      </c>
      <c r="R72" s="24"/>
      <c r="S72" s="24"/>
    </row>
    <row r="73" ht="18.75" x14ac:dyDescent="0.3">
      <c r="A73" s="21" t="s">
        <v>144</v>
      </c>
      <c r="B73" s="22" t="s">
        <v>255</v>
      </c>
      <c r="C73" s="22" t="s">
        <v>256</v>
      </c>
      <c r="D73" s="22"/>
      <c r="E73" s="22" t="str">
        <f>IF(Table1[[#This Row],[Dim]]=0,"","dim="&amp;Table1[[#This Row],[Dim]])</f>
        <v/>
      </c>
      <c r="F73" s="22"/>
      <c r="G73" s="22">
        <v>1</v>
      </c>
      <c r="H73" s="22" t="str">
        <f>IF(Table1[[#This Row],[Cdim]]=NOT(Table1[[#This Row],[Cdim]]=0),"","cdim= "&amp;Table1[[#This Row],[Cdim]])</f>
        <v/>
      </c>
      <c r="I73" s="22" t="str">
        <f>IF(Table1[[#This Row],[Rdim]]=NOT(Table1[[#This Row],[Rdim]]=0),"","rdim= "&amp;Table1[[#This Row],[Rdim]])</f>
        <v>rdim= 1</v>
      </c>
      <c r="J73" s="22"/>
      <c r="K73" s="22"/>
      <c r="L73" s="22" t="str">
        <f>IF(Table1[[#This Row],[ignoreRows]]=NOT(Table1[[#This Row],[ignoreRows]]=0),"","ignoreRows= "&amp;Table1[[#This Row],[ignoreRows]])</f>
        <v/>
      </c>
      <c r="M73" s="22" t="str">
        <f>IF(Table1[[#This Row],[ignoreColumns]]=NOT(Table1[[#This Row],[ignoreColumns]]=0),"","ignoreColumns= "&amp;Table1[[#This Row],[ignoreColumns]])</f>
        <v/>
      </c>
      <c r="N73" s="23" t="str">
        <f>IF(Table1[[#This Row],[Data Type]]="set","Y","N")</f>
        <v>Y</v>
      </c>
      <c r="O73" s="23" t="str">
        <f>IF(Table1[[#This Row],[Values=No Data '[Y/N']]]="Y","values=NoData","")</f>
        <v>values=NoData</v>
      </c>
      <c r="P73" s="23" t="str">
        <f>Table1[[#This Row],[Data Type]]&amp;"="&amp;Table1[[#This Row],[Name]]&amp;"    rng="&amp;Table1[[#This Row],[Range]]&amp;"    "&amp;Table1[[#This Row],[Values gams input]]&amp;"    "&amp;Table1[[#This Row],[dim input gams]]&amp;"    "&amp;Table1[[#This Row],[cdim gams input]]&amp;"     "&amp;Table1[[#This Row],[rdim gams input]]&amp;"     "&amp;Table1[[#This Row],[ignore rows gams input]]&amp;"     "&amp;Table1[[#This Row],[ignore colums gams input]]</f>
        <v>set=jADS1    rng=Con_mat!A9:A11    values=NoData             rdim= 1          </v>
      </c>
      <c r="R73" s="24"/>
      <c r="S73" s="24"/>
    </row>
    <row r="74" x14ac:dyDescent="0.25">
      <c r="A74" s="21" t="s">
        <v>144</v>
      </c>
      <c r="B74" s="22" t="s">
        <v>257</v>
      </c>
      <c r="C74" s="22" t="s">
        <v>258</v>
      </c>
      <c r="D74" s="22"/>
      <c r="E74" s="22" t="str">
        <f>IF(Table1[[#This Row],[Dim]]=0,"","dim="&amp;Table1[[#This Row],[Dim]])</f>
        <v/>
      </c>
      <c r="F74" s="22"/>
      <c r="G74" s="22">
        <v>1</v>
      </c>
      <c r="H74" s="22" t="str">
        <f>IF(Table1[[#This Row],[Cdim]]=NOT(Table1[[#This Row],[Cdim]]=0),"","cdim= "&amp;Table1[[#This Row],[Cdim]])</f>
        <v/>
      </c>
      <c r="I74" s="22" t="str">
        <f>IF(Table1[[#This Row],[Rdim]]=NOT(Table1[[#This Row],[Rdim]]=0),"","rdim= "&amp;Table1[[#This Row],[Rdim]])</f>
        <v>rdim= 1</v>
      </c>
      <c r="J74" s="22"/>
      <c r="K74" s="22"/>
      <c r="L74" s="22" t="str">
        <f>IF(Table1[[#This Row],[ignoreRows]]=NOT(Table1[[#This Row],[ignoreRows]]=0),"","ignoreRows= "&amp;Table1[[#This Row],[ignoreRows]])</f>
        <v/>
      </c>
      <c r="M74" s="22" t="str">
        <f>IF(Table1[[#This Row],[ignoreColumns]]=NOT(Table1[[#This Row],[ignoreColumns]]=0),"","ignoreColumns= "&amp;Table1[[#This Row],[ignoreColumns]])</f>
        <v/>
      </c>
      <c r="N74" s="23" t="str">
        <f>IF(Table1[[#This Row],[Data Type]]="set","Y","N")</f>
        <v>Y</v>
      </c>
      <c r="O74" s="23" t="str">
        <f>IF(Table1[[#This Row],[Values=No Data '[Y/N']]]="Y","values=NoData","")</f>
        <v>values=NoData</v>
      </c>
      <c r="P74" s="23" t="str">
        <f>Table1[[#This Row],[Data Type]]&amp;"="&amp;Table1[[#This Row],[Name]]&amp;"    rng="&amp;Table1[[#This Row],[Range]]&amp;"    "&amp;Table1[[#This Row],[Values gams input]]&amp;"    "&amp;Table1[[#This Row],[dim input gams]]&amp;"    "&amp;Table1[[#This Row],[cdim gams input]]&amp;"     "&amp;Table1[[#This Row],[rdim gams input]]&amp;"     "&amp;Table1[[#This Row],[ignore rows gams input]]&amp;"     "&amp;Table1[[#This Row],[ignore colums gams input]]</f>
        <v>set=jADS1F    rng=Con_mat!A9:A9    values=NoData             rdim= 1          </v>
      </c>
    </row>
    <row r="75" x14ac:dyDescent="0.25">
      <c r="A75" s="21" t="s">
        <v>144</v>
      </c>
      <c r="B75" s="22" t="s">
        <v>260</v>
      </c>
      <c r="C75" s="22" t="s">
        <v>259</v>
      </c>
      <c r="D75" s="22"/>
      <c r="E75" s="22" t="str">
        <f>IF(Table1[[#This Row],[Dim]]=0,"","dim="&amp;Table1[[#This Row],[Dim]])</f>
        <v/>
      </c>
      <c r="F75" s="22"/>
      <c r="G75" s="22">
        <v>1</v>
      </c>
      <c r="H75" s="22" t="str">
        <f>IF(Table1[[#This Row],[Cdim]]=NOT(Table1[[#This Row],[Cdim]]=0),"","cdim= "&amp;Table1[[#This Row],[Cdim]])</f>
        <v/>
      </c>
      <c r="I75" s="22" t="str">
        <f>IF(Table1[[#This Row],[Rdim]]=NOT(Table1[[#This Row],[Rdim]]=0),"","rdim= "&amp;Table1[[#This Row],[Rdim]])</f>
        <v>rdim= 1</v>
      </c>
      <c r="J75" s="22"/>
      <c r="K75" s="22"/>
      <c r="L75" s="22" t="str">
        <f>IF(Table1[[#This Row],[ignoreRows]]=NOT(Table1[[#This Row],[ignoreRows]]=0),"","ignoreRows= "&amp;Table1[[#This Row],[ignoreRows]])</f>
        <v/>
      </c>
      <c r="M75" s="22" t="str">
        <f>IF(Table1[[#This Row],[ignoreColumns]]=NOT(Table1[[#This Row],[ignoreColumns]]=0),"","ignoreColumns= "&amp;Table1[[#This Row],[ignoreColumns]])</f>
        <v/>
      </c>
      <c r="N75" s="23" t="str">
        <f>IF(Table1[[#This Row],[Data Type]]="set","Y","N")</f>
        <v>Y</v>
      </c>
      <c r="O75" s="23" t="str">
        <f>IF(Table1[[#This Row],[Values=No Data '[Y/N']]]="Y","values=NoData","")</f>
        <v>values=NoData</v>
      </c>
      <c r="P75" s="23" t="str">
        <f>Table1[[#This Row],[Data Type]]&amp;"="&amp;Table1[[#This Row],[Name]]&amp;"    rng="&amp;Table1[[#This Row],[Range]]&amp;"    "&amp;Table1[[#This Row],[Values gams input]]&amp;"    "&amp;Table1[[#This Row],[dim input gams]]&amp;"    "&amp;Table1[[#This Row],[cdim gams input]]&amp;"     "&amp;Table1[[#This Row],[rdim gams input]]&amp;"     "&amp;Table1[[#This Row],[ignore rows gams input]]&amp;"     "&amp;Table1[[#This Row],[ignore colums gams input]]</f>
        <v>set=jADS1E    rng=Con_mat!A10:A10    values=NoData             rdim= 1          </v>
      </c>
    </row>
    <row r="76" x14ac:dyDescent="0.25">
      <c r="A76" s="21" t="s">
        <v>144</v>
      </c>
      <c r="B76" s="22" t="s">
        <v>560</v>
      </c>
      <c r="C76" s="22" t="s">
        <v>261</v>
      </c>
      <c r="D76" s="22"/>
      <c r="E76" s="22" t="str">
        <f>IF(Table1[[#This Row],[Dim]]=0,"","dim="&amp;Table1[[#This Row],[Dim]])</f>
        <v/>
      </c>
      <c r="F76" s="22"/>
      <c r="G76" s="22">
        <v>1</v>
      </c>
      <c r="H76" s="22" t="str">
        <f>IF(Table1[[#This Row],[Cdim]]=NOT(Table1[[#This Row],[Cdim]]=0),"","cdim= "&amp;Table1[[#This Row],[Cdim]])</f>
        <v/>
      </c>
      <c r="I76" s="22" t="str">
        <f>IF(Table1[[#This Row],[Rdim]]=NOT(Table1[[#This Row],[Rdim]]=0),"","rdim= "&amp;Table1[[#This Row],[Rdim]])</f>
        <v>rdim= 1</v>
      </c>
      <c r="J76" s="22"/>
      <c r="K76" s="22"/>
      <c r="L76" s="22" t="str">
        <f>IF(Table1[[#This Row],[ignoreRows]]=NOT(Table1[[#This Row],[ignoreRows]]=0),"","ignoreRows= "&amp;Table1[[#This Row],[ignoreRows]])</f>
        <v/>
      </c>
      <c r="M76" s="22" t="str">
        <f>IF(Table1[[#This Row],[ignoreColumns]]=NOT(Table1[[#This Row],[ignoreColumns]]=0),"","ignoreColumns= "&amp;Table1[[#This Row],[ignoreColumns]])</f>
        <v/>
      </c>
      <c r="N76" s="23" t="str">
        <f>IF(Table1[[#This Row],[Data Type]]="set","Y","N")</f>
        <v>Y</v>
      </c>
      <c r="O76" s="23" t="str">
        <f>IF(Table1[[#This Row],[Values=No Data '[Y/N']]]="Y","values=NoData","")</f>
        <v>values=NoData</v>
      </c>
      <c r="P76" s="23" t="str">
        <f>Table1[[#This Row],[Data Type]]&amp;"="&amp;Table1[[#This Row],[Name]]&amp;"    rng="&amp;Table1[[#This Row],[Range]]&amp;"    "&amp;Table1[[#This Row],[Values gams input]]&amp;"    "&amp;Table1[[#This Row],[dim input gams]]&amp;"    "&amp;Table1[[#This Row],[cdim gams input]]&amp;"     "&amp;Table1[[#This Row],[rdim gams input]]&amp;"     "&amp;Table1[[#This Row],[ignore rows gams input]]&amp;"     "&amp;Table1[[#This Row],[ignore colums gams input]]</f>
        <v>set=JADS1S    rng=Con_mat!A11:A11    values=NoData             rdim= 1          </v>
      </c>
    </row>
    <row r="77" x14ac:dyDescent="0.25">
      <c r="A77" s="21" t="s">
        <v>144</v>
      </c>
      <c r="B77" s="22" t="s">
        <v>262</v>
      </c>
      <c r="C77" s="22" t="s">
        <v>263</v>
      </c>
      <c r="D77" s="22"/>
      <c r="E77" s="22" t="str">
        <f>IF(Table1[[#This Row],[Dim]]=0,"","dim="&amp;Table1[[#This Row],[Dim]])</f>
        <v/>
      </c>
      <c r="F77" s="22"/>
      <c r="G77" s="22">
        <v>1</v>
      </c>
      <c r="H77" s="22" t="str">
        <f>IF(Table1[[#This Row],[Cdim]]=NOT(Table1[[#This Row],[Cdim]]=0),"","cdim= "&amp;Table1[[#This Row],[Cdim]])</f>
        <v/>
      </c>
      <c r="I77" s="22" t="str">
        <f>IF(Table1[[#This Row],[Rdim]]=NOT(Table1[[#This Row],[Rdim]]=0),"","rdim= "&amp;Table1[[#This Row],[Rdim]])</f>
        <v>rdim= 1</v>
      </c>
      <c r="J77" s="22"/>
      <c r="K77" s="22"/>
      <c r="L77" s="22" t="str">
        <f>IF(Table1[[#This Row],[ignoreRows]]=NOT(Table1[[#This Row],[ignoreRows]]=0),"","ignoreRows= "&amp;Table1[[#This Row],[ignoreRows]])</f>
        <v/>
      </c>
      <c r="M77" s="22" t="str">
        <f>IF(Table1[[#This Row],[ignoreColumns]]=NOT(Table1[[#This Row],[ignoreColumns]]=0),"","ignoreColumns= "&amp;Table1[[#This Row],[ignoreColumns]])</f>
        <v/>
      </c>
      <c r="N77" s="23" t="str">
        <f>IF(Table1[[#This Row],[Data Type]]="set","Y","N")</f>
        <v>Y</v>
      </c>
      <c r="O77" s="23" t="str">
        <f>IF(Table1[[#This Row],[Values=No Data '[Y/N']]]="Y","values=NoData","")</f>
        <v>values=NoData</v>
      </c>
      <c r="P77" s="23" t="str">
        <f>Table1[[#This Row],[Data Type]]&amp;"="&amp;Table1[[#This Row],[Name]]&amp;"    rng="&amp;Table1[[#This Row],[Range]]&amp;"    "&amp;Table1[[#This Row],[Values gams input]]&amp;"    "&amp;Table1[[#This Row],[dim input gams]]&amp;"    "&amp;Table1[[#This Row],[cdim gams input]]&amp;"     "&amp;Table1[[#This Row],[rdim gams input]]&amp;"     "&amp;Table1[[#This Row],[ignore rows gams input]]&amp;"     "&amp;Table1[[#This Row],[ignore colums gams input]]</f>
        <v>set=jPRC    rng=Con_mat!A12:A14    values=NoData             rdim= 1          </v>
      </c>
    </row>
    <row r="78" x14ac:dyDescent="0.25">
      <c r="A78" s="21" t="s">
        <v>144</v>
      </c>
      <c r="B78" s="22" t="s">
        <v>264</v>
      </c>
      <c r="C78" s="22" t="s">
        <v>265</v>
      </c>
      <c r="D78" s="22"/>
      <c r="E78" s="22" t="str">
        <f>IF(Table1[[#This Row],[Dim]]=0,"","dim="&amp;Table1[[#This Row],[Dim]])</f>
        <v/>
      </c>
      <c r="F78" s="22"/>
      <c r="G78" s="22">
        <v>1</v>
      </c>
      <c r="H78" s="22" t="str">
        <f>IF(Table1[[#This Row],[Cdim]]=NOT(Table1[[#This Row],[Cdim]]=0),"","cdim= "&amp;Table1[[#This Row],[Cdim]])</f>
        <v/>
      </c>
      <c r="I78" s="22" t="str">
        <f>IF(Table1[[#This Row],[Rdim]]=NOT(Table1[[#This Row],[Rdim]]=0),"","rdim= "&amp;Table1[[#This Row],[Rdim]])</f>
        <v>rdim= 1</v>
      </c>
      <c r="J78" s="22"/>
      <c r="K78" s="22"/>
      <c r="L78" s="22" t="str">
        <f>IF(Table1[[#This Row],[ignoreRows]]=NOT(Table1[[#This Row],[ignoreRows]]=0),"","ignoreRows= "&amp;Table1[[#This Row],[ignoreRows]])</f>
        <v/>
      </c>
      <c r="M78" s="22" t="str">
        <f>IF(Table1[[#This Row],[ignoreColumns]]=NOT(Table1[[#This Row],[ignoreColumns]]=0),"","ignoreColumns= "&amp;Table1[[#This Row],[ignoreColumns]])</f>
        <v/>
      </c>
      <c r="N78" s="23" t="str">
        <f>IF(Table1[[#This Row],[Data Type]]="set","Y","N")</f>
        <v>Y</v>
      </c>
      <c r="O78" s="23" t="str">
        <f>IF(Table1[[#This Row],[Values=No Data '[Y/N']]]="Y","values=NoData","")</f>
        <v>values=NoData</v>
      </c>
      <c r="P78" s="23" t="str">
        <f>Table1[[#This Row],[Data Type]]&amp;"="&amp;Table1[[#This Row],[Name]]&amp;"    rng="&amp;Table1[[#This Row],[Range]]&amp;"    "&amp;Table1[[#This Row],[Values gams input]]&amp;"    "&amp;Table1[[#This Row],[dim input gams]]&amp;"    "&amp;Table1[[#This Row],[cdim gams input]]&amp;"     "&amp;Table1[[#This Row],[rdim gams input]]&amp;"     "&amp;Table1[[#This Row],[ignore rows gams input]]&amp;"     "&amp;Table1[[#This Row],[ignore colums gams input]]</f>
        <v>set=jPRCF    rng=Con_mat!A12:A12    values=NoData             rdim= 1          </v>
      </c>
    </row>
    <row r="79" x14ac:dyDescent="0.25">
      <c r="A79" s="21" t="s">
        <v>144</v>
      </c>
      <c r="B79" s="22" t="s">
        <v>267</v>
      </c>
      <c r="C79" s="22" t="s">
        <v>266</v>
      </c>
      <c r="D79" s="22"/>
      <c r="E79" s="22" t="str">
        <f>IF(Table1[[#This Row],[Dim]]=0,"","dim="&amp;Table1[[#This Row],[Dim]])</f>
        <v/>
      </c>
      <c r="F79" s="22"/>
      <c r="G79" s="22">
        <v>1</v>
      </c>
      <c r="H79" s="22" t="str">
        <f>IF(Table1[[#This Row],[Cdim]]=NOT(Table1[[#This Row],[Cdim]]=0),"","cdim= "&amp;Table1[[#This Row],[Cdim]])</f>
        <v/>
      </c>
      <c r="I79" s="22" t="str">
        <f>IF(Table1[[#This Row],[Rdim]]=NOT(Table1[[#This Row],[Rdim]]=0),"","rdim= "&amp;Table1[[#This Row],[Rdim]])</f>
        <v>rdim= 1</v>
      </c>
      <c r="J79" s="22"/>
      <c r="K79" s="22"/>
      <c r="L79" s="22" t="str">
        <f>IF(Table1[[#This Row],[ignoreRows]]=NOT(Table1[[#This Row],[ignoreRows]]=0),"","ignoreRows= "&amp;Table1[[#This Row],[ignoreRows]])</f>
        <v/>
      </c>
      <c r="M79" s="22" t="str">
        <f>IF(Table1[[#This Row],[ignoreColumns]]=NOT(Table1[[#This Row],[ignoreColumns]]=0),"","ignoreColumns= "&amp;Table1[[#This Row],[ignoreColumns]])</f>
        <v/>
      </c>
      <c r="N79" s="23" t="str">
        <f>IF(Table1[[#This Row],[Data Type]]="set","Y","N")</f>
        <v>Y</v>
      </c>
      <c r="O79" s="23" t="str">
        <f>IF(Table1[[#This Row],[Values=No Data '[Y/N']]]="Y","values=NoData","")</f>
        <v>values=NoData</v>
      </c>
      <c r="P79" s="23" t="str">
        <f>Table1[[#This Row],[Data Type]]&amp;"="&amp;Table1[[#This Row],[Name]]&amp;"    rng="&amp;Table1[[#This Row],[Range]]&amp;"    "&amp;Table1[[#This Row],[Values gams input]]&amp;"    "&amp;Table1[[#This Row],[dim input gams]]&amp;"    "&amp;Table1[[#This Row],[cdim gams input]]&amp;"     "&amp;Table1[[#This Row],[rdim gams input]]&amp;"     "&amp;Table1[[#This Row],[ignore rows gams input]]&amp;"     "&amp;Table1[[#This Row],[ignore colums gams input]]</f>
        <v>set=jPRCE    rng=Con_mat!A13:A13    values=NoData             rdim= 1          </v>
      </c>
    </row>
    <row r="80" x14ac:dyDescent="0.25">
      <c r="A80" s="21" t="s">
        <v>144</v>
      </c>
      <c r="B80" s="22" t="s">
        <v>563</v>
      </c>
      <c r="C80" s="22" t="s">
        <v>268</v>
      </c>
      <c r="D80" s="22"/>
      <c r="E80" s="22" t="str">
        <f>IF(Table1[[#This Row],[Dim]]=0,"","dim="&amp;Table1[[#This Row],[Dim]])</f>
        <v/>
      </c>
      <c r="F80" s="22"/>
      <c r="G80" s="22">
        <v>1</v>
      </c>
      <c r="H80" s="22" t="str">
        <f>IF(Table1[[#This Row],[Cdim]]=NOT(Table1[[#This Row],[Cdim]]=0),"","cdim= "&amp;Table1[[#This Row],[Cdim]])</f>
        <v/>
      </c>
      <c r="I80" s="22" t="str">
        <f>IF(Table1[[#This Row],[Rdim]]=NOT(Table1[[#This Row],[Rdim]]=0),"","rdim= "&amp;Table1[[#This Row],[Rdim]])</f>
        <v>rdim= 1</v>
      </c>
      <c r="J80" s="22"/>
      <c r="K80" s="22"/>
      <c r="L80" s="22" t="str">
        <f>IF(Table1[[#This Row],[ignoreRows]]=NOT(Table1[[#This Row],[ignoreRows]]=0),"","ignoreRows= "&amp;Table1[[#This Row],[ignoreRows]])</f>
        <v/>
      </c>
      <c r="M80" s="22" t="str">
        <f>IF(Table1[[#This Row],[ignoreColumns]]=NOT(Table1[[#This Row],[ignoreColumns]]=0),"","ignoreColumns= "&amp;Table1[[#This Row],[ignoreColumns]])</f>
        <v/>
      </c>
      <c r="N80" s="23" t="str">
        <f>IF(Table1[[#This Row],[Data Type]]="set","Y","N")</f>
        <v>Y</v>
      </c>
      <c r="O80" s="23" t="str">
        <f>IF(Table1[[#This Row],[Values=No Data '[Y/N']]]="Y","values=NoData","")</f>
        <v>values=NoData</v>
      </c>
      <c r="P80" s="23" t="str">
        <f>Table1[[#This Row],[Data Type]]&amp;"="&amp;Table1[[#This Row],[Name]]&amp;"    rng="&amp;Table1[[#This Row],[Range]]&amp;"    "&amp;Table1[[#This Row],[Values gams input]]&amp;"    "&amp;Table1[[#This Row],[dim input gams]]&amp;"    "&amp;Table1[[#This Row],[cdim gams input]]&amp;"     "&amp;Table1[[#This Row],[rdim gams input]]&amp;"     "&amp;Table1[[#This Row],[ignore rows gams input]]&amp;"     "&amp;Table1[[#This Row],[ignore colums gams input]]</f>
        <v>set=jPRCS     rng=Con_mat!A14:A14    values=NoData             rdim= 1          </v>
      </c>
    </row>
    <row r="81" x14ac:dyDescent="0.25">
      <c r="A81" s="21" t="s">
        <v>144</v>
      </c>
      <c r="B81" s="22" t="s">
        <v>269</v>
      </c>
      <c r="C81" s="22" t="s">
        <v>270</v>
      </c>
      <c r="D81" s="22"/>
      <c r="E81" s="22" t="str">
        <f>IF(Table1[[#This Row],[Dim]]=0,"","dim="&amp;Table1[[#This Row],[Dim]])</f>
        <v/>
      </c>
      <c r="F81" s="22"/>
      <c r="G81" s="22">
        <v>1</v>
      </c>
      <c r="H81" s="22" t="str">
        <f>IF(Table1[[#This Row],[Cdim]]=NOT(Table1[[#This Row],[Cdim]]=0),"","cdim= "&amp;Table1[[#This Row],[Cdim]])</f>
        <v/>
      </c>
      <c r="I81" s="22" t="str">
        <f>IF(Table1[[#This Row],[Rdim]]=NOT(Table1[[#This Row],[Rdim]]=0),"","rdim= "&amp;Table1[[#This Row],[Rdim]])</f>
        <v>rdim= 1</v>
      </c>
      <c r="J81" s="22"/>
      <c r="K81" s="22"/>
      <c r="L81" s="22" t="str">
        <f>IF(Table1[[#This Row],[ignoreRows]]=NOT(Table1[[#This Row],[ignoreRows]]=0),"","ignoreRows= "&amp;Table1[[#This Row],[ignoreRows]])</f>
        <v/>
      </c>
      <c r="M81" s="22" t="str">
        <f>IF(Table1[[#This Row],[ignoreColumns]]=NOT(Table1[[#This Row],[ignoreColumns]]=0),"","ignoreColumns= "&amp;Table1[[#This Row],[ignoreColumns]])</f>
        <v/>
      </c>
      <c r="N81" s="23" t="str">
        <f>IF(Table1[[#This Row],[Data Type]]="set","Y","N")</f>
        <v>Y</v>
      </c>
      <c r="O81" s="23" t="str">
        <f>IF(Table1[[#This Row],[Values=No Data '[Y/N']]]="Y","values=NoData","")</f>
        <v>values=NoData</v>
      </c>
      <c r="P81" s="23" t="str">
        <f>Table1[[#This Row],[Data Type]]&amp;"="&amp;Table1[[#This Row],[Name]]&amp;"    rng="&amp;Table1[[#This Row],[Range]]&amp;"    "&amp;Table1[[#This Row],[Values gams input]]&amp;"    "&amp;Table1[[#This Row],[dim input gams]]&amp;"    "&amp;Table1[[#This Row],[cdim gams input]]&amp;"     "&amp;Table1[[#This Row],[rdim gams input]]&amp;"     "&amp;Table1[[#This Row],[ignore rows gams input]]&amp;"     "&amp;Table1[[#This Row],[ignore colums gams input]]</f>
        <v>set=jCNF    rng=Con_mat!A15:A17    values=NoData             rdim= 1          </v>
      </c>
    </row>
    <row r="82" x14ac:dyDescent="0.25">
      <c r="A82" s="21" t="s">
        <v>144</v>
      </c>
      <c r="B82" s="22" t="s">
        <v>271</v>
      </c>
      <c r="C82" s="22" t="s">
        <v>272</v>
      </c>
      <c r="D82" s="22"/>
      <c r="E82" s="22" t="str">
        <f>IF(Table1[[#This Row],[Dim]]=0,"","dim="&amp;Table1[[#This Row],[Dim]])</f>
        <v/>
      </c>
      <c r="F82" s="22"/>
      <c r="G82" s="22">
        <v>1</v>
      </c>
      <c r="H82" s="22" t="str">
        <f>IF(Table1[[#This Row],[Cdim]]=NOT(Table1[[#This Row],[Cdim]]=0),"","cdim= "&amp;Table1[[#This Row],[Cdim]])</f>
        <v/>
      </c>
      <c r="I82" s="22" t="str">
        <f>IF(Table1[[#This Row],[Rdim]]=NOT(Table1[[#This Row],[Rdim]]=0),"","rdim= "&amp;Table1[[#This Row],[Rdim]])</f>
        <v>rdim= 1</v>
      </c>
      <c r="J82" s="22"/>
      <c r="K82" s="22"/>
      <c r="L82" s="22" t="str">
        <f>IF(Table1[[#This Row],[ignoreRows]]=NOT(Table1[[#This Row],[ignoreRows]]=0),"","ignoreRows= "&amp;Table1[[#This Row],[ignoreRows]])</f>
        <v/>
      </c>
      <c r="M82" s="22" t="str">
        <f>IF(Table1[[#This Row],[ignoreColumns]]=NOT(Table1[[#This Row],[ignoreColumns]]=0),"","ignoreColumns= "&amp;Table1[[#This Row],[ignoreColumns]])</f>
        <v/>
      </c>
      <c r="N82" s="23" t="str">
        <f>IF(Table1[[#This Row],[Data Type]]="set","Y","N")</f>
        <v>Y</v>
      </c>
      <c r="O82" s="23" t="str">
        <f>IF(Table1[[#This Row],[Values=No Data '[Y/N']]]="Y","values=NoData","")</f>
        <v>values=NoData</v>
      </c>
      <c r="P82" s="23" t="str">
        <f>Table1[[#This Row],[Data Type]]&amp;"="&amp;Table1[[#This Row],[Name]]&amp;"    rng="&amp;Table1[[#This Row],[Range]]&amp;"    "&amp;Table1[[#This Row],[Values gams input]]&amp;"    "&amp;Table1[[#This Row],[dim input gams]]&amp;"    "&amp;Table1[[#This Row],[cdim gams input]]&amp;"     "&amp;Table1[[#This Row],[rdim gams input]]&amp;"     "&amp;Table1[[#This Row],[ignore rows gams input]]&amp;"     "&amp;Table1[[#This Row],[ignore colums gams input]]</f>
        <v>set=jCNFF    rng=Con_mat!A15:A15    values=NoData             rdim= 1          </v>
      </c>
    </row>
    <row r="83" x14ac:dyDescent="0.25">
      <c r="A83" s="21" t="s">
        <v>144</v>
      </c>
      <c r="B83" s="22" t="s">
        <v>564</v>
      </c>
      <c r="C83" s="22" t="s">
        <v>273</v>
      </c>
      <c r="D83" s="22"/>
      <c r="E83" s="22" t="str">
        <f>IF(Table1[[#This Row],[Dim]]=0,"","dim="&amp;Table1[[#This Row],[Dim]])</f>
        <v/>
      </c>
      <c r="F83" s="22"/>
      <c r="G83" s="22">
        <v>1</v>
      </c>
      <c r="H83" s="22" t="str">
        <f>IF(Table1[[#This Row],[Cdim]]=NOT(Table1[[#This Row],[Cdim]]=0),"","cdim= "&amp;Table1[[#This Row],[Cdim]])</f>
        <v/>
      </c>
      <c r="I83" s="22" t="str">
        <f>IF(Table1[[#This Row],[Rdim]]=NOT(Table1[[#This Row],[Rdim]]=0),"","rdim= "&amp;Table1[[#This Row],[Rdim]])</f>
        <v>rdim= 1</v>
      </c>
      <c r="J83" s="22"/>
      <c r="K83" s="22"/>
      <c r="L83" s="22" t="str">
        <f>IF(Table1[[#This Row],[ignoreRows]]=NOT(Table1[[#This Row],[ignoreRows]]=0),"","ignoreRows= "&amp;Table1[[#This Row],[ignoreRows]])</f>
        <v/>
      </c>
      <c r="M83" s="22" t="str">
        <f>IF(Table1[[#This Row],[ignoreColumns]]=NOT(Table1[[#This Row],[ignoreColumns]]=0),"","ignoreColumns= "&amp;Table1[[#This Row],[ignoreColumns]])</f>
        <v/>
      </c>
      <c r="N83" s="23" t="str">
        <f>IF(Table1[[#This Row],[Data Type]]="set","Y","N")</f>
        <v>Y</v>
      </c>
      <c r="O83" s="23" t="str">
        <f>IF(Table1[[#This Row],[Values=No Data '[Y/N']]]="Y","values=NoData","")</f>
        <v>values=NoData</v>
      </c>
      <c r="P83" s="23" t="str">
        <f>Table1[[#This Row],[Data Type]]&amp;"="&amp;Table1[[#This Row],[Name]]&amp;"    rng="&amp;Table1[[#This Row],[Range]]&amp;"    "&amp;Table1[[#This Row],[Values gams input]]&amp;"    "&amp;Table1[[#This Row],[dim input gams]]&amp;"    "&amp;Table1[[#This Row],[cdim gams input]]&amp;"     "&amp;Table1[[#This Row],[rdim gams input]]&amp;"     "&amp;Table1[[#This Row],[ignore rows gams input]]&amp;"     "&amp;Table1[[#This Row],[ignore colums gams input]]</f>
        <v>set=jCNFE     rng=Con_mat!A16:A16    values=NoData             rdim= 1          </v>
      </c>
    </row>
    <row r="84" x14ac:dyDescent="0.25">
      <c r="A84" s="21" t="s">
        <v>144</v>
      </c>
      <c r="B84" s="22" t="s">
        <v>565</v>
      </c>
      <c r="C84" s="22" t="s">
        <v>274</v>
      </c>
      <c r="D84" s="22"/>
      <c r="E84" s="22" t="str">
        <f>IF(Table1[[#This Row],[Dim]]=0,"","dim="&amp;Table1[[#This Row],[Dim]])</f>
        <v/>
      </c>
      <c r="F84" s="22"/>
      <c r="G84" s="22">
        <v>1</v>
      </c>
      <c r="H84" s="22" t="str">
        <f>IF(Table1[[#This Row],[Cdim]]=NOT(Table1[[#This Row],[Cdim]]=0),"","cdim= "&amp;Table1[[#This Row],[Cdim]])</f>
        <v/>
      </c>
      <c r="I84" s="22" t="str">
        <f>IF(Table1[[#This Row],[Rdim]]=NOT(Table1[[#This Row],[Rdim]]=0),"","rdim= "&amp;Table1[[#This Row],[Rdim]])</f>
        <v>rdim= 1</v>
      </c>
      <c r="J84" s="22"/>
      <c r="K84" s="22"/>
      <c r="L84" s="22" t="str">
        <f>IF(Table1[[#This Row],[ignoreRows]]=NOT(Table1[[#This Row],[ignoreRows]]=0),"","ignoreRows= "&amp;Table1[[#This Row],[ignoreRows]])</f>
        <v/>
      </c>
      <c r="M84" s="22" t="str">
        <f>IF(Table1[[#This Row],[ignoreColumns]]=NOT(Table1[[#This Row],[ignoreColumns]]=0),"","ignoreColumns= "&amp;Table1[[#This Row],[ignoreColumns]])</f>
        <v/>
      </c>
      <c r="N84" s="23" t="str">
        <f>IF(Table1[[#This Row],[Data Type]]="set","Y","N")</f>
        <v>Y</v>
      </c>
      <c r="O84" s="23" t="str">
        <f>IF(Table1[[#This Row],[Values=No Data '[Y/N']]]="Y","values=NoData","")</f>
        <v>values=NoData</v>
      </c>
      <c r="P84" s="23" t="str">
        <f>Table1[[#This Row],[Data Type]]&amp;"="&amp;Table1[[#This Row],[Name]]&amp;"    rng="&amp;Table1[[#This Row],[Range]]&amp;"    "&amp;Table1[[#This Row],[Values gams input]]&amp;"    "&amp;Table1[[#This Row],[dim input gams]]&amp;"    "&amp;Table1[[#This Row],[cdim gams input]]&amp;"     "&amp;Table1[[#This Row],[rdim gams input]]&amp;"     "&amp;Table1[[#This Row],[ignore rows gams input]]&amp;"     "&amp;Table1[[#This Row],[ignore colums gams input]]</f>
        <v>set=jCNFS     rng=Con_mat!A17:A17    values=NoData             rdim= 1          </v>
      </c>
    </row>
    <row r="85" x14ac:dyDescent="0.25">
      <c r="A85" s="21" t="s">
        <v>144</v>
      </c>
      <c r="B85" s="22" t="s">
        <v>275</v>
      </c>
      <c r="C85" s="22" t="s">
        <v>276</v>
      </c>
      <c r="D85" s="22"/>
      <c r="E85" s="22" t="str">
        <f>IF(Table1[[#This Row],[Dim]]=0,"","dim="&amp;Table1[[#This Row],[Dim]])</f>
        <v/>
      </c>
      <c r="F85" s="22"/>
      <c r="G85" s="22">
        <v>1</v>
      </c>
      <c r="H85" s="22" t="str">
        <f>IF(Table1[[#This Row],[Cdim]]=NOT(Table1[[#This Row],[Cdim]]=0),"","cdim= "&amp;Table1[[#This Row],[Cdim]])</f>
        <v/>
      </c>
      <c r="I85" s="22" t="str">
        <f>IF(Table1[[#This Row],[Rdim]]=NOT(Table1[[#This Row],[Rdim]]=0),"","rdim= "&amp;Table1[[#This Row],[Rdim]])</f>
        <v>rdim= 1</v>
      </c>
      <c r="J85" s="22" t="s">
        <v>277</v>
      </c>
      <c r="K85" s="22"/>
      <c r="L85" s="22" t="str">
        <f>IF(Table1[[#This Row],[ignoreRows]]=NOT(Table1[[#This Row],[ignoreRows]]=0),"","ignoreRows= "&amp;Table1[[#This Row],[ignoreRows]])</f>
        <v>ignoreRows= 6,7,9,10,12,13,15,16</v>
      </c>
      <c r="M85" s="22" t="str">
        <f>IF(Table1[[#This Row],[ignoreColumns]]=NOT(Table1[[#This Row],[ignoreColumns]]=0),"","ignoreColumns= "&amp;Table1[[#This Row],[ignoreColumns]])</f>
        <v/>
      </c>
      <c r="N85" s="23" t="str">
        <f>IF(Table1[[#This Row],[Data Type]]="set","Y","N")</f>
        <v>Y</v>
      </c>
      <c r="O85" s="23" t="str">
        <f>IF(Table1[[#This Row],[Values=No Data '[Y/N']]]="Y","values=NoData","")</f>
        <v>values=NoData</v>
      </c>
      <c r="P85" s="23" t="str">
        <f>Table1[[#This Row],[Data Type]]&amp;"="&amp;Table1[[#This Row],[Name]]&amp;"    rng="&amp;Table1[[#This Row],[Range]]&amp;"    "&amp;Table1[[#This Row],[Values gams input]]&amp;"    "&amp;Table1[[#This Row],[dim input gams]]&amp;"    "&amp;Table1[[#This Row],[cdim gams input]]&amp;"     "&amp;Table1[[#This Row],[rdim gams input]]&amp;"     "&amp;Table1[[#This Row],[ignore rows gams input]]&amp;"     "&amp;Table1[[#This Row],[ignore colums gams input]]</f>
        <v>set=jmix1    rng=Con_mat!A5:A18    values=NoData             rdim= 1     ignoreRows= 6,7,9,10,12,13,15,16     </v>
      </c>
    </row>
    <row r="86" x14ac:dyDescent="0.25">
      <c r="A86" s="21" t="s">
        <v>144</v>
      </c>
      <c r="B86" s="22" t="s">
        <v>278</v>
      </c>
      <c r="C86" s="22" t="s">
        <v>279</v>
      </c>
      <c r="D86" s="22"/>
      <c r="E86" s="22" t="str">
        <f>IF(Table1[[#This Row],[Dim]]=0,"","dim="&amp;Table1[[#This Row],[Dim]])</f>
        <v/>
      </c>
      <c r="F86" s="22"/>
      <c r="G86" s="22">
        <v>1</v>
      </c>
      <c r="H86" s="22" t="str">
        <f>IF(Table1[[#This Row],[Cdim]]=NOT(Table1[[#This Row],[Cdim]]=0),"","cdim= "&amp;Table1[[#This Row],[Cdim]])</f>
        <v/>
      </c>
      <c r="I86" s="22" t="str">
        <f>IF(Table1[[#This Row],[Rdim]]=NOT(Table1[[#This Row],[Rdim]]=0),"","rdim= "&amp;Table1[[#This Row],[Rdim]])</f>
        <v>rdim= 1</v>
      </c>
      <c r="J86" s="22" t="s">
        <v>280</v>
      </c>
      <c r="K86" s="22"/>
      <c r="L86" s="22" t="str">
        <f>IF(Table1[[#This Row],[ignoreRows]]=NOT(Table1[[#This Row],[ignoreRows]]=0),"","ignoreRows= "&amp;Table1[[#This Row],[ignoreRows]])</f>
        <v>ignoreRows= 6,7,9,10,12,13,15,17</v>
      </c>
      <c r="M86" s="22" t="str">
        <f>IF(Table1[[#This Row],[ignoreColumns]]=NOT(Table1[[#This Row],[ignoreColumns]]=0),"","ignoreColumns= "&amp;Table1[[#This Row],[ignoreColumns]])</f>
        <v/>
      </c>
      <c r="N86" s="23" t="str">
        <f>IF(Table1[[#This Row],[Data Type]]="set","Y","N")</f>
        <v>Y</v>
      </c>
      <c r="O86" s="23" t="str">
        <f>IF(Table1[[#This Row],[Values=No Data '[Y/N']]]="Y","values=NoData","")</f>
        <v>values=NoData</v>
      </c>
      <c r="P86" s="23" t="str">
        <f>Table1[[#This Row],[Data Type]]&amp;"="&amp;Table1[[#This Row],[Name]]&amp;"    rng="&amp;Table1[[#This Row],[Range]]&amp;"    "&amp;Table1[[#This Row],[Values gams input]]&amp;"    "&amp;Table1[[#This Row],[dim input gams]]&amp;"    "&amp;Table1[[#This Row],[cdim gams input]]&amp;"     "&amp;Table1[[#This Row],[rdim gams input]]&amp;"     "&amp;Table1[[#This Row],[ignore rows gams input]]&amp;"     "&amp;Table1[[#This Row],[ignore colums gams input]]</f>
        <v>set=jmix1F    rng=Con_mat!A5:A17    values=NoData             rdim= 1     ignoreRows= 6,7,9,10,12,13,15,17     </v>
      </c>
    </row>
    <row r="87" x14ac:dyDescent="0.25">
      <c r="A87" s="21" t="s">
        <v>144</v>
      </c>
      <c r="B87" s="22" t="s">
        <v>281</v>
      </c>
      <c r="C87" s="22" t="s">
        <v>282</v>
      </c>
      <c r="D87" s="22"/>
      <c r="E87" s="22" t="str">
        <f>IF(Table1[[#This Row],[Dim]]=0,"","dim="&amp;Table1[[#This Row],[Dim]])</f>
        <v/>
      </c>
      <c r="F87" s="22"/>
      <c r="G87" s="22">
        <v>1</v>
      </c>
      <c r="H87" s="22" t="str">
        <f>IF(Table1[[#This Row],[Cdim]]=NOT(Table1[[#This Row],[Cdim]]=0),"","cdim= "&amp;Table1[[#This Row],[Cdim]])</f>
        <v/>
      </c>
      <c r="I87" s="22" t="str">
        <f>IF(Table1[[#This Row],[Rdim]]=NOT(Table1[[#This Row],[Rdim]]=0),"","rdim= "&amp;Table1[[#This Row],[Rdim]])</f>
        <v>rdim= 1</v>
      </c>
      <c r="J87" s="22"/>
      <c r="K87" s="22"/>
      <c r="L87" s="22" t="str">
        <f>IF(Table1[[#This Row],[ignoreRows]]=NOT(Table1[[#This Row],[ignoreRows]]=0),"","ignoreRows= "&amp;Table1[[#This Row],[ignoreRows]])</f>
        <v/>
      </c>
      <c r="M87" s="22" t="str">
        <f>IF(Table1[[#This Row],[ignoreColumns]]=NOT(Table1[[#This Row],[ignoreColumns]]=0),"","ignoreColumns= "&amp;Table1[[#This Row],[ignoreColumns]])</f>
        <v/>
      </c>
      <c r="N87" s="23" t="str">
        <f>IF(Table1[[#This Row],[Data Type]]="set","Y","N")</f>
        <v>Y</v>
      </c>
      <c r="O87" s="23" t="str">
        <f>IF(Table1[[#This Row],[Values=No Data '[Y/N']]]="Y","values=NoData","")</f>
        <v>values=NoData</v>
      </c>
      <c r="P87" s="23" t="str">
        <f>Table1[[#This Row],[Data Type]]&amp;"="&amp;Table1[[#This Row],[Name]]&amp;"    rng="&amp;Table1[[#This Row],[Range]]&amp;"    "&amp;Table1[[#This Row],[Values gams input]]&amp;"    "&amp;Table1[[#This Row],[dim input gams]]&amp;"    "&amp;Table1[[#This Row],[cdim gams input]]&amp;"     "&amp;Table1[[#This Row],[rdim gams input]]&amp;"     "&amp;Table1[[#This Row],[ignore rows gams input]]&amp;"     "&amp;Table1[[#This Row],[ignore colums gams input]]</f>
        <v>set=jmix1E    rng=Con_mat!A18:A18    values=NoData             rdim= 1          </v>
      </c>
    </row>
    <row r="88" x14ac:dyDescent="0.25">
      <c r="A88" s="21" t="s">
        <v>144</v>
      </c>
      <c r="B88" s="22" t="s">
        <v>283</v>
      </c>
      <c r="C88" s="22" t="s">
        <v>284</v>
      </c>
      <c r="D88" s="22"/>
      <c r="E88" s="22" t="str">
        <f>IF(Table1[[#This Row],[Dim]]=0,"","dim="&amp;Table1[[#This Row],[Dim]])</f>
        <v/>
      </c>
      <c r="F88" s="22"/>
      <c r="G88" s="22">
        <v>1</v>
      </c>
      <c r="H88" s="22" t="str">
        <f>IF(Table1[[#This Row],[Cdim]]=NOT(Table1[[#This Row],[Cdim]]=0),"","cdim= "&amp;Table1[[#This Row],[Cdim]])</f>
        <v/>
      </c>
      <c r="I88" s="22" t="str">
        <f>IF(Table1[[#This Row],[Rdim]]=NOT(Table1[[#This Row],[Rdim]]=0),"","rdim= "&amp;Table1[[#This Row],[Rdim]])</f>
        <v>rdim= 1</v>
      </c>
      <c r="J88" s="22" t="s">
        <v>285</v>
      </c>
      <c r="K88" s="22"/>
      <c r="L88" s="22" t="str">
        <f>IF(Table1[[#This Row],[ignoreRows]]=NOT(Table1[[#This Row],[ignoreRows]]=0),"","ignoreRows= "&amp;Table1[[#This Row],[ignoreRows]])</f>
        <v>ignoreRows= 20,21,23,24,26,27</v>
      </c>
      <c r="M88" s="22" t="str">
        <f>IF(Table1[[#This Row],[ignoreColumns]]=NOT(Table1[[#This Row],[ignoreColumns]]=0),"","ignoreColumns= "&amp;Table1[[#This Row],[ignoreColumns]])</f>
        <v/>
      </c>
      <c r="N88" s="23" t="str">
        <f>IF(Table1[[#This Row],[Data Type]]="set","Y","N")</f>
        <v>Y</v>
      </c>
      <c r="O88" s="23" t="str">
        <f>IF(Table1[[#This Row],[Values=No Data '[Y/N']]]="Y","values=NoData","")</f>
        <v>values=NoData</v>
      </c>
      <c r="P88" s="23" t="str">
        <f>Table1[[#This Row],[Data Type]]&amp;"="&amp;Table1[[#This Row],[Name]]&amp;"    rng="&amp;Table1[[#This Row],[Range]]&amp;"    "&amp;Table1[[#This Row],[Values gams input]]&amp;"    "&amp;Table1[[#This Row],[dim input gams]]&amp;"    "&amp;Table1[[#This Row],[cdim gams input]]&amp;"     "&amp;Table1[[#This Row],[rdim gams input]]&amp;"     "&amp;Table1[[#This Row],[ignore rows gams input]]&amp;"     "&amp;Table1[[#This Row],[ignore colums gams input]]</f>
        <v>set=jsplit2    rng=Con_mat!A18:A28    values=NoData             rdim= 1     ignoreRows= 20,21,23,24,26,27     </v>
      </c>
    </row>
    <row r="89" x14ac:dyDescent="0.25">
      <c r="A89" s="21" t="s">
        <v>144</v>
      </c>
      <c r="B89" s="22" t="s">
        <v>286</v>
      </c>
      <c r="C89" s="22" t="s">
        <v>282</v>
      </c>
      <c r="D89" s="22"/>
      <c r="E89" s="22" t="str">
        <f>IF(Table1[[#This Row],[Dim]]=0,"","dim="&amp;Table1[[#This Row],[Dim]])</f>
        <v/>
      </c>
      <c r="F89" s="22"/>
      <c r="G89" s="22">
        <v>1</v>
      </c>
      <c r="H89" s="22" t="str">
        <f>IF(Table1[[#This Row],[Cdim]]=NOT(Table1[[#This Row],[Cdim]]=0),"","cdim= "&amp;Table1[[#This Row],[Cdim]])</f>
        <v/>
      </c>
      <c r="I89" s="22" t="str">
        <f>IF(Table1[[#This Row],[Rdim]]=NOT(Table1[[#This Row],[Rdim]]=0),"","rdim= "&amp;Table1[[#This Row],[Rdim]])</f>
        <v>rdim= 1</v>
      </c>
      <c r="J89" s="22"/>
      <c r="K89" s="22"/>
      <c r="L89" s="22" t="str">
        <f>IF(Table1[[#This Row],[ignoreRows]]=NOT(Table1[[#This Row],[ignoreRows]]=0),"","ignoreRows= "&amp;Table1[[#This Row],[ignoreRows]])</f>
        <v/>
      </c>
      <c r="M89" s="22" t="str">
        <f>IF(Table1[[#This Row],[ignoreColumns]]=NOT(Table1[[#This Row],[ignoreColumns]]=0),"","ignoreColumns= "&amp;Table1[[#This Row],[ignoreColumns]])</f>
        <v/>
      </c>
      <c r="N89" s="23" t="str">
        <f>IF(Table1[[#This Row],[Data Type]]="set","Y","N")</f>
        <v>Y</v>
      </c>
      <c r="O89" s="23" t="str">
        <f>IF(Table1[[#This Row],[Values=No Data '[Y/N']]]="Y","values=NoData","")</f>
        <v>values=NoData</v>
      </c>
      <c r="P89" s="23" t="str">
        <f>Table1[[#This Row],[Data Type]]&amp;"="&amp;Table1[[#This Row],[Name]]&amp;"    rng="&amp;Table1[[#This Row],[Range]]&amp;"    "&amp;Table1[[#This Row],[Values gams input]]&amp;"    "&amp;Table1[[#This Row],[dim input gams]]&amp;"    "&amp;Table1[[#This Row],[cdim gams input]]&amp;"     "&amp;Table1[[#This Row],[rdim gams input]]&amp;"     "&amp;Table1[[#This Row],[ignore rows gams input]]&amp;"     "&amp;Table1[[#This Row],[ignore colums gams input]]</f>
        <v>set=jsplit2F    rng=Con_mat!A18:A18    values=NoData             rdim= 1          </v>
      </c>
    </row>
    <row r="90" x14ac:dyDescent="0.25">
      <c r="A90" s="21" t="s">
        <v>144</v>
      </c>
      <c r="B90" s="22" t="s">
        <v>287</v>
      </c>
      <c r="C90" s="22" t="s">
        <v>288</v>
      </c>
      <c r="D90" s="22"/>
      <c r="E90" s="22" t="str">
        <f>IF(Table1[[#This Row],[Dim]]=0,"","dim="&amp;Table1[[#This Row],[Dim]])</f>
        <v/>
      </c>
      <c r="F90" s="22"/>
      <c r="G90" s="22">
        <v>1</v>
      </c>
      <c r="H90" s="22" t="str">
        <f>IF(Table1[[#This Row],[Cdim]]=NOT(Table1[[#This Row],[Cdim]]=0),"","cdim= "&amp;Table1[[#This Row],[Cdim]])</f>
        <v/>
      </c>
      <c r="I90" s="22" t="str">
        <f>IF(Table1[[#This Row],[Rdim]]=NOT(Table1[[#This Row],[Rdim]]=0),"","rdim= "&amp;Table1[[#This Row],[Rdim]])</f>
        <v>rdim= 1</v>
      </c>
      <c r="J90" s="22" t="s">
        <v>285</v>
      </c>
      <c r="K90" s="22"/>
      <c r="L90" s="22" t="str">
        <f>IF(Table1[[#This Row],[ignoreRows]]=NOT(Table1[[#This Row],[ignoreRows]]=0),"","ignoreRows= "&amp;Table1[[#This Row],[ignoreRows]])</f>
        <v>ignoreRows= 20,21,23,24,26,27</v>
      </c>
      <c r="M90" s="22" t="str">
        <f>IF(Table1[[#This Row],[ignoreColumns]]=NOT(Table1[[#This Row],[ignoreColumns]]=0),"","ignoreColumns= "&amp;Table1[[#This Row],[ignoreColumns]])</f>
        <v/>
      </c>
      <c r="N90" s="23" t="str">
        <f>IF(Table1[[#This Row],[Data Type]]="set","Y","N")</f>
        <v>Y</v>
      </c>
      <c r="O90" s="23" t="str">
        <f>IF(Table1[[#This Row],[Values=No Data '[Y/N']]]="Y","values=NoData","")</f>
        <v>values=NoData</v>
      </c>
      <c r="P90" s="23" t="str">
        <f>Table1[[#This Row],[Data Type]]&amp;"="&amp;Table1[[#This Row],[Name]]&amp;"    rng="&amp;Table1[[#This Row],[Range]]&amp;"    "&amp;Table1[[#This Row],[Values gams input]]&amp;"    "&amp;Table1[[#This Row],[dim input gams]]&amp;"    "&amp;Table1[[#This Row],[cdim gams input]]&amp;"     "&amp;Table1[[#This Row],[rdim gams input]]&amp;"     "&amp;Table1[[#This Row],[ignore rows gams input]]&amp;"     "&amp;Table1[[#This Row],[ignore colums gams input]]</f>
        <v>set=jsplit2E    rng=Con_mat!A19:A28    values=NoData             rdim= 1     ignoreRows= 20,21,23,24,26,27     </v>
      </c>
    </row>
    <row r="91" x14ac:dyDescent="0.25">
      <c r="A91" s="21" t="s">
        <v>144</v>
      </c>
      <c r="B91" s="22" t="s">
        <v>289</v>
      </c>
      <c r="C91" s="22" t="s">
        <v>290</v>
      </c>
      <c r="D91" s="22"/>
      <c r="E91" s="22" t="str">
        <f>IF(Table1[[#This Row],[Dim]]=0,"","dim="&amp;Table1[[#This Row],[Dim]])</f>
        <v/>
      </c>
      <c r="F91" s="22"/>
      <c r="G91" s="22">
        <v>1</v>
      </c>
      <c r="H91" s="22" t="str">
        <f>IF(Table1[[#This Row],[Cdim]]=NOT(Table1[[#This Row],[Cdim]]=0),"","cdim= "&amp;Table1[[#This Row],[Cdim]])</f>
        <v/>
      </c>
      <c r="I91" s="22" t="str">
        <f>IF(Table1[[#This Row],[Rdim]]=NOT(Table1[[#This Row],[Rdim]]=0),"","rdim= "&amp;Table1[[#This Row],[Rdim]])</f>
        <v>rdim= 1</v>
      </c>
      <c r="J91" s="22"/>
      <c r="K91" s="22"/>
      <c r="L91" s="22" t="str">
        <f>IF(Table1[[#This Row],[ignoreRows]]=NOT(Table1[[#This Row],[ignoreRows]]=0),"","ignoreRows= "&amp;Table1[[#This Row],[ignoreRows]])</f>
        <v/>
      </c>
      <c r="M91" s="22" t="str">
        <f>IF(Table1[[#This Row],[ignoreColumns]]=NOT(Table1[[#This Row],[ignoreColumns]]=0),"","ignoreColumns= "&amp;Table1[[#This Row],[ignoreColumns]])</f>
        <v/>
      </c>
      <c r="N91" s="23" t="str">
        <f>IF(Table1[[#This Row],[Data Type]]="set","Y","N")</f>
        <v>Y</v>
      </c>
      <c r="O91" s="23" t="str">
        <f>IF(Table1[[#This Row],[Values=No Data '[Y/N']]]="Y","values=NoData","")</f>
        <v>values=NoData</v>
      </c>
      <c r="P91" s="23" t="str">
        <f>Table1[[#This Row],[Data Type]]&amp;"="&amp;Table1[[#This Row],[Name]]&amp;"    rng="&amp;Table1[[#This Row],[Range]]&amp;"    "&amp;Table1[[#This Row],[Values gams input]]&amp;"    "&amp;Table1[[#This Row],[dim input gams]]&amp;"    "&amp;Table1[[#This Row],[cdim gams input]]&amp;"     "&amp;Table1[[#This Row],[rdim gams input]]&amp;"     "&amp;Table1[[#This Row],[ignore rows gams input]]&amp;"     "&amp;Table1[[#This Row],[ignore colums gams input]]</f>
        <v>set=jDST    rng=Con_mat!A19:A21    values=NoData             rdim= 1          </v>
      </c>
    </row>
    <row r="92" x14ac:dyDescent="0.25">
      <c r="A92" s="21" t="s">
        <v>144</v>
      </c>
      <c r="B92" s="22" t="s">
        <v>291</v>
      </c>
      <c r="C92" s="22" t="s">
        <v>292</v>
      </c>
      <c r="D92" s="22"/>
      <c r="E92" s="22" t="str">
        <f>IF(Table1[[#This Row],[Dim]]=0,"","dim="&amp;Table1[[#This Row],[Dim]])</f>
        <v/>
      </c>
      <c r="F92" s="22"/>
      <c r="G92" s="22">
        <v>1</v>
      </c>
      <c r="H92" s="22" t="str">
        <f>IF(Table1[[#This Row],[Cdim]]=NOT(Table1[[#This Row],[Cdim]]=0),"","cdim= "&amp;Table1[[#This Row],[Cdim]])</f>
        <v/>
      </c>
      <c r="I92" s="22" t="str">
        <f>IF(Table1[[#This Row],[Rdim]]=NOT(Table1[[#This Row],[Rdim]]=0),"","rdim= "&amp;Table1[[#This Row],[Rdim]])</f>
        <v>rdim= 1</v>
      </c>
      <c r="J92" s="22"/>
      <c r="K92" s="22"/>
      <c r="L92" s="22" t="str">
        <f>IF(Table1[[#This Row],[ignoreRows]]=NOT(Table1[[#This Row],[ignoreRows]]=0),"","ignoreRows= "&amp;Table1[[#This Row],[ignoreRows]])</f>
        <v/>
      </c>
      <c r="M92" s="22" t="str">
        <f>IF(Table1[[#This Row],[ignoreColumns]]=NOT(Table1[[#This Row],[ignoreColumns]]=0),"","ignoreColumns= "&amp;Table1[[#This Row],[ignoreColumns]])</f>
        <v/>
      </c>
      <c r="N92" s="23" t="str">
        <f>IF(Table1[[#This Row],[Data Type]]="set","Y","N")</f>
        <v>Y</v>
      </c>
      <c r="O92" s="23" t="str">
        <f>IF(Table1[[#This Row],[Values=No Data '[Y/N']]]="Y","values=NoData","")</f>
        <v>values=NoData</v>
      </c>
      <c r="P92" s="23" t="str">
        <f>Table1[[#This Row],[Data Type]]&amp;"="&amp;Table1[[#This Row],[Name]]&amp;"    rng="&amp;Table1[[#This Row],[Range]]&amp;"    "&amp;Table1[[#This Row],[Values gams input]]&amp;"    "&amp;Table1[[#This Row],[dim input gams]]&amp;"    "&amp;Table1[[#This Row],[cdim gams input]]&amp;"     "&amp;Table1[[#This Row],[rdim gams input]]&amp;"     "&amp;Table1[[#This Row],[ignore rows gams input]]&amp;"     "&amp;Table1[[#This Row],[ignore colums gams input]]</f>
        <v>set=jDSTF    rng=Con_mat!A19:A19    values=NoData             rdim= 1          </v>
      </c>
    </row>
    <row r="93" x14ac:dyDescent="0.25">
      <c r="A93" s="21" t="s">
        <v>144</v>
      </c>
      <c r="B93" s="22" t="s">
        <v>566</v>
      </c>
      <c r="C93" s="22" t="s">
        <v>293</v>
      </c>
      <c r="D93" s="22"/>
      <c r="E93" s="22" t="str">
        <f>IF(Table1[[#This Row],[Dim]]=0,"","dim="&amp;Table1[[#This Row],[Dim]])</f>
        <v/>
      </c>
      <c r="F93" s="22"/>
      <c r="G93" s="22">
        <v>1</v>
      </c>
      <c r="H93" s="22" t="str">
        <f>IF(Table1[[#This Row],[Cdim]]=NOT(Table1[[#This Row],[Cdim]]=0),"","cdim= "&amp;Table1[[#This Row],[Cdim]])</f>
        <v/>
      </c>
      <c r="I93" s="22" t="str">
        <f>IF(Table1[[#This Row],[Rdim]]=NOT(Table1[[#This Row],[Rdim]]=0),"","rdim= "&amp;Table1[[#This Row],[Rdim]])</f>
        <v>rdim= 1</v>
      </c>
      <c r="J93" s="22"/>
      <c r="K93" s="22"/>
      <c r="L93" s="22" t="str">
        <f>IF(Table1[[#This Row],[ignoreRows]]=NOT(Table1[[#This Row],[ignoreRows]]=0),"","ignoreRows= "&amp;Table1[[#This Row],[ignoreRows]])</f>
        <v/>
      </c>
      <c r="M93" s="22" t="str">
        <f>IF(Table1[[#This Row],[ignoreColumns]]=NOT(Table1[[#This Row],[ignoreColumns]]=0),"","ignoreColumns= "&amp;Table1[[#This Row],[ignoreColumns]])</f>
        <v/>
      </c>
      <c r="N93" s="23" t="str">
        <f>IF(Table1[[#This Row],[Data Type]]="set","Y","N")</f>
        <v>Y</v>
      </c>
      <c r="O93" s="23" t="str">
        <f>IF(Table1[[#This Row],[Values=No Data '[Y/N']]]="Y","values=NoData","")</f>
        <v>values=NoData</v>
      </c>
      <c r="P93" s="23" t="str">
        <f>Table1[[#This Row],[Data Type]]&amp;"="&amp;Table1[[#This Row],[Name]]&amp;"    rng="&amp;Table1[[#This Row],[Range]]&amp;"    "&amp;Table1[[#This Row],[Values gams input]]&amp;"    "&amp;Table1[[#This Row],[dim input gams]]&amp;"    "&amp;Table1[[#This Row],[cdim gams input]]&amp;"     "&amp;Table1[[#This Row],[rdim gams input]]&amp;"     "&amp;Table1[[#This Row],[ignore rows gams input]]&amp;"     "&amp;Table1[[#This Row],[ignore colums gams input]]</f>
        <v>set=jDSTE     rng=Con_mat!A20:A20    values=NoData             rdim= 1          </v>
      </c>
    </row>
    <row r="94" x14ac:dyDescent="0.25">
      <c r="A94" s="21" t="s">
        <v>144</v>
      </c>
      <c r="B94" s="22" t="s">
        <v>567</v>
      </c>
      <c r="C94" s="22" t="s">
        <v>294</v>
      </c>
      <c r="D94" s="22"/>
      <c r="E94" s="22" t="str">
        <f>IF(Table1[[#This Row],[Dim]]=0,"","dim="&amp;Table1[[#This Row],[Dim]])</f>
        <v/>
      </c>
      <c r="F94" s="22"/>
      <c r="G94" s="22">
        <v>1</v>
      </c>
      <c r="H94" s="22" t="str">
        <f>IF(Table1[[#This Row],[Cdim]]=NOT(Table1[[#This Row],[Cdim]]=0),"","cdim= "&amp;Table1[[#This Row],[Cdim]])</f>
        <v/>
      </c>
      <c r="I94" s="22" t="str">
        <f>IF(Table1[[#This Row],[Rdim]]=NOT(Table1[[#This Row],[Rdim]]=0),"","rdim= "&amp;Table1[[#This Row],[Rdim]])</f>
        <v>rdim= 1</v>
      </c>
      <c r="J94" s="22"/>
      <c r="K94" s="22"/>
      <c r="L94" s="22" t="str">
        <f>IF(Table1[[#This Row],[ignoreRows]]=NOT(Table1[[#This Row],[ignoreRows]]=0),"","ignoreRows= "&amp;Table1[[#This Row],[ignoreRows]])</f>
        <v/>
      </c>
      <c r="M94" s="22" t="str">
        <f>IF(Table1[[#This Row],[ignoreColumns]]=NOT(Table1[[#This Row],[ignoreColumns]]=0),"","ignoreColumns= "&amp;Table1[[#This Row],[ignoreColumns]])</f>
        <v/>
      </c>
      <c r="N94" s="23" t="str">
        <f>IF(Table1[[#This Row],[Data Type]]="set","Y","N")</f>
        <v>Y</v>
      </c>
      <c r="O94" s="23" t="str">
        <f>IF(Table1[[#This Row],[Values=No Data '[Y/N']]]="Y","values=NoData","")</f>
        <v>values=NoData</v>
      </c>
      <c r="P94" s="23" t="str">
        <f>Table1[[#This Row],[Data Type]]&amp;"="&amp;Table1[[#This Row],[Name]]&amp;"    rng="&amp;Table1[[#This Row],[Range]]&amp;"    "&amp;Table1[[#This Row],[Values gams input]]&amp;"    "&amp;Table1[[#This Row],[dim input gams]]&amp;"    "&amp;Table1[[#This Row],[cdim gams input]]&amp;"     "&amp;Table1[[#This Row],[rdim gams input]]&amp;"     "&amp;Table1[[#This Row],[ignore rows gams input]]&amp;"     "&amp;Table1[[#This Row],[ignore colums gams input]]</f>
        <v>set=jDSTS     rng=Con_mat!A21:A21    values=NoData             rdim= 1          </v>
      </c>
    </row>
    <row r="95" x14ac:dyDescent="0.25">
      <c r="A95" s="21" t="s">
        <v>144</v>
      </c>
      <c r="B95" s="22" t="s">
        <v>295</v>
      </c>
      <c r="C95" s="22" t="s">
        <v>296</v>
      </c>
      <c r="D95" s="22"/>
      <c r="E95" s="22" t="str">
        <f>IF(Table1[[#This Row],[Dim]]=0,"","dim="&amp;Table1[[#This Row],[Dim]])</f>
        <v/>
      </c>
      <c r="F95" s="22"/>
      <c r="G95" s="22">
        <v>1</v>
      </c>
      <c r="H95" s="22" t="str">
        <f>IF(Table1[[#This Row],[Cdim]]=NOT(Table1[[#This Row],[Cdim]]=0),"","cdim= "&amp;Table1[[#This Row],[Cdim]])</f>
        <v/>
      </c>
      <c r="I95" s="22" t="str">
        <f>IF(Table1[[#This Row],[Rdim]]=NOT(Table1[[#This Row],[Rdim]]=0),"","rdim= "&amp;Table1[[#This Row],[Rdim]])</f>
        <v>rdim= 1</v>
      </c>
      <c r="J95" s="22"/>
      <c r="K95" s="22"/>
      <c r="L95" s="22" t="str">
        <f>IF(Table1[[#This Row],[ignoreRows]]=NOT(Table1[[#This Row],[ignoreRows]]=0),"","ignoreRows= "&amp;Table1[[#This Row],[ignoreRows]])</f>
        <v/>
      </c>
      <c r="M95" s="22" t="str">
        <f>IF(Table1[[#This Row],[ignoreColumns]]=NOT(Table1[[#This Row],[ignoreColumns]]=0),"","ignoreColumns= "&amp;Table1[[#This Row],[ignoreColumns]])</f>
        <v/>
      </c>
      <c r="N95" s="23" t="str">
        <f>IF(Table1[[#This Row],[Data Type]]="set","Y","N")</f>
        <v>Y</v>
      </c>
      <c r="O95" s="23" t="str">
        <f>IF(Table1[[#This Row],[Values=No Data '[Y/N']]]="Y","values=NoData","")</f>
        <v>values=NoData</v>
      </c>
      <c r="P95" s="23" t="str">
        <f>Table1[[#This Row],[Data Type]]&amp;"="&amp;Table1[[#This Row],[Name]]&amp;"    rng="&amp;Table1[[#This Row],[Range]]&amp;"    "&amp;Table1[[#This Row],[Values gams input]]&amp;"    "&amp;Table1[[#This Row],[dim input gams]]&amp;"    "&amp;Table1[[#This Row],[cdim gams input]]&amp;"     "&amp;Table1[[#This Row],[rdim gams input]]&amp;"     "&amp;Table1[[#This Row],[ignore rows gams input]]&amp;"     "&amp;Table1[[#This Row],[ignore colums gams input]]</f>
        <v>set=jPVP1    rng=Con_mat!A22:A24    values=NoData             rdim= 1          </v>
      </c>
    </row>
    <row r="96" x14ac:dyDescent="0.25">
      <c r="A96" s="21" t="s">
        <v>144</v>
      </c>
      <c r="B96" s="22" t="s">
        <v>297</v>
      </c>
      <c r="C96" s="22" t="s">
        <v>298</v>
      </c>
      <c r="D96" s="22"/>
      <c r="E96" s="22" t="str">
        <f>IF(Table1[[#This Row],[Dim]]=0,"","dim="&amp;Table1[[#This Row],[Dim]])</f>
        <v/>
      </c>
      <c r="F96" s="22"/>
      <c r="G96" s="22">
        <v>1</v>
      </c>
      <c r="H96" s="22" t="str">
        <f>IF(Table1[[#This Row],[Cdim]]=NOT(Table1[[#This Row],[Cdim]]=0),"","cdim= "&amp;Table1[[#This Row],[Cdim]])</f>
        <v/>
      </c>
      <c r="I96" s="22" t="str">
        <f>IF(Table1[[#This Row],[Rdim]]=NOT(Table1[[#This Row],[Rdim]]=0),"","rdim= "&amp;Table1[[#This Row],[Rdim]])</f>
        <v>rdim= 1</v>
      </c>
      <c r="J96" s="22"/>
      <c r="K96" s="22"/>
      <c r="L96" s="22" t="str">
        <f>IF(Table1[[#This Row],[ignoreRows]]=NOT(Table1[[#This Row],[ignoreRows]]=0),"","ignoreRows= "&amp;Table1[[#This Row],[ignoreRows]])</f>
        <v/>
      </c>
      <c r="M96" s="22" t="str">
        <f>IF(Table1[[#This Row],[ignoreColumns]]=NOT(Table1[[#This Row],[ignoreColumns]]=0),"","ignoreColumns= "&amp;Table1[[#This Row],[ignoreColumns]])</f>
        <v/>
      </c>
      <c r="N96" s="23" t="str">
        <f>IF(Table1[[#This Row],[Data Type]]="set","Y","N")</f>
        <v>Y</v>
      </c>
      <c r="O96" s="23" t="str">
        <f>IF(Table1[[#This Row],[Values=No Data '[Y/N']]]="Y","values=NoData","")</f>
        <v>values=NoData</v>
      </c>
      <c r="P96" s="23" t="str">
        <f>Table1[[#This Row],[Data Type]]&amp;"="&amp;Table1[[#This Row],[Name]]&amp;"    rng="&amp;Table1[[#This Row],[Range]]&amp;"    "&amp;Table1[[#This Row],[Values gams input]]&amp;"    "&amp;Table1[[#This Row],[dim input gams]]&amp;"    "&amp;Table1[[#This Row],[cdim gams input]]&amp;"     "&amp;Table1[[#This Row],[rdim gams input]]&amp;"     "&amp;Table1[[#This Row],[ignore rows gams input]]&amp;"     "&amp;Table1[[#This Row],[ignore colums gams input]]</f>
        <v>set=jPVP1F    rng=Con_mat!A22:A22    values=NoData             rdim= 1          </v>
      </c>
    </row>
    <row r="97" x14ac:dyDescent="0.25">
      <c r="A97" s="21" t="s">
        <v>144</v>
      </c>
      <c r="B97" s="22" t="s">
        <v>300</v>
      </c>
      <c r="C97" s="22" t="s">
        <v>299</v>
      </c>
      <c r="D97" s="22"/>
      <c r="E97" s="22" t="str">
        <f>IF(Table1[[#This Row],[Dim]]=0,"","dim="&amp;Table1[[#This Row],[Dim]])</f>
        <v/>
      </c>
      <c r="F97" s="22"/>
      <c r="G97" s="22">
        <v>1</v>
      </c>
      <c r="H97" s="22" t="str">
        <f>IF(Table1[[#This Row],[Cdim]]=NOT(Table1[[#This Row],[Cdim]]=0),"","cdim= "&amp;Table1[[#This Row],[Cdim]])</f>
        <v/>
      </c>
      <c r="I97" s="22" t="str">
        <f>IF(Table1[[#This Row],[Rdim]]=NOT(Table1[[#This Row],[Rdim]]=0),"","rdim= "&amp;Table1[[#This Row],[Rdim]])</f>
        <v>rdim= 1</v>
      </c>
      <c r="J97" s="22"/>
      <c r="K97" s="22"/>
      <c r="L97" s="22" t="str">
        <f>IF(Table1[[#This Row],[ignoreRows]]=NOT(Table1[[#This Row],[ignoreRows]]=0),"","ignoreRows= "&amp;Table1[[#This Row],[ignoreRows]])</f>
        <v/>
      </c>
      <c r="M97" s="22" t="str">
        <f>IF(Table1[[#This Row],[ignoreColumns]]=NOT(Table1[[#This Row],[ignoreColumns]]=0),"","ignoreColumns= "&amp;Table1[[#This Row],[ignoreColumns]])</f>
        <v/>
      </c>
      <c r="N97" s="23" t="str">
        <f>IF(Table1[[#This Row],[Data Type]]="set","Y","N")</f>
        <v>Y</v>
      </c>
      <c r="O97" s="23" t="str">
        <f>IF(Table1[[#This Row],[Values=No Data '[Y/N']]]="Y","values=NoData","")</f>
        <v>values=NoData</v>
      </c>
      <c r="P97" s="23" t="str">
        <f>Table1[[#This Row],[Data Type]]&amp;"="&amp;Table1[[#This Row],[Name]]&amp;"    rng="&amp;Table1[[#This Row],[Range]]&amp;"    "&amp;Table1[[#This Row],[Values gams input]]&amp;"    "&amp;Table1[[#This Row],[dim input gams]]&amp;"    "&amp;Table1[[#This Row],[cdim gams input]]&amp;"     "&amp;Table1[[#This Row],[rdim gams input]]&amp;"     "&amp;Table1[[#This Row],[ignore rows gams input]]&amp;"     "&amp;Table1[[#This Row],[ignore colums gams input]]</f>
        <v>set=jPVP1E    rng=Con_mat!A23:A23    values=NoData             rdim= 1          </v>
      </c>
    </row>
    <row r="98" x14ac:dyDescent="0.25">
      <c r="A98" s="21" t="s">
        <v>144</v>
      </c>
      <c r="B98" s="22" t="s">
        <v>568</v>
      </c>
      <c r="C98" s="22" t="s">
        <v>301</v>
      </c>
      <c r="D98" s="22"/>
      <c r="E98" s="22" t="str">
        <f>IF(Table1[[#This Row],[Dim]]=0,"","dim="&amp;Table1[[#This Row],[Dim]])</f>
        <v/>
      </c>
      <c r="F98" s="22"/>
      <c r="G98" s="22">
        <v>1</v>
      </c>
      <c r="H98" s="22" t="str">
        <f>IF(Table1[[#This Row],[Cdim]]=NOT(Table1[[#This Row],[Cdim]]=0),"","cdim= "&amp;Table1[[#This Row],[Cdim]])</f>
        <v/>
      </c>
      <c r="I98" s="22" t="str">
        <f>IF(Table1[[#This Row],[Rdim]]=NOT(Table1[[#This Row],[Rdim]]=0),"","rdim= "&amp;Table1[[#This Row],[Rdim]])</f>
        <v>rdim= 1</v>
      </c>
      <c r="J98" s="22"/>
      <c r="K98" s="22"/>
      <c r="L98" s="22" t="str">
        <f>IF(Table1[[#This Row],[ignoreRows]]=NOT(Table1[[#This Row],[ignoreRows]]=0),"","ignoreRows= "&amp;Table1[[#This Row],[ignoreRows]])</f>
        <v/>
      </c>
      <c r="M98" s="22" t="str">
        <f>IF(Table1[[#This Row],[ignoreColumns]]=NOT(Table1[[#This Row],[ignoreColumns]]=0),"","ignoreColumns= "&amp;Table1[[#This Row],[ignoreColumns]])</f>
        <v/>
      </c>
      <c r="N98" s="23" t="str">
        <f>IF(Table1[[#This Row],[Data Type]]="set","Y","N")</f>
        <v>Y</v>
      </c>
      <c r="O98" s="23" t="str">
        <f>IF(Table1[[#This Row],[Values=No Data '[Y/N']]]="Y","values=NoData","")</f>
        <v>values=NoData</v>
      </c>
      <c r="P98" s="23" t="str">
        <f>Table1[[#This Row],[Data Type]]&amp;"="&amp;Table1[[#This Row],[Name]]&amp;"    rng="&amp;Table1[[#This Row],[Range]]&amp;"    "&amp;Table1[[#This Row],[Values gams input]]&amp;"    "&amp;Table1[[#This Row],[dim input gams]]&amp;"    "&amp;Table1[[#This Row],[cdim gams input]]&amp;"     "&amp;Table1[[#This Row],[rdim gams input]]&amp;"     "&amp;Table1[[#This Row],[ignore rows gams input]]&amp;"     "&amp;Table1[[#This Row],[ignore colums gams input]]</f>
        <v>set=jPVP1S     rng=Con_mat!A24:A24    values=NoData             rdim= 1          </v>
      </c>
    </row>
    <row r="99" x14ac:dyDescent="0.25">
      <c r="A99" s="21" t="s">
        <v>144</v>
      </c>
      <c r="B99" s="22" t="s">
        <v>302</v>
      </c>
      <c r="C99" s="22" t="s">
        <v>303</v>
      </c>
      <c r="D99" s="22"/>
      <c r="E99" s="22" t="str">
        <f>IF(Table1[[#This Row],[Dim]]=0,"","dim="&amp;Table1[[#This Row],[Dim]])</f>
        <v/>
      </c>
      <c r="F99" s="22"/>
      <c r="G99" s="22">
        <v>1</v>
      </c>
      <c r="H99" s="22" t="str">
        <f>IF(Table1[[#This Row],[Cdim]]=NOT(Table1[[#This Row],[Cdim]]=0),"","cdim= "&amp;Table1[[#This Row],[Cdim]])</f>
        <v/>
      </c>
      <c r="I99" s="22" t="str">
        <f>IF(Table1[[#This Row],[Rdim]]=NOT(Table1[[#This Row],[Rdim]]=0),"","rdim= "&amp;Table1[[#This Row],[Rdim]])</f>
        <v>rdim= 1</v>
      </c>
      <c r="J99" s="22"/>
      <c r="K99" s="22"/>
      <c r="L99" s="22" t="str">
        <f>IF(Table1[[#This Row],[ignoreRows]]=NOT(Table1[[#This Row],[ignoreRows]]=0),"","ignoreRows= "&amp;Table1[[#This Row],[ignoreRows]])</f>
        <v/>
      </c>
      <c r="M99" s="22" t="str">
        <f>IF(Table1[[#This Row],[ignoreColumns]]=NOT(Table1[[#This Row],[ignoreColumns]]=0),"","ignoreColumns= "&amp;Table1[[#This Row],[ignoreColumns]])</f>
        <v/>
      </c>
      <c r="N99" s="23" t="str">
        <f>IF(Table1[[#This Row],[Data Type]]="set","Y","N")</f>
        <v>Y</v>
      </c>
      <c r="O99" s="23" t="str">
        <f>IF(Table1[[#This Row],[Values=No Data '[Y/N']]]="Y","values=NoData","")</f>
        <v>values=NoData</v>
      </c>
      <c r="P99" s="23" t="str">
        <f>Table1[[#This Row],[Data Type]]&amp;"="&amp;Table1[[#This Row],[Name]]&amp;"    rng="&amp;Table1[[#This Row],[Range]]&amp;"    "&amp;Table1[[#This Row],[Values gams input]]&amp;"    "&amp;Table1[[#This Row],[dim input gams]]&amp;"    "&amp;Table1[[#This Row],[cdim gams input]]&amp;"     "&amp;Table1[[#This Row],[rdim gams input]]&amp;"     "&amp;Table1[[#This Row],[ignore rows gams input]]&amp;"     "&amp;Table1[[#This Row],[ignore colums gams input]]</f>
        <v>set=jADS2    rng=Con_mat!A25:A27    values=NoData             rdim= 1          </v>
      </c>
    </row>
    <row r="100" x14ac:dyDescent="0.25">
      <c r="A100" s="21" t="s">
        <v>144</v>
      </c>
      <c r="B100" s="22" t="s">
        <v>304</v>
      </c>
      <c r="C100" s="22" t="s">
        <v>305</v>
      </c>
      <c r="D100" s="22"/>
      <c r="E100" s="22" t="str">
        <f>IF(Table1[[#This Row],[Dim]]=0,"","dim="&amp;Table1[[#This Row],[Dim]])</f>
        <v/>
      </c>
      <c r="F100" s="22"/>
      <c r="G100" s="22">
        <v>1</v>
      </c>
      <c r="H100" s="22" t="str">
        <f>IF(Table1[[#This Row],[Cdim]]=NOT(Table1[[#This Row],[Cdim]]=0),"","cdim= "&amp;Table1[[#This Row],[Cdim]])</f>
        <v/>
      </c>
      <c r="I100" s="22" t="str">
        <f>IF(Table1[[#This Row],[Rdim]]=NOT(Table1[[#This Row],[Rdim]]=0),"","rdim= "&amp;Table1[[#This Row],[Rdim]])</f>
        <v>rdim= 1</v>
      </c>
      <c r="J100" s="22"/>
      <c r="K100" s="22"/>
      <c r="L100" s="22" t="str">
        <f>IF(Table1[[#This Row],[ignoreRows]]=NOT(Table1[[#This Row],[ignoreRows]]=0),"","ignoreRows= "&amp;Table1[[#This Row],[ignoreRows]])</f>
        <v/>
      </c>
      <c r="M100" s="22" t="str">
        <f>IF(Table1[[#This Row],[ignoreColumns]]=NOT(Table1[[#This Row],[ignoreColumns]]=0),"","ignoreColumns= "&amp;Table1[[#This Row],[ignoreColumns]])</f>
        <v/>
      </c>
      <c r="N100" s="23" t="str">
        <f>IF(Table1[[#This Row],[Data Type]]="set","Y","N")</f>
        <v>Y</v>
      </c>
      <c r="O100" s="23" t="str">
        <f>IF(Table1[[#This Row],[Values=No Data '[Y/N']]]="Y","values=NoData","")</f>
        <v>values=NoData</v>
      </c>
      <c r="P100" s="23" t="str">
        <f>Table1[[#This Row],[Data Type]]&amp;"="&amp;Table1[[#This Row],[Name]]&amp;"    rng="&amp;Table1[[#This Row],[Range]]&amp;"    "&amp;Table1[[#This Row],[Values gams input]]&amp;"    "&amp;Table1[[#This Row],[dim input gams]]&amp;"    "&amp;Table1[[#This Row],[cdim gams input]]&amp;"     "&amp;Table1[[#This Row],[rdim gams input]]&amp;"     "&amp;Table1[[#This Row],[ignore rows gams input]]&amp;"     "&amp;Table1[[#This Row],[ignore colums gams input]]</f>
        <v>set=jADS2F    rng=Con_mat!A25:A25    values=NoData             rdim= 1          </v>
      </c>
    </row>
    <row r="101" x14ac:dyDescent="0.25">
      <c r="A101" s="21" t="s">
        <v>144</v>
      </c>
      <c r="B101" s="22" t="s">
        <v>307</v>
      </c>
      <c r="C101" s="22" t="s">
        <v>306</v>
      </c>
      <c r="D101" s="22"/>
      <c r="E101" s="22" t="str">
        <f>IF(Table1[[#This Row],[Dim]]=0,"","dim="&amp;Table1[[#This Row],[Dim]])</f>
        <v/>
      </c>
      <c r="F101" s="22"/>
      <c r="G101" s="22">
        <v>1</v>
      </c>
      <c r="H101" s="22" t="str">
        <f>IF(Table1[[#This Row],[Cdim]]=NOT(Table1[[#This Row],[Cdim]]=0),"","cdim= "&amp;Table1[[#This Row],[Cdim]])</f>
        <v/>
      </c>
      <c r="I101" s="22" t="str">
        <f>IF(Table1[[#This Row],[Rdim]]=NOT(Table1[[#This Row],[Rdim]]=0),"","rdim= "&amp;Table1[[#This Row],[Rdim]])</f>
        <v>rdim= 1</v>
      </c>
      <c r="J101" s="22"/>
      <c r="K101" s="22"/>
      <c r="L101" s="22" t="str">
        <f>IF(Table1[[#This Row],[ignoreRows]]=NOT(Table1[[#This Row],[ignoreRows]]=0),"","ignoreRows= "&amp;Table1[[#This Row],[ignoreRows]])</f>
        <v/>
      </c>
      <c r="M101" s="22" t="str">
        <f>IF(Table1[[#This Row],[ignoreColumns]]=NOT(Table1[[#This Row],[ignoreColumns]]=0),"","ignoreColumns= "&amp;Table1[[#This Row],[ignoreColumns]])</f>
        <v/>
      </c>
      <c r="N101" s="23" t="str">
        <f>IF(Table1[[#This Row],[Data Type]]="set","Y","N")</f>
        <v>Y</v>
      </c>
      <c r="O101" s="23" t="str">
        <f>IF(Table1[[#This Row],[Values=No Data '[Y/N']]]="Y","values=NoData","")</f>
        <v>values=NoData</v>
      </c>
      <c r="P101" s="23" t="str">
        <f>Table1[[#This Row],[Data Type]]&amp;"="&amp;Table1[[#This Row],[Name]]&amp;"    rng="&amp;Table1[[#This Row],[Range]]&amp;"    "&amp;Table1[[#This Row],[Values gams input]]&amp;"    "&amp;Table1[[#This Row],[dim input gams]]&amp;"    "&amp;Table1[[#This Row],[cdim gams input]]&amp;"     "&amp;Table1[[#This Row],[rdim gams input]]&amp;"     "&amp;Table1[[#This Row],[ignore rows gams input]]&amp;"     "&amp;Table1[[#This Row],[ignore colums gams input]]</f>
        <v>set=jADS2E    rng=Con_mat!A26:A26    values=NoData             rdim= 1          </v>
      </c>
    </row>
    <row r="102" x14ac:dyDescent="0.25">
      <c r="A102" s="21" t="s">
        <v>144</v>
      </c>
      <c r="B102" s="22" t="s">
        <v>561</v>
      </c>
      <c r="C102" s="22" t="s">
        <v>308</v>
      </c>
      <c r="D102" s="22"/>
      <c r="E102" s="22" t="str">
        <f>IF(Table1[[#This Row],[Dim]]=0,"","dim="&amp;Table1[[#This Row],[Dim]])</f>
        <v/>
      </c>
      <c r="F102" s="22"/>
      <c r="G102" s="22">
        <v>1</v>
      </c>
      <c r="H102" s="22" t="str">
        <f>IF(Table1[[#This Row],[Cdim]]=NOT(Table1[[#This Row],[Cdim]]=0),"","cdim= "&amp;Table1[[#This Row],[Cdim]])</f>
        <v/>
      </c>
      <c r="I102" s="22" t="str">
        <f>IF(Table1[[#This Row],[Rdim]]=NOT(Table1[[#This Row],[Rdim]]=0),"","rdim= "&amp;Table1[[#This Row],[Rdim]])</f>
        <v>rdim= 1</v>
      </c>
      <c r="J102" s="22"/>
      <c r="K102" s="22"/>
      <c r="L102" s="22" t="str">
        <f>IF(Table1[[#This Row],[ignoreRows]]=NOT(Table1[[#This Row],[ignoreRows]]=0),"","ignoreRows= "&amp;Table1[[#This Row],[ignoreRows]])</f>
        <v/>
      </c>
      <c r="M102" s="22" t="str">
        <f>IF(Table1[[#This Row],[ignoreColumns]]=NOT(Table1[[#This Row],[ignoreColumns]]=0),"","ignoreColumns= "&amp;Table1[[#This Row],[ignoreColumns]])</f>
        <v/>
      </c>
      <c r="N102" s="23" t="str">
        <f>IF(Table1[[#This Row],[Data Type]]="set","Y","N")</f>
        <v>Y</v>
      </c>
      <c r="O102" s="23" t="str">
        <f>IF(Table1[[#This Row],[Values=No Data '[Y/N']]]="Y","values=NoData","")</f>
        <v>values=NoData</v>
      </c>
      <c r="P102" s="23" t="str">
        <f>Table1[[#This Row],[Data Type]]&amp;"="&amp;Table1[[#This Row],[Name]]&amp;"    rng="&amp;Table1[[#This Row],[Range]]&amp;"    "&amp;Table1[[#This Row],[Values gams input]]&amp;"    "&amp;Table1[[#This Row],[dim input gams]]&amp;"    "&amp;Table1[[#This Row],[cdim gams input]]&amp;"     "&amp;Table1[[#This Row],[rdim gams input]]&amp;"     "&amp;Table1[[#This Row],[ignore rows gams input]]&amp;"     "&amp;Table1[[#This Row],[ignore colums gams input]]</f>
        <v>set=JADS2S    rng=Con_mat!A27:A27    values=NoData             rdim= 1          </v>
      </c>
    </row>
    <row r="103" x14ac:dyDescent="0.25">
      <c r="A103" s="21" t="s">
        <v>144</v>
      </c>
      <c r="B103" s="22" t="s">
        <v>309</v>
      </c>
      <c r="C103" s="22" t="s">
        <v>310</v>
      </c>
      <c r="D103" s="22"/>
      <c r="E103" s="22" t="str">
        <f>IF(Table1[[#This Row],[Dim]]=0,"","dim="&amp;Table1[[#This Row],[Dim]])</f>
        <v/>
      </c>
      <c r="F103" s="22"/>
      <c r="G103" s="22">
        <v>1</v>
      </c>
      <c r="H103" s="22" t="str">
        <f>IF(Table1[[#This Row],[Cdim]]=NOT(Table1[[#This Row],[Cdim]]=0),"","cdim= "&amp;Table1[[#This Row],[Cdim]])</f>
        <v/>
      </c>
      <c r="I103" s="22" t="str">
        <f>IF(Table1[[#This Row],[Rdim]]=NOT(Table1[[#This Row],[Rdim]]=0),"","rdim= "&amp;Table1[[#This Row],[Rdim]])</f>
        <v>rdim= 1</v>
      </c>
      <c r="J103" s="22"/>
      <c r="K103" s="22"/>
      <c r="L103" s="22" t="str">
        <f>IF(Table1[[#This Row],[ignoreRows]]=NOT(Table1[[#This Row],[ignoreRows]]=0),"","ignoreRows= "&amp;Table1[[#This Row],[ignoreRows]])</f>
        <v/>
      </c>
      <c r="M103" s="22" t="str">
        <f>IF(Table1[[#This Row],[ignoreColumns]]=NOT(Table1[[#This Row],[ignoreColumns]]=0),"","ignoreColumns= "&amp;Table1[[#This Row],[ignoreColumns]])</f>
        <v/>
      </c>
      <c r="N103" s="23" t="str">
        <f>IF(Table1[[#This Row],[Data Type]]="set","Y","N")</f>
        <v>Y</v>
      </c>
      <c r="O103" s="23" t="str">
        <f>IF(Table1[[#This Row],[Values=No Data '[Y/N']]]="Y","values=NoData","")</f>
        <v>values=NoData</v>
      </c>
      <c r="P103" s="23" t="str">
        <f>Table1[[#This Row],[Data Type]]&amp;"="&amp;Table1[[#This Row],[Name]]&amp;"    rng="&amp;Table1[[#This Row],[Range]]&amp;"    "&amp;Table1[[#This Row],[Values gams input]]&amp;"    "&amp;Table1[[#This Row],[dim input gams]]&amp;"    "&amp;Table1[[#This Row],[cdim gams input]]&amp;"     "&amp;Table1[[#This Row],[rdim gams input]]&amp;"     "&amp;Table1[[#This Row],[ignore rows gams input]]&amp;"     "&amp;Table1[[#This Row],[ignore colums gams input]]</f>
        <v>set=jMF1    rng=Con_mat!A28:A30    values=NoData             rdim= 1          </v>
      </c>
    </row>
    <row r="104" x14ac:dyDescent="0.25">
      <c r="A104" s="21" t="s">
        <v>144</v>
      </c>
      <c r="B104" s="22" t="s">
        <v>311</v>
      </c>
      <c r="C104" s="22" t="s">
        <v>312</v>
      </c>
      <c r="D104" s="22"/>
      <c r="E104" s="22" t="str">
        <f>IF(Table1[[#This Row],[Dim]]=0,"","dim="&amp;Table1[[#This Row],[Dim]])</f>
        <v/>
      </c>
      <c r="F104" s="22"/>
      <c r="G104" s="22">
        <v>1</v>
      </c>
      <c r="H104" s="22" t="str">
        <f>IF(Table1[[#This Row],[Cdim]]=NOT(Table1[[#This Row],[Cdim]]=0),"","cdim= "&amp;Table1[[#This Row],[Cdim]])</f>
        <v/>
      </c>
      <c r="I104" s="22" t="str">
        <f>IF(Table1[[#This Row],[Rdim]]=NOT(Table1[[#This Row],[Rdim]]=0),"","rdim= "&amp;Table1[[#This Row],[Rdim]])</f>
        <v>rdim= 1</v>
      </c>
      <c r="J104" s="22"/>
      <c r="K104" s="22"/>
      <c r="L104" s="22" t="str">
        <f>IF(Table1[[#This Row],[ignoreRows]]=NOT(Table1[[#This Row],[ignoreRows]]=0),"","ignoreRows= "&amp;Table1[[#This Row],[ignoreRows]])</f>
        <v/>
      </c>
      <c r="M104" s="22" t="str">
        <f>IF(Table1[[#This Row],[ignoreColumns]]=NOT(Table1[[#This Row],[ignoreColumns]]=0),"","ignoreColumns= "&amp;Table1[[#This Row],[ignoreColumns]])</f>
        <v/>
      </c>
      <c r="N104" s="23" t="str">
        <f>IF(Table1[[#This Row],[Data Type]]="set","Y","N")</f>
        <v>Y</v>
      </c>
      <c r="O104" s="23" t="str">
        <f>IF(Table1[[#This Row],[Values=No Data '[Y/N']]]="Y","values=NoData","")</f>
        <v>values=NoData</v>
      </c>
      <c r="P104" s="23" t="str">
        <f>Table1[[#This Row],[Data Type]]&amp;"="&amp;Table1[[#This Row],[Name]]&amp;"    rng="&amp;Table1[[#This Row],[Range]]&amp;"    "&amp;Table1[[#This Row],[Values gams input]]&amp;"    "&amp;Table1[[#This Row],[dim input gams]]&amp;"    "&amp;Table1[[#This Row],[cdim gams input]]&amp;"     "&amp;Table1[[#This Row],[rdim gams input]]&amp;"     "&amp;Table1[[#This Row],[ignore rows gams input]]&amp;"     "&amp;Table1[[#This Row],[ignore colums gams input]]</f>
        <v>set=jMF1F    rng=Con_mat!A28:A28    values=NoData             rdim= 1          </v>
      </c>
    </row>
    <row r="105" x14ac:dyDescent="0.25">
      <c r="A105" s="21" t="s">
        <v>144</v>
      </c>
      <c r="B105" s="22" t="s">
        <v>315</v>
      </c>
      <c r="C105" s="22" t="s">
        <v>314</v>
      </c>
      <c r="D105" s="22"/>
      <c r="E105" s="22" t="str">
        <f>IF(Table1[[#This Row],[Dim]]=0,"","dim="&amp;Table1[[#This Row],[Dim]])</f>
        <v/>
      </c>
      <c r="F105" s="22"/>
      <c r="G105" s="22">
        <v>1</v>
      </c>
      <c r="H105" s="22" t="str">
        <f>IF(Table1[[#This Row],[Cdim]]=NOT(Table1[[#This Row],[Cdim]]=0),"","cdim= "&amp;Table1[[#This Row],[Cdim]])</f>
        <v/>
      </c>
      <c r="I105" s="22" t="str">
        <f>IF(Table1[[#This Row],[Rdim]]=NOT(Table1[[#This Row],[Rdim]]=0),"","rdim= "&amp;Table1[[#This Row],[Rdim]])</f>
        <v>rdim= 1</v>
      </c>
      <c r="J105" s="22"/>
      <c r="K105" s="22"/>
      <c r="L105" s="22" t="str">
        <f>IF(Table1[[#This Row],[ignoreRows]]=NOT(Table1[[#This Row],[ignoreRows]]=0),"","ignoreRows= "&amp;Table1[[#This Row],[ignoreRows]])</f>
        <v/>
      </c>
      <c r="M105" s="22" t="str">
        <f>IF(Table1[[#This Row],[ignoreColumns]]=NOT(Table1[[#This Row],[ignoreColumns]]=0),"","ignoreColumns= "&amp;Table1[[#This Row],[ignoreColumns]])</f>
        <v/>
      </c>
      <c r="N105" s="23" t="str">
        <f>IF(Table1[[#This Row],[Data Type]]="set","Y","N")</f>
        <v>Y</v>
      </c>
      <c r="O105" s="23" t="str">
        <f>IF(Table1[[#This Row],[Values=No Data '[Y/N']]]="Y","values=NoData","")</f>
        <v>values=NoData</v>
      </c>
      <c r="P105" s="23" t="str">
        <f>Table1[[#This Row],[Data Type]]&amp;"="&amp;Table1[[#This Row],[Name]]&amp;"    rng="&amp;Table1[[#This Row],[Range]]&amp;"    "&amp;Table1[[#This Row],[Values gams input]]&amp;"    "&amp;Table1[[#This Row],[dim input gams]]&amp;"    "&amp;Table1[[#This Row],[cdim gams input]]&amp;"     "&amp;Table1[[#This Row],[rdim gams input]]&amp;"     "&amp;Table1[[#This Row],[ignore rows gams input]]&amp;"     "&amp;Table1[[#This Row],[ignore colums gams input]]</f>
        <v>set=jMF1E    rng=Con_mat!A29:A29    values=NoData             rdim= 1          </v>
      </c>
    </row>
    <row r="106" x14ac:dyDescent="0.25">
      <c r="A106" s="21" t="s">
        <v>144</v>
      </c>
      <c r="B106" s="22" t="s">
        <v>313</v>
      </c>
      <c r="C106" s="22" t="s">
        <v>316</v>
      </c>
      <c r="D106" s="22"/>
      <c r="E106" s="22" t="str">
        <f>IF(Table1[[#This Row],[Dim]]=0,"","dim="&amp;Table1[[#This Row],[Dim]])</f>
        <v/>
      </c>
      <c r="F106" s="22"/>
      <c r="G106" s="22">
        <v>1</v>
      </c>
      <c r="H106" s="22" t="str">
        <f>IF(Table1[[#This Row],[Cdim]]=NOT(Table1[[#This Row],[Cdim]]=0),"","cdim= "&amp;Table1[[#This Row],[Cdim]])</f>
        <v/>
      </c>
      <c r="I106" s="22" t="str">
        <f>IF(Table1[[#This Row],[Rdim]]=NOT(Table1[[#This Row],[Rdim]]=0),"","rdim= "&amp;Table1[[#This Row],[Rdim]])</f>
        <v>rdim= 1</v>
      </c>
      <c r="J106" s="22"/>
      <c r="K106" s="22"/>
      <c r="L106" s="22" t="str">
        <f>IF(Table1[[#This Row],[ignoreRows]]=NOT(Table1[[#This Row],[ignoreRows]]=0),"","ignoreRows= "&amp;Table1[[#This Row],[ignoreRows]])</f>
        <v/>
      </c>
      <c r="M106" s="22" t="str">
        <f>IF(Table1[[#This Row],[ignoreColumns]]=NOT(Table1[[#This Row],[ignoreColumns]]=0),"","ignoreColumns= "&amp;Table1[[#This Row],[ignoreColumns]])</f>
        <v/>
      </c>
      <c r="N106" s="23" t="str">
        <f>IF(Table1[[#This Row],[Data Type]]="set","Y","N")</f>
        <v>Y</v>
      </c>
      <c r="O106" s="23" t="str">
        <f>IF(Table1[[#This Row],[Values=No Data '[Y/N']]]="Y","values=NoData","")</f>
        <v>values=NoData</v>
      </c>
      <c r="P106" s="23" t="str">
        <f>Table1[[#This Row],[Data Type]]&amp;"="&amp;Table1[[#This Row],[Name]]&amp;"    rng="&amp;Table1[[#This Row],[Range]]&amp;"    "&amp;Table1[[#This Row],[Values gams input]]&amp;"    "&amp;Table1[[#This Row],[dim input gams]]&amp;"    "&amp;Table1[[#This Row],[cdim gams input]]&amp;"     "&amp;Table1[[#This Row],[rdim gams input]]&amp;"     "&amp;Table1[[#This Row],[ignore rows gams input]]&amp;"     "&amp;Table1[[#This Row],[ignore colums gams input]]</f>
        <v>set=jMF1S    rng=Con_mat!A30:A30    values=NoData             rdim= 1          </v>
      </c>
    </row>
    <row r="107" x14ac:dyDescent="0.25">
      <c r="A107" s="21" t="s">
        <v>144</v>
      </c>
      <c r="B107" s="22" t="s">
        <v>317</v>
      </c>
      <c r="C107" s="22" t="s">
        <v>318</v>
      </c>
      <c r="D107" s="22"/>
      <c r="E107" s="22" t="str">
        <f>IF(Table1[[#This Row],[Dim]]=0,"","dim="&amp;Table1[[#This Row],[Dim]])</f>
        <v/>
      </c>
      <c r="F107" s="22"/>
      <c r="G107" s="22">
        <v>1</v>
      </c>
      <c r="H107" s="22" t="str">
        <f>IF(Table1[[#This Row],[Cdim]]=NOT(Table1[[#This Row],[Cdim]]=0),"","cdim= "&amp;Table1[[#This Row],[Cdim]])</f>
        <v/>
      </c>
      <c r="I107" s="22" t="str">
        <f>IF(Table1[[#This Row],[Rdim]]=NOT(Table1[[#This Row],[Rdim]]=0),"","rdim= "&amp;Table1[[#This Row],[Rdim]])</f>
        <v>rdim= 1</v>
      </c>
      <c r="J107" s="22" t="s">
        <v>319</v>
      </c>
      <c r="K107" s="22"/>
      <c r="L107" s="22" t="str">
        <f>IF(Table1[[#This Row],[ignoreRows]]=NOT(Table1[[#This Row],[ignoreRows]]=0),"","ignoreRows= "&amp;Table1[[#This Row],[ignoreRows]])</f>
        <v>ignoreRows= 22,23,25,26,28,29</v>
      </c>
      <c r="M107" s="22" t="str">
        <f>IF(Table1[[#This Row],[ignoreColumns]]=NOT(Table1[[#This Row],[ignoreColumns]]=0),"","ignoreColumns= "&amp;Table1[[#This Row],[ignoreColumns]])</f>
        <v/>
      </c>
      <c r="N107" s="23" t="str">
        <f>IF(Table1[[#This Row],[Data Type]]="set","Y","N")</f>
        <v>Y</v>
      </c>
      <c r="O107" s="23" t="str">
        <f>IF(Table1[[#This Row],[Values=No Data '[Y/N']]]="Y","values=NoData","")</f>
        <v>values=NoData</v>
      </c>
      <c r="P107" s="23" t="str">
        <f>Table1[[#This Row],[Data Type]]&amp;"="&amp;Table1[[#This Row],[Name]]&amp;"    rng="&amp;Table1[[#This Row],[Range]]&amp;"    "&amp;Table1[[#This Row],[Values gams input]]&amp;"    "&amp;Table1[[#This Row],[dim input gams]]&amp;"    "&amp;Table1[[#This Row],[cdim gams input]]&amp;"     "&amp;Table1[[#This Row],[rdim gams input]]&amp;"     "&amp;Table1[[#This Row],[ignore rows gams input]]&amp;"     "&amp;Table1[[#This Row],[ignore colums gams input]]</f>
        <v>set=jmix2    rng=Con_mat!A21:A31    values=NoData             rdim= 1     ignoreRows= 22,23,25,26,28,29     </v>
      </c>
    </row>
    <row r="108" x14ac:dyDescent="0.25">
      <c r="A108" s="21" t="s">
        <v>144</v>
      </c>
      <c r="B108" s="22" t="s">
        <v>320</v>
      </c>
      <c r="C108" s="22" t="s">
        <v>321</v>
      </c>
      <c r="D108" s="22"/>
      <c r="E108" s="22" t="str">
        <f>IF(Table1[[#This Row],[Dim]]=0,"","dim="&amp;Table1[[#This Row],[Dim]])</f>
        <v/>
      </c>
      <c r="F108" s="22"/>
      <c r="G108" s="22">
        <v>1</v>
      </c>
      <c r="H108" s="22" t="str">
        <f>IF(Table1[[#This Row],[Cdim]]=NOT(Table1[[#This Row],[Cdim]]=0),"","cdim= "&amp;Table1[[#This Row],[Cdim]])</f>
        <v/>
      </c>
      <c r="I108" s="22" t="str">
        <f>IF(Table1[[#This Row],[Rdim]]=NOT(Table1[[#This Row],[Rdim]]=0),"","rdim= "&amp;Table1[[#This Row],[Rdim]])</f>
        <v>rdim= 1</v>
      </c>
      <c r="J108" s="22" t="s">
        <v>322</v>
      </c>
      <c r="K108" s="22"/>
      <c r="L108" s="22" t="str">
        <f>IF(Table1[[#This Row],[ignoreRows]]=NOT(Table1[[#This Row],[ignoreRows]]=0),"","ignoreRows= "&amp;Table1[[#This Row],[ignoreRows]])</f>
        <v>ignoreRows= 22,23,25,26,28,30</v>
      </c>
      <c r="M108" s="22" t="str">
        <f>IF(Table1[[#This Row],[ignoreColumns]]=NOT(Table1[[#This Row],[ignoreColumns]]=0),"","ignoreColumns= "&amp;Table1[[#This Row],[ignoreColumns]])</f>
        <v/>
      </c>
      <c r="N108" s="23" t="str">
        <f>IF(Table1[[#This Row],[Data Type]]="set","Y","N")</f>
        <v>Y</v>
      </c>
      <c r="O108" s="23" t="str">
        <f>IF(Table1[[#This Row],[Values=No Data '[Y/N']]]="Y","values=NoData","")</f>
        <v>values=NoData</v>
      </c>
      <c r="P108" s="23" t="str">
        <f>Table1[[#This Row],[Data Type]]&amp;"="&amp;Table1[[#This Row],[Name]]&amp;"    rng="&amp;Table1[[#This Row],[Range]]&amp;"    "&amp;Table1[[#This Row],[Values gams input]]&amp;"    "&amp;Table1[[#This Row],[dim input gams]]&amp;"    "&amp;Table1[[#This Row],[cdim gams input]]&amp;"     "&amp;Table1[[#This Row],[rdim gams input]]&amp;"     "&amp;Table1[[#This Row],[ignore rows gams input]]&amp;"     "&amp;Table1[[#This Row],[ignore colums gams input]]</f>
        <v>set=jmix2F    rng=Con_mat!A21:A30    values=NoData             rdim= 1     ignoreRows= 22,23,25,26,28,30     </v>
      </c>
    </row>
    <row r="109" x14ac:dyDescent="0.25">
      <c r="A109" s="21" t="s">
        <v>144</v>
      </c>
      <c r="B109" s="22" t="s">
        <v>323</v>
      </c>
      <c r="C109" s="22" t="s">
        <v>324</v>
      </c>
      <c r="D109" s="22"/>
      <c r="E109" s="22" t="str">
        <f>IF(Table1[[#This Row],[Dim]]=0,"","dim="&amp;Table1[[#This Row],[Dim]])</f>
        <v/>
      </c>
      <c r="F109" s="22"/>
      <c r="G109" s="22">
        <v>1</v>
      </c>
      <c r="H109" s="22" t="str">
        <f>IF(Table1[[#This Row],[Cdim]]=NOT(Table1[[#This Row],[Cdim]]=0),"","cdim= "&amp;Table1[[#This Row],[Cdim]])</f>
        <v/>
      </c>
      <c r="I109" s="22" t="str">
        <f>IF(Table1[[#This Row],[Rdim]]=NOT(Table1[[#This Row],[Rdim]]=0),"","rdim= "&amp;Table1[[#This Row],[Rdim]])</f>
        <v>rdim= 1</v>
      </c>
      <c r="J109" s="22"/>
      <c r="K109" s="22"/>
      <c r="L109" s="22" t="str">
        <f>IF(Table1[[#This Row],[ignoreRows]]=NOT(Table1[[#This Row],[ignoreRows]]=0),"","ignoreRows= "&amp;Table1[[#This Row],[ignoreRows]])</f>
        <v/>
      </c>
      <c r="M109" s="22" t="str">
        <f>IF(Table1[[#This Row],[ignoreColumns]]=NOT(Table1[[#This Row],[ignoreColumns]]=0),"","ignoreColumns= "&amp;Table1[[#This Row],[ignoreColumns]])</f>
        <v/>
      </c>
      <c r="N109" s="23" t="str">
        <f>IF(Table1[[#This Row],[Data Type]]="set","Y","N")</f>
        <v>Y</v>
      </c>
      <c r="O109" s="23" t="str">
        <f>IF(Table1[[#This Row],[Values=No Data '[Y/N']]]="Y","values=NoData","")</f>
        <v>values=NoData</v>
      </c>
      <c r="P109" s="23" t="str">
        <f>Table1[[#This Row],[Data Type]]&amp;"="&amp;Table1[[#This Row],[Name]]&amp;"    rng="&amp;Table1[[#This Row],[Range]]&amp;"    "&amp;Table1[[#This Row],[Values gams input]]&amp;"    "&amp;Table1[[#This Row],[dim input gams]]&amp;"    "&amp;Table1[[#This Row],[cdim gams input]]&amp;"     "&amp;Table1[[#This Row],[rdim gams input]]&amp;"     "&amp;Table1[[#This Row],[ignore rows gams input]]&amp;"     "&amp;Table1[[#This Row],[ignore colums gams input]]</f>
        <v>set=jmix2E    rng=Con_mat!A31:A31    values=NoData             rdim= 1          </v>
      </c>
    </row>
    <row r="110" x14ac:dyDescent="0.25">
      <c r="A110" s="21" t="s">
        <v>144</v>
      </c>
      <c r="B110" s="22" t="s">
        <v>325</v>
      </c>
      <c r="C110" s="22" t="s">
        <v>326</v>
      </c>
      <c r="D110" s="22"/>
      <c r="E110" s="22" t="str">
        <f>IF(Table1[[#This Row],[Dim]]=0,"","dim="&amp;Table1[[#This Row],[Dim]])</f>
        <v/>
      </c>
      <c r="F110" s="22"/>
      <c r="G110" s="22">
        <v>1</v>
      </c>
      <c r="H110" s="22" t="str">
        <f>IF(Table1[[#This Row],[Cdim]]=NOT(Table1[[#This Row],[Cdim]]=0),"","cdim= "&amp;Table1[[#This Row],[Cdim]])</f>
        <v/>
      </c>
      <c r="I110" s="22" t="str">
        <f>IF(Table1[[#This Row],[Rdim]]=NOT(Table1[[#This Row],[Rdim]]=0),"","rdim= "&amp;Table1[[#This Row],[Rdim]])</f>
        <v>rdim= 1</v>
      </c>
      <c r="J110" s="22" t="s">
        <v>327</v>
      </c>
      <c r="K110" s="22"/>
      <c r="L110" s="22" t="str">
        <f>IF(Table1[[#This Row],[ignoreRows]]=NOT(Table1[[#This Row],[ignoreRows]]=0),"","ignoreRows= "&amp;Table1[[#This Row],[ignoreRows]])</f>
        <v>ignoreRows= 33,34,36,37</v>
      </c>
      <c r="M110" s="22" t="str">
        <f>IF(Table1[[#This Row],[ignoreColumns]]=NOT(Table1[[#This Row],[ignoreColumns]]=0),"","ignoreColumns= "&amp;Table1[[#This Row],[ignoreColumns]])</f>
        <v/>
      </c>
      <c r="N110" s="23" t="str">
        <f>IF(Table1[[#This Row],[Data Type]]="set","Y","N")</f>
        <v>Y</v>
      </c>
      <c r="O110" s="23" t="str">
        <f>IF(Table1[[#This Row],[Values=No Data '[Y/N']]]="Y","values=NoData","")</f>
        <v>values=NoData</v>
      </c>
      <c r="P110" s="23" t="str">
        <f>Table1[[#This Row],[Data Type]]&amp;"="&amp;Table1[[#This Row],[Name]]&amp;"    rng="&amp;Table1[[#This Row],[Range]]&amp;"    "&amp;Table1[[#This Row],[Values gams input]]&amp;"    "&amp;Table1[[#This Row],[dim input gams]]&amp;"    "&amp;Table1[[#This Row],[cdim gams input]]&amp;"     "&amp;Table1[[#This Row],[rdim gams input]]&amp;"     "&amp;Table1[[#This Row],[ignore rows gams input]]&amp;"     "&amp;Table1[[#This Row],[ignore colums gams input]]</f>
        <v>set=jsplit3    rng=Con_mat!A31:A38    values=NoData             rdim= 1     ignoreRows= 33,34,36,37     </v>
      </c>
    </row>
    <row r="111" x14ac:dyDescent="0.25">
      <c r="A111" s="21" t="s">
        <v>144</v>
      </c>
      <c r="B111" s="22" t="s">
        <v>328</v>
      </c>
      <c r="C111" s="22" t="s">
        <v>324</v>
      </c>
      <c r="D111" s="22"/>
      <c r="E111" s="22" t="str">
        <f>IF(Table1[[#This Row],[Dim]]=0,"","dim="&amp;Table1[[#This Row],[Dim]])</f>
        <v/>
      </c>
      <c r="F111" s="22"/>
      <c r="G111" s="22">
        <v>1</v>
      </c>
      <c r="H111" s="22" t="str">
        <f>IF(Table1[[#This Row],[Cdim]]=NOT(Table1[[#This Row],[Cdim]]=0),"","cdim= "&amp;Table1[[#This Row],[Cdim]])</f>
        <v/>
      </c>
      <c r="I111" s="22" t="str">
        <f>IF(Table1[[#This Row],[Rdim]]=NOT(Table1[[#This Row],[Rdim]]=0),"","rdim= "&amp;Table1[[#This Row],[Rdim]])</f>
        <v>rdim= 1</v>
      </c>
      <c r="J111" s="22"/>
      <c r="K111" s="22"/>
      <c r="L111" s="22" t="str">
        <f>IF(Table1[[#This Row],[ignoreRows]]=NOT(Table1[[#This Row],[ignoreRows]]=0),"","ignoreRows= "&amp;Table1[[#This Row],[ignoreRows]])</f>
        <v/>
      </c>
      <c r="M111" s="22" t="str">
        <f>IF(Table1[[#This Row],[ignoreColumns]]=NOT(Table1[[#This Row],[ignoreColumns]]=0),"","ignoreColumns= "&amp;Table1[[#This Row],[ignoreColumns]])</f>
        <v/>
      </c>
      <c r="N111" s="23" t="str">
        <f>IF(Table1[[#This Row],[Data Type]]="set","Y","N")</f>
        <v>Y</v>
      </c>
      <c r="O111" s="23" t="str">
        <f>IF(Table1[[#This Row],[Values=No Data '[Y/N']]]="Y","values=NoData","")</f>
        <v>values=NoData</v>
      </c>
      <c r="P111" s="23" t="str">
        <f>Table1[[#This Row],[Data Type]]&amp;"="&amp;Table1[[#This Row],[Name]]&amp;"    rng="&amp;Table1[[#This Row],[Range]]&amp;"    "&amp;Table1[[#This Row],[Values gams input]]&amp;"    "&amp;Table1[[#This Row],[dim input gams]]&amp;"    "&amp;Table1[[#This Row],[cdim gams input]]&amp;"     "&amp;Table1[[#This Row],[rdim gams input]]&amp;"     "&amp;Table1[[#This Row],[ignore rows gams input]]&amp;"     "&amp;Table1[[#This Row],[ignore colums gams input]]</f>
        <v>set=jsplit3F    rng=Con_mat!A31:A31    values=NoData             rdim= 1          </v>
      </c>
    </row>
    <row r="112" x14ac:dyDescent="0.25">
      <c r="A112" s="21" t="s">
        <v>144</v>
      </c>
      <c r="B112" s="22" t="s">
        <v>329</v>
      </c>
      <c r="C112" s="22" t="s">
        <v>330</v>
      </c>
      <c r="D112" s="22"/>
      <c r="E112" s="22" t="str">
        <f>IF(Table1[[#This Row],[Dim]]=0,"","dim="&amp;Table1[[#This Row],[Dim]])</f>
        <v/>
      </c>
      <c r="F112" s="22"/>
      <c r="G112" s="22">
        <v>1</v>
      </c>
      <c r="H112" s="22" t="str">
        <f>IF(Table1[[#This Row],[Cdim]]=NOT(Table1[[#This Row],[Cdim]]=0),"","cdim= "&amp;Table1[[#This Row],[Cdim]])</f>
        <v/>
      </c>
      <c r="I112" s="22" t="str">
        <f>IF(Table1[[#This Row],[Rdim]]=NOT(Table1[[#This Row],[Rdim]]=0),"","rdim= "&amp;Table1[[#This Row],[Rdim]])</f>
        <v>rdim= 1</v>
      </c>
      <c r="J112" s="22" t="s">
        <v>327</v>
      </c>
      <c r="K112" s="22"/>
      <c r="L112" s="22" t="str">
        <f>IF(Table1[[#This Row],[ignoreRows]]=NOT(Table1[[#This Row],[ignoreRows]]=0),"","ignoreRows= "&amp;Table1[[#This Row],[ignoreRows]])</f>
        <v>ignoreRows= 33,34,36,37</v>
      </c>
      <c r="M112" s="22" t="str">
        <f>IF(Table1[[#This Row],[ignoreColumns]]=NOT(Table1[[#This Row],[ignoreColumns]]=0),"","ignoreColumns= "&amp;Table1[[#This Row],[ignoreColumns]])</f>
        <v/>
      </c>
      <c r="N112" s="23" t="str">
        <f>IF(Table1[[#This Row],[Data Type]]="set","Y","N")</f>
        <v>Y</v>
      </c>
      <c r="O112" s="23" t="str">
        <f>IF(Table1[[#This Row],[Values=No Data '[Y/N']]]="Y","values=NoData","")</f>
        <v>values=NoData</v>
      </c>
      <c r="P112" s="23" t="str">
        <f>Table1[[#This Row],[Data Type]]&amp;"="&amp;Table1[[#This Row],[Name]]&amp;"    rng="&amp;Table1[[#This Row],[Range]]&amp;"    "&amp;Table1[[#This Row],[Values gams input]]&amp;"    "&amp;Table1[[#This Row],[dim input gams]]&amp;"    "&amp;Table1[[#This Row],[cdim gams input]]&amp;"     "&amp;Table1[[#This Row],[rdim gams input]]&amp;"     "&amp;Table1[[#This Row],[ignore rows gams input]]&amp;"     "&amp;Table1[[#This Row],[ignore colums gams input]]</f>
        <v>set=jsplit3E    rng=Con_mat!A32:A38    values=NoData             rdim= 1     ignoreRows= 33,34,36,37     </v>
      </c>
    </row>
    <row r="113" x14ac:dyDescent="0.25">
      <c r="A113" s="21" t="s">
        <v>144</v>
      </c>
      <c r="B113" s="22" t="s">
        <v>331</v>
      </c>
      <c r="C113" s="22" t="s">
        <v>332</v>
      </c>
      <c r="D113" s="22"/>
      <c r="E113" s="22" t="str">
        <f>IF(Table1[[#This Row],[Dim]]=0,"","dim="&amp;Table1[[#This Row],[Dim]])</f>
        <v/>
      </c>
      <c r="F113" s="22"/>
      <c r="G113" s="22">
        <v>1</v>
      </c>
      <c r="H113" s="22" t="str">
        <f>IF(Table1[[#This Row],[Cdim]]=NOT(Table1[[#This Row],[Cdim]]=0),"","cdim= "&amp;Table1[[#This Row],[Cdim]])</f>
        <v/>
      </c>
      <c r="I113" s="22" t="str">
        <f>IF(Table1[[#This Row],[Rdim]]=NOT(Table1[[#This Row],[Rdim]]=0),"","rdim= "&amp;Table1[[#This Row],[Rdim]])</f>
        <v>rdim= 1</v>
      </c>
      <c r="J113" s="22"/>
      <c r="K113" s="22"/>
      <c r="L113" s="22" t="str">
        <f>IF(Table1[[#This Row],[ignoreRows]]=NOT(Table1[[#This Row],[ignoreRows]]=0),"","ignoreRows= "&amp;Table1[[#This Row],[ignoreRows]])</f>
        <v/>
      </c>
      <c r="M113" s="22" t="str">
        <f>IF(Table1[[#This Row],[ignoreColumns]]=NOT(Table1[[#This Row],[ignoreColumns]]=0),"","ignoreColumns= "&amp;Table1[[#This Row],[ignoreColumns]])</f>
        <v/>
      </c>
      <c r="N113" s="23" t="str">
        <f>IF(Table1[[#This Row],[Data Type]]="set","Y","N")</f>
        <v>Y</v>
      </c>
      <c r="O113" s="23" t="str">
        <f>IF(Table1[[#This Row],[Values=No Data '[Y/N']]]="Y","values=NoData","")</f>
        <v>values=NoData</v>
      </c>
      <c r="P113" s="23" t="str">
        <f>Table1[[#This Row],[Data Type]]&amp;"="&amp;Table1[[#This Row],[Name]]&amp;"    rng="&amp;Table1[[#This Row],[Range]]&amp;"    "&amp;Table1[[#This Row],[Values gams input]]&amp;"    "&amp;Table1[[#This Row],[dim input gams]]&amp;"    "&amp;Table1[[#This Row],[cdim gams input]]&amp;"     "&amp;Table1[[#This Row],[rdim gams input]]&amp;"     "&amp;Table1[[#This Row],[ignore rows gams input]]&amp;"     "&amp;Table1[[#This Row],[ignore colums gams input]]</f>
        <v>set=jMF2    rng=Con_mat!A32:A34    values=NoData             rdim= 1          </v>
      </c>
    </row>
    <row r="114" x14ac:dyDescent="0.25">
      <c r="A114" s="21" t="s">
        <v>144</v>
      </c>
      <c r="B114" s="22" t="s">
        <v>333</v>
      </c>
      <c r="C114" s="22" t="s">
        <v>334</v>
      </c>
      <c r="D114" s="22"/>
      <c r="E114" s="22" t="str">
        <f>IF(Table1[[#This Row],[Dim]]=0,"","dim="&amp;Table1[[#This Row],[Dim]])</f>
        <v/>
      </c>
      <c r="F114" s="22"/>
      <c r="G114" s="22">
        <v>1</v>
      </c>
      <c r="H114" s="22" t="str">
        <f>IF(Table1[[#This Row],[Cdim]]=NOT(Table1[[#This Row],[Cdim]]=0),"","cdim= "&amp;Table1[[#This Row],[Cdim]])</f>
        <v/>
      </c>
      <c r="I114" s="22" t="str">
        <f>IF(Table1[[#This Row],[Rdim]]=NOT(Table1[[#This Row],[Rdim]]=0),"","rdim= "&amp;Table1[[#This Row],[Rdim]])</f>
        <v>rdim= 1</v>
      </c>
      <c r="J114" s="22"/>
      <c r="K114" s="22"/>
      <c r="L114" s="22" t="str">
        <f>IF(Table1[[#This Row],[ignoreRows]]=NOT(Table1[[#This Row],[ignoreRows]]=0),"","ignoreRows= "&amp;Table1[[#This Row],[ignoreRows]])</f>
        <v/>
      </c>
      <c r="M114" s="22" t="str">
        <f>IF(Table1[[#This Row],[ignoreColumns]]=NOT(Table1[[#This Row],[ignoreColumns]]=0),"","ignoreColumns= "&amp;Table1[[#This Row],[ignoreColumns]])</f>
        <v/>
      </c>
      <c r="N114" s="23" t="str">
        <f>IF(Table1[[#This Row],[Data Type]]="set","Y","N")</f>
        <v>Y</v>
      </c>
      <c r="O114" s="23" t="str">
        <f>IF(Table1[[#This Row],[Values=No Data '[Y/N']]]="Y","values=NoData","")</f>
        <v>values=NoData</v>
      </c>
      <c r="P114" s="23" t="str">
        <f>Table1[[#This Row],[Data Type]]&amp;"="&amp;Table1[[#This Row],[Name]]&amp;"    rng="&amp;Table1[[#This Row],[Range]]&amp;"    "&amp;Table1[[#This Row],[Values gams input]]&amp;"    "&amp;Table1[[#This Row],[dim input gams]]&amp;"    "&amp;Table1[[#This Row],[cdim gams input]]&amp;"     "&amp;Table1[[#This Row],[rdim gams input]]&amp;"     "&amp;Table1[[#This Row],[ignore rows gams input]]&amp;"     "&amp;Table1[[#This Row],[ignore colums gams input]]</f>
        <v>set=jMF2F    rng=Con_mat!A32:A32    values=NoData             rdim= 1          </v>
      </c>
    </row>
    <row r="115" x14ac:dyDescent="0.25">
      <c r="A115" s="21" t="s">
        <v>144</v>
      </c>
      <c r="B115" s="22" t="s">
        <v>337</v>
      </c>
      <c r="C115" s="22" t="s">
        <v>336</v>
      </c>
      <c r="D115" s="22"/>
      <c r="E115" s="22" t="str">
        <f>IF(Table1[[#This Row],[Dim]]=0,"","dim="&amp;Table1[[#This Row],[Dim]])</f>
        <v/>
      </c>
      <c r="F115" s="22"/>
      <c r="G115" s="22">
        <v>1</v>
      </c>
      <c r="H115" s="22" t="str">
        <f>IF(Table1[[#This Row],[Cdim]]=NOT(Table1[[#This Row],[Cdim]]=0),"","cdim= "&amp;Table1[[#This Row],[Cdim]])</f>
        <v/>
      </c>
      <c r="I115" s="22" t="str">
        <f>IF(Table1[[#This Row],[Rdim]]=NOT(Table1[[#This Row],[Rdim]]=0),"","rdim= "&amp;Table1[[#This Row],[Rdim]])</f>
        <v>rdim= 1</v>
      </c>
      <c r="J115" s="22"/>
      <c r="K115" s="22"/>
      <c r="L115" s="22" t="str">
        <f>IF(Table1[[#This Row],[ignoreRows]]=NOT(Table1[[#This Row],[ignoreRows]]=0),"","ignoreRows= "&amp;Table1[[#This Row],[ignoreRows]])</f>
        <v/>
      </c>
      <c r="M115" s="22" t="str">
        <f>IF(Table1[[#This Row],[ignoreColumns]]=NOT(Table1[[#This Row],[ignoreColumns]]=0),"","ignoreColumns= "&amp;Table1[[#This Row],[ignoreColumns]])</f>
        <v/>
      </c>
      <c r="N115" s="23" t="str">
        <f>IF(Table1[[#This Row],[Data Type]]="set","Y","N")</f>
        <v>Y</v>
      </c>
      <c r="O115" s="23" t="str">
        <f>IF(Table1[[#This Row],[Values=No Data '[Y/N']]]="Y","values=NoData","")</f>
        <v>values=NoData</v>
      </c>
      <c r="P115" s="23" t="str">
        <f>Table1[[#This Row],[Data Type]]&amp;"="&amp;Table1[[#This Row],[Name]]&amp;"    rng="&amp;Table1[[#This Row],[Range]]&amp;"    "&amp;Table1[[#This Row],[Values gams input]]&amp;"    "&amp;Table1[[#This Row],[dim input gams]]&amp;"    "&amp;Table1[[#This Row],[cdim gams input]]&amp;"     "&amp;Table1[[#This Row],[rdim gams input]]&amp;"     "&amp;Table1[[#This Row],[ignore rows gams input]]&amp;"     "&amp;Table1[[#This Row],[ignore colums gams input]]</f>
        <v>set=jMF2E    rng=Con_mat!A33:A33    values=NoData             rdim= 1          </v>
      </c>
    </row>
    <row r="116" x14ac:dyDescent="0.25">
      <c r="A116" s="21" t="s">
        <v>144</v>
      </c>
      <c r="B116" s="22" t="s">
        <v>335</v>
      </c>
      <c r="C116" s="22" t="s">
        <v>338</v>
      </c>
      <c r="D116" s="22"/>
      <c r="E116" s="22" t="str">
        <f>IF(Table1[[#This Row],[Dim]]=0,"","dim="&amp;Table1[[#This Row],[Dim]])</f>
        <v/>
      </c>
      <c r="F116" s="22"/>
      <c r="G116" s="22">
        <v>1</v>
      </c>
      <c r="H116" s="22" t="str">
        <f>IF(Table1[[#This Row],[Cdim]]=NOT(Table1[[#This Row],[Cdim]]=0),"","cdim= "&amp;Table1[[#This Row],[Cdim]])</f>
        <v/>
      </c>
      <c r="I116" s="22" t="str">
        <f>IF(Table1[[#This Row],[Rdim]]=NOT(Table1[[#This Row],[Rdim]]=0),"","rdim= "&amp;Table1[[#This Row],[Rdim]])</f>
        <v>rdim= 1</v>
      </c>
      <c r="J116" s="22"/>
      <c r="K116" s="22"/>
      <c r="L116" s="22" t="str">
        <f>IF(Table1[[#This Row],[ignoreRows]]=NOT(Table1[[#This Row],[ignoreRows]]=0),"","ignoreRows= "&amp;Table1[[#This Row],[ignoreRows]])</f>
        <v/>
      </c>
      <c r="M116" s="22" t="str">
        <f>IF(Table1[[#This Row],[ignoreColumns]]=NOT(Table1[[#This Row],[ignoreColumns]]=0),"","ignoreColumns= "&amp;Table1[[#This Row],[ignoreColumns]])</f>
        <v/>
      </c>
      <c r="N116" s="23" t="str">
        <f>IF(Table1[[#This Row],[Data Type]]="set","Y","N")</f>
        <v>Y</v>
      </c>
      <c r="O116" s="23" t="str">
        <f>IF(Table1[[#This Row],[Values=No Data '[Y/N']]]="Y","values=NoData","")</f>
        <v>values=NoData</v>
      </c>
      <c r="P116" s="23" t="str">
        <f>Table1[[#This Row],[Data Type]]&amp;"="&amp;Table1[[#This Row],[Name]]&amp;"    rng="&amp;Table1[[#This Row],[Range]]&amp;"    "&amp;Table1[[#This Row],[Values gams input]]&amp;"    "&amp;Table1[[#This Row],[dim input gams]]&amp;"    "&amp;Table1[[#This Row],[cdim gams input]]&amp;"     "&amp;Table1[[#This Row],[rdim gams input]]&amp;"     "&amp;Table1[[#This Row],[ignore rows gams input]]&amp;"     "&amp;Table1[[#This Row],[ignore colums gams input]]</f>
        <v>set=jMF2S    rng=Con_mat!A34:A34    values=NoData             rdim= 1          </v>
      </c>
    </row>
    <row r="117" x14ac:dyDescent="0.25">
      <c r="A117" s="21" t="s">
        <v>144</v>
      </c>
      <c r="B117" s="22" t="s">
        <v>339</v>
      </c>
      <c r="C117" s="22" t="s">
        <v>340</v>
      </c>
      <c r="D117" s="22"/>
      <c r="E117" s="22" t="str">
        <f>IF(Table1[[#This Row],[Dim]]=0,"","dim="&amp;Table1[[#This Row],[Dim]])</f>
        <v/>
      </c>
      <c r="F117" s="22"/>
      <c r="G117" s="22">
        <v>1</v>
      </c>
      <c r="H117" s="22" t="str">
        <f>IF(Table1[[#This Row],[Cdim]]=NOT(Table1[[#This Row],[Cdim]]=0),"","cdim= "&amp;Table1[[#This Row],[Cdim]])</f>
        <v/>
      </c>
      <c r="I117" s="22" t="str">
        <f>IF(Table1[[#This Row],[Rdim]]=NOT(Table1[[#This Row],[Rdim]]=0),"","rdim= "&amp;Table1[[#This Row],[Rdim]])</f>
        <v>rdim= 1</v>
      </c>
      <c r="J117" s="22"/>
      <c r="K117" s="22"/>
      <c r="L117" s="22" t="str">
        <f>IF(Table1[[#This Row],[ignoreRows]]=NOT(Table1[[#This Row],[ignoreRows]]=0),"","ignoreRows= "&amp;Table1[[#This Row],[ignoreRows]])</f>
        <v/>
      </c>
      <c r="M117" s="22" t="str">
        <f>IF(Table1[[#This Row],[ignoreColumns]]=NOT(Table1[[#This Row],[ignoreColumns]]=0),"","ignoreColumns= "&amp;Table1[[#This Row],[ignoreColumns]])</f>
        <v/>
      </c>
      <c r="N117" s="23" t="str">
        <f>IF(Table1[[#This Row],[Data Type]]="set","Y","N")</f>
        <v>Y</v>
      </c>
      <c r="O117" s="23" t="str">
        <f>IF(Table1[[#This Row],[Values=No Data '[Y/N']]]="Y","values=NoData","")</f>
        <v>values=NoData</v>
      </c>
      <c r="P117" s="23" t="str">
        <f>Table1[[#This Row],[Data Type]]&amp;"="&amp;Table1[[#This Row],[Name]]&amp;"    rng="&amp;Table1[[#This Row],[Range]]&amp;"    "&amp;Table1[[#This Row],[Values gams input]]&amp;"    "&amp;Table1[[#This Row],[dim input gams]]&amp;"    "&amp;Table1[[#This Row],[cdim gams input]]&amp;"     "&amp;Table1[[#This Row],[rdim gams input]]&amp;"     "&amp;Table1[[#This Row],[ignore rows gams input]]&amp;"     "&amp;Table1[[#This Row],[ignore colums gams input]]</f>
        <v>set=jUF1    rng=Con_mat!A35:A37    values=NoData             rdim= 1          </v>
      </c>
    </row>
    <row r="118" x14ac:dyDescent="0.25">
      <c r="A118" s="21" t="s">
        <v>144</v>
      </c>
      <c r="B118" s="22" t="s">
        <v>341</v>
      </c>
      <c r="C118" s="22" t="s">
        <v>342</v>
      </c>
      <c r="D118" s="22"/>
      <c r="E118" s="22" t="str">
        <f>IF(Table1[[#This Row],[Dim]]=0,"","dim="&amp;Table1[[#This Row],[Dim]])</f>
        <v/>
      </c>
      <c r="F118" s="22"/>
      <c r="G118" s="22">
        <v>1</v>
      </c>
      <c r="H118" s="22" t="str">
        <f>IF(Table1[[#This Row],[Cdim]]=NOT(Table1[[#This Row],[Cdim]]=0),"","cdim= "&amp;Table1[[#This Row],[Cdim]])</f>
        <v/>
      </c>
      <c r="I118" s="22" t="str">
        <f>IF(Table1[[#This Row],[Rdim]]=NOT(Table1[[#This Row],[Rdim]]=0),"","rdim= "&amp;Table1[[#This Row],[Rdim]])</f>
        <v>rdim= 1</v>
      </c>
      <c r="J118" s="22"/>
      <c r="K118" s="22"/>
      <c r="L118" s="22" t="str">
        <f>IF(Table1[[#This Row],[ignoreRows]]=NOT(Table1[[#This Row],[ignoreRows]]=0),"","ignoreRows= "&amp;Table1[[#This Row],[ignoreRows]])</f>
        <v/>
      </c>
      <c r="M118" s="22" t="str">
        <f>IF(Table1[[#This Row],[ignoreColumns]]=NOT(Table1[[#This Row],[ignoreColumns]]=0),"","ignoreColumns= "&amp;Table1[[#This Row],[ignoreColumns]])</f>
        <v/>
      </c>
      <c r="N118" s="23" t="str">
        <f>IF(Table1[[#This Row],[Data Type]]="set","Y","N")</f>
        <v>Y</v>
      </c>
      <c r="O118" s="23" t="str">
        <f>IF(Table1[[#This Row],[Values=No Data '[Y/N']]]="Y","values=NoData","")</f>
        <v>values=NoData</v>
      </c>
      <c r="P118" s="23" t="str">
        <f>Table1[[#This Row],[Data Type]]&amp;"="&amp;Table1[[#This Row],[Name]]&amp;"    rng="&amp;Table1[[#This Row],[Range]]&amp;"    "&amp;Table1[[#This Row],[Values gams input]]&amp;"    "&amp;Table1[[#This Row],[dim input gams]]&amp;"    "&amp;Table1[[#This Row],[cdim gams input]]&amp;"     "&amp;Table1[[#This Row],[rdim gams input]]&amp;"     "&amp;Table1[[#This Row],[ignore rows gams input]]&amp;"     "&amp;Table1[[#This Row],[ignore colums gams input]]</f>
        <v>set=jUF1F    rng=Con_mat!A35:A35    values=NoData             rdim= 1          </v>
      </c>
    </row>
    <row r="119" x14ac:dyDescent="0.25">
      <c r="A119" s="21" t="s">
        <v>144</v>
      </c>
      <c r="B119" s="22" t="s">
        <v>345</v>
      </c>
      <c r="C119" s="22" t="s">
        <v>344</v>
      </c>
      <c r="D119" s="22"/>
      <c r="E119" s="22" t="str">
        <f>IF(Table1[[#This Row],[Dim]]=0,"","dim="&amp;Table1[[#This Row],[Dim]])</f>
        <v/>
      </c>
      <c r="F119" s="22"/>
      <c r="G119" s="22">
        <v>1</v>
      </c>
      <c r="H119" s="22" t="str">
        <f>IF(Table1[[#This Row],[Cdim]]=NOT(Table1[[#This Row],[Cdim]]=0),"","cdim= "&amp;Table1[[#This Row],[Cdim]])</f>
        <v/>
      </c>
      <c r="I119" s="22" t="str">
        <f>IF(Table1[[#This Row],[Rdim]]=NOT(Table1[[#This Row],[Rdim]]=0),"","rdim= "&amp;Table1[[#This Row],[Rdim]])</f>
        <v>rdim= 1</v>
      </c>
      <c r="J119" s="22"/>
      <c r="K119" s="22"/>
      <c r="L119" s="22" t="str">
        <f>IF(Table1[[#This Row],[ignoreRows]]=NOT(Table1[[#This Row],[ignoreRows]]=0),"","ignoreRows= "&amp;Table1[[#This Row],[ignoreRows]])</f>
        <v/>
      </c>
      <c r="M119" s="22" t="str">
        <f>IF(Table1[[#This Row],[ignoreColumns]]=NOT(Table1[[#This Row],[ignoreColumns]]=0),"","ignoreColumns= "&amp;Table1[[#This Row],[ignoreColumns]])</f>
        <v/>
      </c>
      <c r="N119" s="23" t="str">
        <f>IF(Table1[[#This Row],[Data Type]]="set","Y","N")</f>
        <v>Y</v>
      </c>
      <c r="O119" s="23" t="str">
        <f>IF(Table1[[#This Row],[Values=No Data '[Y/N']]]="Y","values=NoData","")</f>
        <v>values=NoData</v>
      </c>
      <c r="P119" s="23" t="str">
        <f>Table1[[#This Row],[Data Type]]&amp;"="&amp;Table1[[#This Row],[Name]]&amp;"    rng="&amp;Table1[[#This Row],[Range]]&amp;"    "&amp;Table1[[#This Row],[Values gams input]]&amp;"    "&amp;Table1[[#This Row],[dim input gams]]&amp;"    "&amp;Table1[[#This Row],[cdim gams input]]&amp;"     "&amp;Table1[[#This Row],[rdim gams input]]&amp;"     "&amp;Table1[[#This Row],[ignore rows gams input]]&amp;"     "&amp;Table1[[#This Row],[ignore colums gams input]]</f>
        <v>set=jUF1E    rng=Con_mat!A36:A36    values=NoData             rdim= 1          </v>
      </c>
    </row>
    <row r="120" x14ac:dyDescent="0.25">
      <c r="A120" s="21" t="s">
        <v>144</v>
      </c>
      <c r="B120" s="22" t="s">
        <v>343</v>
      </c>
      <c r="C120" s="22" t="s">
        <v>346</v>
      </c>
      <c r="D120" s="22"/>
      <c r="E120" s="22" t="str">
        <f>IF(Table1[[#This Row],[Dim]]=0,"","dim="&amp;Table1[[#This Row],[Dim]])</f>
        <v/>
      </c>
      <c r="F120" s="22"/>
      <c r="G120" s="22">
        <v>1</v>
      </c>
      <c r="H120" s="22" t="str">
        <f>IF(Table1[[#This Row],[Cdim]]=NOT(Table1[[#This Row],[Cdim]]=0),"","cdim= "&amp;Table1[[#This Row],[Cdim]])</f>
        <v/>
      </c>
      <c r="I120" s="22" t="str">
        <f>IF(Table1[[#This Row],[Rdim]]=NOT(Table1[[#This Row],[Rdim]]=0),"","rdim= "&amp;Table1[[#This Row],[Rdim]])</f>
        <v>rdim= 1</v>
      </c>
      <c r="J120" s="22"/>
      <c r="K120" s="22"/>
      <c r="L120" s="22" t="str">
        <f>IF(Table1[[#This Row],[ignoreRows]]=NOT(Table1[[#This Row],[ignoreRows]]=0),"","ignoreRows= "&amp;Table1[[#This Row],[ignoreRows]])</f>
        <v/>
      </c>
      <c r="M120" s="22" t="str">
        <f>IF(Table1[[#This Row],[ignoreColumns]]=NOT(Table1[[#This Row],[ignoreColumns]]=0),"","ignoreColumns= "&amp;Table1[[#This Row],[ignoreColumns]])</f>
        <v/>
      </c>
      <c r="N120" s="23" t="str">
        <f>IF(Table1[[#This Row],[Data Type]]="set","Y","N")</f>
        <v>Y</v>
      </c>
      <c r="O120" s="23" t="str">
        <f>IF(Table1[[#This Row],[Values=No Data '[Y/N']]]="Y","values=NoData","")</f>
        <v>values=NoData</v>
      </c>
      <c r="P120" s="23" t="str">
        <f>Table1[[#This Row],[Data Type]]&amp;"="&amp;Table1[[#This Row],[Name]]&amp;"    rng="&amp;Table1[[#This Row],[Range]]&amp;"    "&amp;Table1[[#This Row],[Values gams input]]&amp;"    "&amp;Table1[[#This Row],[dim input gams]]&amp;"    "&amp;Table1[[#This Row],[cdim gams input]]&amp;"     "&amp;Table1[[#This Row],[rdim gams input]]&amp;"     "&amp;Table1[[#This Row],[ignore rows gams input]]&amp;"     "&amp;Table1[[#This Row],[ignore colums gams input]]</f>
        <v>set=jUF1S    rng=Con_mat!A37:A37    values=NoData             rdim= 1          </v>
      </c>
    </row>
    <row r="121" x14ac:dyDescent="0.25">
      <c r="A121" s="21" t="s">
        <v>144</v>
      </c>
      <c r="B121" s="22" t="s">
        <v>347</v>
      </c>
      <c r="C121" s="22" t="s">
        <v>348</v>
      </c>
      <c r="D121" s="22"/>
      <c r="E121" s="22" t="str">
        <f>IF(Table1[[#This Row],[Dim]]=0,"","dim="&amp;Table1[[#This Row],[Dim]])</f>
        <v/>
      </c>
      <c r="F121" s="22"/>
      <c r="G121" s="22">
        <v>1</v>
      </c>
      <c r="H121" s="22" t="str">
        <f>IF(Table1[[#This Row],[Cdim]]=NOT(Table1[[#This Row],[Cdim]]=0),"","cdim= "&amp;Table1[[#This Row],[Cdim]])</f>
        <v/>
      </c>
      <c r="I121" s="22" t="str">
        <f>IF(Table1[[#This Row],[Rdim]]=NOT(Table1[[#This Row],[Rdim]]=0),"","rdim= "&amp;Table1[[#This Row],[Rdim]])</f>
        <v>rdim= 1</v>
      </c>
      <c r="J121" s="22"/>
      <c r="K121" s="22"/>
      <c r="L121" s="22" t="str">
        <f>IF(Table1[[#This Row],[ignoreRows]]=NOT(Table1[[#This Row],[ignoreRows]]=0),"","ignoreRows= "&amp;Table1[[#This Row],[ignoreRows]])</f>
        <v/>
      </c>
      <c r="M121" s="22" t="str">
        <f>IF(Table1[[#This Row],[ignoreColumns]]=NOT(Table1[[#This Row],[ignoreColumns]]=0),"","ignoreColumns= "&amp;Table1[[#This Row],[ignoreColumns]])</f>
        <v/>
      </c>
      <c r="N121" s="23" t="str">
        <f>IF(Table1[[#This Row],[Data Type]]="set","Y","N")</f>
        <v>Y</v>
      </c>
      <c r="O121" s="23" t="str">
        <f>IF(Table1[[#This Row],[Values=No Data '[Y/N']]]="Y","values=NoData","")</f>
        <v>values=NoData</v>
      </c>
      <c r="P121" s="23" t="str">
        <f>Table1[[#This Row],[Data Type]]&amp;"="&amp;Table1[[#This Row],[Name]]&amp;"    rng="&amp;Table1[[#This Row],[Range]]&amp;"    "&amp;Table1[[#This Row],[Values gams input]]&amp;"    "&amp;Table1[[#This Row],[dim input gams]]&amp;"    "&amp;Table1[[#This Row],[cdim gams input]]&amp;"     "&amp;Table1[[#This Row],[rdim gams input]]&amp;"     "&amp;Table1[[#This Row],[ignore rows gams input]]&amp;"     "&amp;Table1[[#This Row],[ignore colums gams input]]</f>
        <v>set=jPVP2    rng=Con_mat!A38:A40    values=NoData             rdim= 1          </v>
      </c>
    </row>
    <row r="122" x14ac:dyDescent="0.25">
      <c r="A122" s="21" t="s">
        <v>144</v>
      </c>
      <c r="B122" s="22" t="s">
        <v>349</v>
      </c>
      <c r="C122" s="22" t="s">
        <v>350</v>
      </c>
      <c r="D122" s="22"/>
      <c r="E122" s="22" t="str">
        <f>IF(Table1[[#This Row],[Dim]]=0,"","dim="&amp;Table1[[#This Row],[Dim]])</f>
        <v/>
      </c>
      <c r="F122" s="22"/>
      <c r="G122" s="22">
        <v>1</v>
      </c>
      <c r="H122" s="22" t="str">
        <f>IF(Table1[[#This Row],[Cdim]]=NOT(Table1[[#This Row],[Cdim]]=0),"","cdim= "&amp;Table1[[#This Row],[Cdim]])</f>
        <v/>
      </c>
      <c r="I122" s="22" t="str">
        <f>IF(Table1[[#This Row],[Rdim]]=NOT(Table1[[#This Row],[Rdim]]=0),"","rdim= "&amp;Table1[[#This Row],[Rdim]])</f>
        <v>rdim= 1</v>
      </c>
      <c r="J122" s="22"/>
      <c r="K122" s="22"/>
      <c r="L122" s="22" t="str">
        <f>IF(Table1[[#This Row],[ignoreRows]]=NOT(Table1[[#This Row],[ignoreRows]]=0),"","ignoreRows= "&amp;Table1[[#This Row],[ignoreRows]])</f>
        <v/>
      </c>
      <c r="M122" s="22" t="str">
        <f>IF(Table1[[#This Row],[ignoreColumns]]=NOT(Table1[[#This Row],[ignoreColumns]]=0),"","ignoreColumns= "&amp;Table1[[#This Row],[ignoreColumns]])</f>
        <v/>
      </c>
      <c r="N122" s="23" t="str">
        <f>IF(Table1[[#This Row],[Data Type]]="set","Y","N")</f>
        <v>Y</v>
      </c>
      <c r="O122" s="23" t="str">
        <f>IF(Table1[[#This Row],[Values=No Data '[Y/N']]]="Y","values=NoData","")</f>
        <v>values=NoData</v>
      </c>
      <c r="P122" s="23" t="str">
        <f>Table1[[#This Row],[Data Type]]&amp;"="&amp;Table1[[#This Row],[Name]]&amp;"    rng="&amp;Table1[[#This Row],[Range]]&amp;"    "&amp;Table1[[#This Row],[Values gams input]]&amp;"    "&amp;Table1[[#This Row],[dim input gams]]&amp;"    "&amp;Table1[[#This Row],[cdim gams input]]&amp;"     "&amp;Table1[[#This Row],[rdim gams input]]&amp;"     "&amp;Table1[[#This Row],[ignore rows gams input]]&amp;"     "&amp;Table1[[#This Row],[ignore colums gams input]]</f>
        <v>set=jPVP2F    rng=Con_mat!A38:A38    values=NoData             rdim= 1          </v>
      </c>
    </row>
    <row r="123" x14ac:dyDescent="0.25">
      <c r="A123" s="21" t="s">
        <v>144</v>
      </c>
      <c r="B123" s="22" t="s">
        <v>569</v>
      </c>
      <c r="C123" s="22" t="s">
        <v>352</v>
      </c>
      <c r="D123" s="22"/>
      <c r="E123" s="22" t="str">
        <f>IF(Table1[[#This Row],[Dim]]=0,"","dim="&amp;Table1[[#This Row],[Dim]])</f>
        <v/>
      </c>
      <c r="F123" s="22"/>
      <c r="G123" s="22">
        <v>1</v>
      </c>
      <c r="H123" s="22" t="str">
        <f>IF(Table1[[#This Row],[Cdim]]=NOT(Table1[[#This Row],[Cdim]]=0),"","cdim= "&amp;Table1[[#This Row],[Cdim]])</f>
        <v/>
      </c>
      <c r="I123" s="22" t="str">
        <f>IF(Table1[[#This Row],[Rdim]]=NOT(Table1[[#This Row],[Rdim]]=0),"","rdim= "&amp;Table1[[#This Row],[Rdim]])</f>
        <v>rdim= 1</v>
      </c>
      <c r="J123" s="22"/>
      <c r="K123" s="22"/>
      <c r="L123" s="22" t="str">
        <f>IF(Table1[[#This Row],[ignoreRows]]=NOT(Table1[[#This Row],[ignoreRows]]=0),"","ignoreRows= "&amp;Table1[[#This Row],[ignoreRows]])</f>
        <v/>
      </c>
      <c r="M123" s="22" t="str">
        <f>IF(Table1[[#This Row],[ignoreColumns]]=NOT(Table1[[#This Row],[ignoreColumns]]=0),"","ignoreColumns= "&amp;Table1[[#This Row],[ignoreColumns]])</f>
        <v/>
      </c>
      <c r="N123" s="23" t="str">
        <f>IF(Table1[[#This Row],[Data Type]]="set","Y","N")</f>
        <v>Y</v>
      </c>
      <c r="O123" s="23" t="str">
        <f>IF(Table1[[#This Row],[Values=No Data '[Y/N']]]="Y","values=NoData","")</f>
        <v>values=NoData</v>
      </c>
      <c r="P123" s="23" t="str">
        <f>Table1[[#This Row],[Data Type]]&amp;"="&amp;Table1[[#This Row],[Name]]&amp;"    rng="&amp;Table1[[#This Row],[Range]]&amp;"    "&amp;Table1[[#This Row],[Values gams input]]&amp;"    "&amp;Table1[[#This Row],[dim input gams]]&amp;"    "&amp;Table1[[#This Row],[cdim gams input]]&amp;"     "&amp;Table1[[#This Row],[rdim gams input]]&amp;"     "&amp;Table1[[#This Row],[ignore rows gams input]]&amp;"     "&amp;Table1[[#This Row],[ignore colums gams input]]</f>
        <v>set=jPVP2E     rng=Con_mat!A39:A39    values=NoData             rdim= 1          </v>
      </c>
    </row>
    <row r="124" x14ac:dyDescent="0.25">
      <c r="A124" s="21" t="s">
        <v>144</v>
      </c>
      <c r="B124" s="22" t="s">
        <v>351</v>
      </c>
      <c r="C124" s="22" t="s">
        <v>353</v>
      </c>
      <c r="D124" s="22"/>
      <c r="E124" s="22" t="str">
        <f>IF(Table1[[#This Row],[Dim]]=0,"","dim="&amp;Table1[[#This Row],[Dim]])</f>
        <v/>
      </c>
      <c r="F124" s="22"/>
      <c r="G124" s="22">
        <v>1</v>
      </c>
      <c r="H124" s="22" t="str">
        <f>IF(Table1[[#This Row],[Cdim]]=NOT(Table1[[#This Row],[Cdim]]=0),"","cdim= "&amp;Table1[[#This Row],[Cdim]])</f>
        <v/>
      </c>
      <c r="I124" s="22" t="str">
        <f>IF(Table1[[#This Row],[Rdim]]=NOT(Table1[[#This Row],[Rdim]]=0),"","rdim= "&amp;Table1[[#This Row],[Rdim]])</f>
        <v>rdim= 1</v>
      </c>
      <c r="J124" s="22"/>
      <c r="K124" s="22"/>
      <c r="L124" s="22" t="str">
        <f>IF(Table1[[#This Row],[ignoreRows]]=NOT(Table1[[#This Row],[ignoreRows]]=0),"","ignoreRows= "&amp;Table1[[#This Row],[ignoreRows]])</f>
        <v/>
      </c>
      <c r="M124" s="22" t="str">
        <f>IF(Table1[[#This Row],[ignoreColumns]]=NOT(Table1[[#This Row],[ignoreColumns]]=0),"","ignoreColumns= "&amp;Table1[[#This Row],[ignoreColumns]])</f>
        <v/>
      </c>
      <c r="N124" s="23" t="str">
        <f>IF(Table1[[#This Row],[Data Type]]="set","Y","N")</f>
        <v>Y</v>
      </c>
      <c r="O124" s="23" t="str">
        <f>IF(Table1[[#This Row],[Values=No Data '[Y/N']]]="Y","values=NoData","")</f>
        <v>values=NoData</v>
      </c>
      <c r="P124" s="23" t="str">
        <f>Table1[[#This Row],[Data Type]]&amp;"="&amp;Table1[[#This Row],[Name]]&amp;"    rng="&amp;Table1[[#This Row],[Range]]&amp;"    "&amp;Table1[[#This Row],[Values gams input]]&amp;"    "&amp;Table1[[#This Row],[dim input gams]]&amp;"    "&amp;Table1[[#This Row],[cdim gams input]]&amp;"     "&amp;Table1[[#This Row],[rdim gams input]]&amp;"     "&amp;Table1[[#This Row],[ignore rows gams input]]&amp;"     "&amp;Table1[[#This Row],[ignore colums gams input]]</f>
        <v>set=jPVP2S    rng=Con_mat!A40:A40    values=NoData             rdim= 1          </v>
      </c>
    </row>
    <row r="125" x14ac:dyDescent="0.25">
      <c r="A125" s="21" t="s">
        <v>144</v>
      </c>
      <c r="B125" s="22" t="s">
        <v>354</v>
      </c>
      <c r="C125" s="22" t="s">
        <v>355</v>
      </c>
      <c r="D125" s="22"/>
      <c r="E125" s="22" t="str">
        <f>IF(Table1[[#This Row],[Dim]]=0,"","dim="&amp;Table1[[#This Row],[Dim]])</f>
        <v/>
      </c>
      <c r="F125" s="22"/>
      <c r="G125" s="22">
        <v>1</v>
      </c>
      <c r="H125" s="22" t="str">
        <f>IF(Table1[[#This Row],[Cdim]]=NOT(Table1[[#This Row],[Cdim]]=0),"","cdim= "&amp;Table1[[#This Row],[Cdim]])</f>
        <v/>
      </c>
      <c r="I125" s="22" t="str">
        <f>IF(Table1[[#This Row],[Rdim]]=NOT(Table1[[#This Row],[Rdim]]=0),"","rdim= "&amp;Table1[[#This Row],[Rdim]])</f>
        <v>rdim= 1</v>
      </c>
      <c r="J125" s="22" t="s">
        <v>356</v>
      </c>
      <c r="K125" s="22"/>
      <c r="L125" s="22" t="str">
        <f>IF(Table1[[#This Row],[ignoreRows]]=NOT(Table1[[#This Row],[ignoreRows]]=0),"","ignoreRows= "&amp;Table1[[#This Row],[ignoreRows]])</f>
        <v>ignoreRows= 35,36,38,39</v>
      </c>
      <c r="M125" s="22" t="str">
        <f>IF(Table1[[#This Row],[ignoreColumns]]=NOT(Table1[[#This Row],[ignoreColumns]]=0),"","ignoreColumns= "&amp;Table1[[#This Row],[ignoreColumns]])</f>
        <v/>
      </c>
      <c r="N125" s="23" t="str">
        <f>IF(Table1[[#This Row],[Data Type]]="set","Y","N")</f>
        <v>Y</v>
      </c>
      <c r="O125" s="23" t="str">
        <f>IF(Table1[[#This Row],[Values=No Data '[Y/N']]]="Y","values=NoData","")</f>
        <v>values=NoData</v>
      </c>
      <c r="P125" s="23" t="str">
        <f>Table1[[#This Row],[Data Type]]&amp;"="&amp;Table1[[#This Row],[Name]]&amp;"    rng="&amp;Table1[[#This Row],[Range]]&amp;"    "&amp;Table1[[#This Row],[Values gams input]]&amp;"    "&amp;Table1[[#This Row],[dim input gams]]&amp;"    "&amp;Table1[[#This Row],[cdim gams input]]&amp;"     "&amp;Table1[[#This Row],[rdim gams input]]&amp;"     "&amp;Table1[[#This Row],[ignore rows gams input]]&amp;"     "&amp;Table1[[#This Row],[ignore colums gams input]]</f>
        <v>set=jmix3    rng=Con_mat!A34:A41    values=NoData             rdim= 1     ignoreRows= 35,36,38,39     </v>
      </c>
    </row>
    <row r="126" x14ac:dyDescent="0.25">
      <c r="A126" s="21" t="s">
        <v>144</v>
      </c>
      <c r="B126" s="22" t="s">
        <v>357</v>
      </c>
      <c r="C126" s="22" t="s">
        <v>358</v>
      </c>
      <c r="D126" s="22"/>
      <c r="E126" s="22" t="str">
        <f>IF(Table1[[#This Row],[Dim]]=0,"","dim="&amp;Table1[[#This Row],[Dim]])</f>
        <v/>
      </c>
      <c r="F126" s="22"/>
      <c r="G126" s="22">
        <v>1</v>
      </c>
      <c r="H126" s="22" t="str">
        <f>IF(Table1[[#This Row],[Cdim]]=NOT(Table1[[#This Row],[Cdim]]=0),"","cdim= "&amp;Table1[[#This Row],[Cdim]])</f>
        <v/>
      </c>
      <c r="I126" s="22" t="str">
        <f>IF(Table1[[#This Row],[Rdim]]=NOT(Table1[[#This Row],[Rdim]]=0),"","rdim= "&amp;Table1[[#This Row],[Rdim]])</f>
        <v>rdim= 1</v>
      </c>
      <c r="J126" s="22" t="s">
        <v>359</v>
      </c>
      <c r="K126" s="22"/>
      <c r="L126" s="22" t="str">
        <f>IF(Table1[[#This Row],[ignoreRows]]=NOT(Table1[[#This Row],[ignoreRows]]=0),"","ignoreRows= "&amp;Table1[[#This Row],[ignoreRows]])</f>
        <v>ignoreRows= 35,36,38,40</v>
      </c>
      <c r="M126" s="22" t="str">
        <f>IF(Table1[[#This Row],[ignoreColumns]]=NOT(Table1[[#This Row],[ignoreColumns]]=0),"","ignoreColumns= "&amp;Table1[[#This Row],[ignoreColumns]])</f>
        <v/>
      </c>
      <c r="N126" s="23" t="str">
        <f>IF(Table1[[#This Row],[Data Type]]="set","Y","N")</f>
        <v>Y</v>
      </c>
      <c r="O126" s="23" t="str">
        <f>IF(Table1[[#This Row],[Values=No Data '[Y/N']]]="Y","values=NoData","")</f>
        <v>values=NoData</v>
      </c>
      <c r="P126" s="23" t="str">
        <f>Table1[[#This Row],[Data Type]]&amp;"="&amp;Table1[[#This Row],[Name]]&amp;"    rng="&amp;Table1[[#This Row],[Range]]&amp;"    "&amp;Table1[[#This Row],[Values gams input]]&amp;"    "&amp;Table1[[#This Row],[dim input gams]]&amp;"    "&amp;Table1[[#This Row],[cdim gams input]]&amp;"     "&amp;Table1[[#This Row],[rdim gams input]]&amp;"     "&amp;Table1[[#This Row],[ignore rows gams input]]&amp;"     "&amp;Table1[[#This Row],[ignore colums gams input]]</f>
        <v>set=jmix3F    rng=Con_mat!A31:A40    values=NoData             rdim= 1     ignoreRows= 35,36,38,40     </v>
      </c>
    </row>
    <row r="127" x14ac:dyDescent="0.25">
      <c r="A127" s="21" t="s">
        <v>144</v>
      </c>
      <c r="B127" s="22" t="s">
        <v>360</v>
      </c>
      <c r="C127" s="22" t="s">
        <v>361</v>
      </c>
      <c r="D127" s="22"/>
      <c r="E127" s="22" t="str">
        <f>IF(Table1[[#This Row],[Dim]]=0,"","dim="&amp;Table1[[#This Row],[Dim]])</f>
        <v/>
      </c>
      <c r="F127" s="22"/>
      <c r="G127" s="22">
        <v>1</v>
      </c>
      <c r="H127" s="22" t="str">
        <f>IF(Table1[[#This Row],[Cdim]]=NOT(Table1[[#This Row],[Cdim]]=0),"","cdim= "&amp;Table1[[#This Row],[Cdim]])</f>
        <v/>
      </c>
      <c r="I127" s="22" t="str">
        <f>IF(Table1[[#This Row],[Rdim]]=NOT(Table1[[#This Row],[Rdim]]=0),"","rdim= "&amp;Table1[[#This Row],[Rdim]])</f>
        <v>rdim= 1</v>
      </c>
      <c r="J127" s="22"/>
      <c r="K127" s="22"/>
      <c r="L127" s="22" t="str">
        <f>IF(Table1[[#This Row],[ignoreRows]]=NOT(Table1[[#This Row],[ignoreRows]]=0),"","ignoreRows= "&amp;Table1[[#This Row],[ignoreRows]])</f>
        <v/>
      </c>
      <c r="M127" s="22" t="str">
        <f>IF(Table1[[#This Row],[ignoreColumns]]=NOT(Table1[[#This Row],[ignoreColumns]]=0),"","ignoreColumns= "&amp;Table1[[#This Row],[ignoreColumns]])</f>
        <v/>
      </c>
      <c r="N127" s="23" t="str">
        <f>IF(Table1[[#This Row],[Data Type]]="set","Y","N")</f>
        <v>Y</v>
      </c>
      <c r="O127" s="23" t="str">
        <f>IF(Table1[[#This Row],[Values=No Data '[Y/N']]]="Y","values=NoData","")</f>
        <v>values=NoData</v>
      </c>
      <c r="P127" s="23" t="str">
        <f>Table1[[#This Row],[Data Type]]&amp;"="&amp;Table1[[#This Row],[Name]]&amp;"    rng="&amp;Table1[[#This Row],[Range]]&amp;"    "&amp;Table1[[#This Row],[Values gams input]]&amp;"    "&amp;Table1[[#This Row],[dim input gams]]&amp;"    "&amp;Table1[[#This Row],[cdim gams input]]&amp;"     "&amp;Table1[[#This Row],[rdim gams input]]&amp;"     "&amp;Table1[[#This Row],[ignore rows gams input]]&amp;"     "&amp;Table1[[#This Row],[ignore colums gams input]]</f>
        <v>set=jmix3E    rng=Con_mat!A41:A41    values=NoData             rdim= 1          </v>
      </c>
    </row>
    <row r="128" x14ac:dyDescent="0.25">
      <c r="A128" s="21" t="s">
        <v>144</v>
      </c>
      <c r="B128" s="22" t="s">
        <v>362</v>
      </c>
      <c r="C128" s="22" t="s">
        <v>363</v>
      </c>
      <c r="D128" s="22"/>
      <c r="E128" s="22" t="str">
        <f>IF(Table1[[#This Row],[Dim]]=0,"","dim="&amp;Table1[[#This Row],[Dim]])</f>
        <v/>
      </c>
      <c r="F128" s="22"/>
      <c r="G128" s="22">
        <v>1</v>
      </c>
      <c r="H128" s="22" t="str">
        <f>IF(Table1[[#This Row],[Cdim]]=NOT(Table1[[#This Row],[Cdim]]=0),"","cdim= "&amp;Table1[[#This Row],[Cdim]])</f>
        <v/>
      </c>
      <c r="I128" s="22" t="str">
        <f>IF(Table1[[#This Row],[Rdim]]=NOT(Table1[[#This Row],[Rdim]]=0),"","rdim= "&amp;Table1[[#This Row],[Rdim]])</f>
        <v>rdim= 1</v>
      </c>
      <c r="J128" s="22" t="s">
        <v>364</v>
      </c>
      <c r="K128" s="22"/>
      <c r="L128" s="22" t="str">
        <f>IF(Table1[[#This Row],[ignoreRows]]=NOT(Table1[[#This Row],[ignoreRows]]=0),"","ignoreRows= "&amp;Table1[[#This Row],[ignoreRows]])</f>
        <v>ignoreRows= 43,44,46,47</v>
      </c>
      <c r="M128" s="22" t="str">
        <f>IF(Table1[[#This Row],[ignoreColumns]]=NOT(Table1[[#This Row],[ignoreColumns]]=0),"","ignoreColumns= "&amp;Table1[[#This Row],[ignoreColumns]])</f>
        <v/>
      </c>
      <c r="N128" s="23" t="str">
        <f>IF(Table1[[#This Row],[Data Type]]="set","Y","N")</f>
        <v>Y</v>
      </c>
      <c r="O128" s="23" t="str">
        <f>IF(Table1[[#This Row],[Values=No Data '[Y/N']]]="Y","values=NoData","")</f>
        <v>values=NoData</v>
      </c>
      <c r="P128" s="23" t="str">
        <f>Table1[[#This Row],[Data Type]]&amp;"="&amp;Table1[[#This Row],[Name]]&amp;"    rng="&amp;Table1[[#This Row],[Range]]&amp;"    "&amp;Table1[[#This Row],[Values gams input]]&amp;"    "&amp;Table1[[#This Row],[dim input gams]]&amp;"    "&amp;Table1[[#This Row],[cdim gams input]]&amp;"     "&amp;Table1[[#This Row],[rdim gams input]]&amp;"     "&amp;Table1[[#This Row],[ignore rows gams input]]&amp;"     "&amp;Table1[[#This Row],[ignore colums gams input]]</f>
        <v>set=jsplit4    rng=Con_mat!A41:A48    values=NoData             rdim= 1     ignoreRows= 43,44,46,47     </v>
      </c>
    </row>
    <row r="129" x14ac:dyDescent="0.25">
      <c r="A129" s="21" t="s">
        <v>144</v>
      </c>
      <c r="B129" s="22" t="s">
        <v>365</v>
      </c>
      <c r="C129" s="22" t="s">
        <v>361</v>
      </c>
      <c r="D129" s="22"/>
      <c r="E129" s="22" t="str">
        <f>IF(Table1[[#This Row],[Dim]]=0,"","dim="&amp;Table1[[#This Row],[Dim]])</f>
        <v/>
      </c>
      <c r="F129" s="22"/>
      <c r="G129" s="22">
        <v>1</v>
      </c>
      <c r="H129" s="22" t="str">
        <f>IF(Table1[[#This Row],[Cdim]]=NOT(Table1[[#This Row],[Cdim]]=0),"","cdim= "&amp;Table1[[#This Row],[Cdim]])</f>
        <v/>
      </c>
      <c r="I129" s="22" t="str">
        <f>IF(Table1[[#This Row],[Rdim]]=NOT(Table1[[#This Row],[Rdim]]=0),"","rdim= "&amp;Table1[[#This Row],[Rdim]])</f>
        <v>rdim= 1</v>
      </c>
      <c r="J129" s="22"/>
      <c r="K129" s="22"/>
      <c r="L129" s="22" t="str">
        <f>IF(Table1[[#This Row],[ignoreRows]]=NOT(Table1[[#This Row],[ignoreRows]]=0),"","ignoreRows= "&amp;Table1[[#This Row],[ignoreRows]])</f>
        <v/>
      </c>
      <c r="M129" s="22" t="str">
        <f>IF(Table1[[#This Row],[ignoreColumns]]=NOT(Table1[[#This Row],[ignoreColumns]]=0),"","ignoreColumns= "&amp;Table1[[#This Row],[ignoreColumns]])</f>
        <v/>
      </c>
      <c r="N129" s="23" t="str">
        <f>IF(Table1[[#This Row],[Data Type]]="set","Y","N")</f>
        <v>Y</v>
      </c>
      <c r="O129" s="23" t="str">
        <f>IF(Table1[[#This Row],[Values=No Data '[Y/N']]]="Y","values=NoData","")</f>
        <v>values=NoData</v>
      </c>
      <c r="P129" s="23" t="str">
        <f>Table1[[#This Row],[Data Type]]&amp;"="&amp;Table1[[#This Row],[Name]]&amp;"    rng="&amp;Table1[[#This Row],[Range]]&amp;"    "&amp;Table1[[#This Row],[Values gams input]]&amp;"    "&amp;Table1[[#This Row],[dim input gams]]&amp;"    "&amp;Table1[[#This Row],[cdim gams input]]&amp;"     "&amp;Table1[[#This Row],[rdim gams input]]&amp;"     "&amp;Table1[[#This Row],[ignore rows gams input]]&amp;"     "&amp;Table1[[#This Row],[ignore colums gams input]]</f>
        <v>set=jsplit4F    rng=Con_mat!A41:A41    values=NoData             rdim= 1          </v>
      </c>
    </row>
    <row r="130" x14ac:dyDescent="0.25">
      <c r="A130" s="21" t="s">
        <v>144</v>
      </c>
      <c r="B130" s="22" t="s">
        <v>366</v>
      </c>
      <c r="C130" s="22" t="s">
        <v>367</v>
      </c>
      <c r="D130" s="22"/>
      <c r="E130" s="22" t="str">
        <f>IF(Table1[[#This Row],[Dim]]=0,"","dim="&amp;Table1[[#This Row],[Dim]])</f>
        <v/>
      </c>
      <c r="F130" s="22"/>
      <c r="G130" s="22">
        <v>1</v>
      </c>
      <c r="H130" s="22" t="str">
        <f>IF(Table1[[#This Row],[Cdim]]=NOT(Table1[[#This Row],[Cdim]]=0),"","cdim= "&amp;Table1[[#This Row],[Cdim]])</f>
        <v/>
      </c>
      <c r="I130" s="22" t="str">
        <f>IF(Table1[[#This Row],[Rdim]]=NOT(Table1[[#This Row],[Rdim]]=0),"","rdim= "&amp;Table1[[#This Row],[Rdim]])</f>
        <v>rdim= 1</v>
      </c>
      <c r="J130" s="22" t="s">
        <v>364</v>
      </c>
      <c r="K130" s="22"/>
      <c r="L130" s="22" t="str">
        <f>IF(Table1[[#This Row],[ignoreRows]]=NOT(Table1[[#This Row],[ignoreRows]]=0),"","ignoreRows= "&amp;Table1[[#This Row],[ignoreRows]])</f>
        <v>ignoreRows= 43,44,46,47</v>
      </c>
      <c r="M130" s="22" t="str">
        <f>IF(Table1[[#This Row],[ignoreColumns]]=NOT(Table1[[#This Row],[ignoreColumns]]=0),"","ignoreColumns= "&amp;Table1[[#This Row],[ignoreColumns]])</f>
        <v/>
      </c>
      <c r="N130" s="23" t="str">
        <f>IF(Table1[[#This Row],[Data Type]]="set","Y","N")</f>
        <v>Y</v>
      </c>
      <c r="O130" s="23" t="str">
        <f>IF(Table1[[#This Row],[Values=No Data '[Y/N']]]="Y","values=NoData","")</f>
        <v>values=NoData</v>
      </c>
      <c r="P130" s="23" t="str">
        <f>Table1[[#This Row],[Data Type]]&amp;"="&amp;Table1[[#This Row],[Name]]&amp;"    rng="&amp;Table1[[#This Row],[Range]]&amp;"    "&amp;Table1[[#This Row],[Values gams input]]&amp;"    "&amp;Table1[[#This Row],[dim input gams]]&amp;"    "&amp;Table1[[#This Row],[cdim gams input]]&amp;"     "&amp;Table1[[#This Row],[rdim gams input]]&amp;"     "&amp;Table1[[#This Row],[ignore rows gams input]]&amp;"     "&amp;Table1[[#This Row],[ignore colums gams input]]</f>
        <v>set=jsplit4E    rng=Con_mat!A22:A48    values=NoData             rdim= 1     ignoreRows= 43,44,46,47     </v>
      </c>
    </row>
    <row r="131" x14ac:dyDescent="0.25">
      <c r="A131" s="21" t="s">
        <v>144</v>
      </c>
      <c r="B131" s="22" t="s">
        <v>368</v>
      </c>
      <c r="C131" s="22" t="s">
        <v>369</v>
      </c>
      <c r="D131" s="22"/>
      <c r="E131" s="22" t="str">
        <f>IF(Table1[[#This Row],[Dim]]=0,"","dim="&amp;Table1[[#This Row],[Dim]])</f>
        <v/>
      </c>
      <c r="F131" s="22"/>
      <c r="G131" s="22">
        <v>1</v>
      </c>
      <c r="H131" s="22" t="str">
        <f>IF(Table1[[#This Row],[Cdim]]=NOT(Table1[[#This Row],[Cdim]]=0),"","cdim= "&amp;Table1[[#This Row],[Cdim]])</f>
        <v/>
      </c>
      <c r="I131" s="22" t="str">
        <f>IF(Table1[[#This Row],[Rdim]]=NOT(Table1[[#This Row],[Rdim]]=0),"","rdim= "&amp;Table1[[#This Row],[Rdim]])</f>
        <v>rdim= 1</v>
      </c>
      <c r="J131" s="22"/>
      <c r="K131" s="22"/>
      <c r="L131" s="22" t="str">
        <f>IF(Table1[[#This Row],[ignoreRows]]=NOT(Table1[[#This Row],[ignoreRows]]=0),"","ignoreRows= "&amp;Table1[[#This Row],[ignoreRows]])</f>
        <v/>
      </c>
      <c r="M131" s="22" t="str">
        <f>IF(Table1[[#This Row],[ignoreColumns]]=NOT(Table1[[#This Row],[ignoreColumns]]=0),"","ignoreColumns= "&amp;Table1[[#This Row],[ignoreColumns]])</f>
        <v/>
      </c>
      <c r="N131" s="23" t="str">
        <f>IF(Table1[[#This Row],[Data Type]]="set","Y","N")</f>
        <v>Y</v>
      </c>
      <c r="O131" s="23" t="str">
        <f>IF(Table1[[#This Row],[Values=No Data '[Y/N']]]="Y","values=NoData","")</f>
        <v>values=NoData</v>
      </c>
      <c r="P131" s="23" t="str">
        <f>Table1[[#This Row],[Data Type]]&amp;"="&amp;Table1[[#This Row],[Name]]&amp;"    rng="&amp;Table1[[#This Row],[Range]]&amp;"    "&amp;Table1[[#This Row],[Values gams input]]&amp;"    "&amp;Table1[[#This Row],[dim input gams]]&amp;"    "&amp;Table1[[#This Row],[cdim gams input]]&amp;"     "&amp;Table1[[#This Row],[rdim gams input]]&amp;"     "&amp;Table1[[#This Row],[ignore rows gams input]]&amp;"     "&amp;Table1[[#This Row],[ignore colums gams input]]</f>
        <v>set=jUF2    rng=Con_mat!A42:A44    values=NoData             rdim= 1          </v>
      </c>
    </row>
    <row r="132" x14ac:dyDescent="0.25">
      <c r="A132" s="21" t="s">
        <v>144</v>
      </c>
      <c r="B132" s="22" t="s">
        <v>370</v>
      </c>
      <c r="C132" s="22" t="s">
        <v>371</v>
      </c>
      <c r="D132" s="22"/>
      <c r="E132" s="22" t="str">
        <f>IF(Table1[[#This Row],[Dim]]=0,"","dim="&amp;Table1[[#This Row],[Dim]])</f>
        <v/>
      </c>
      <c r="F132" s="22"/>
      <c r="G132" s="22">
        <v>1</v>
      </c>
      <c r="H132" s="22" t="str">
        <f>IF(Table1[[#This Row],[Cdim]]=NOT(Table1[[#This Row],[Cdim]]=0),"","cdim= "&amp;Table1[[#This Row],[Cdim]])</f>
        <v/>
      </c>
      <c r="I132" s="22" t="str">
        <f>IF(Table1[[#This Row],[Rdim]]=NOT(Table1[[#This Row],[Rdim]]=0),"","rdim= "&amp;Table1[[#This Row],[Rdim]])</f>
        <v>rdim= 1</v>
      </c>
      <c r="J132" s="22"/>
      <c r="K132" s="22"/>
      <c r="L132" s="22" t="str">
        <f>IF(Table1[[#This Row],[ignoreRows]]=NOT(Table1[[#This Row],[ignoreRows]]=0),"","ignoreRows= "&amp;Table1[[#This Row],[ignoreRows]])</f>
        <v/>
      </c>
      <c r="M132" s="22" t="str">
        <f>IF(Table1[[#This Row],[ignoreColumns]]=NOT(Table1[[#This Row],[ignoreColumns]]=0),"","ignoreColumns= "&amp;Table1[[#This Row],[ignoreColumns]])</f>
        <v/>
      </c>
      <c r="N132" s="23" t="str">
        <f>IF(Table1[[#This Row],[Data Type]]="set","Y","N")</f>
        <v>Y</v>
      </c>
      <c r="O132" s="23" t="str">
        <f>IF(Table1[[#This Row],[Values=No Data '[Y/N']]]="Y","values=NoData","")</f>
        <v>values=NoData</v>
      </c>
      <c r="P132" s="23" t="str">
        <f>Table1[[#This Row],[Data Type]]&amp;"="&amp;Table1[[#This Row],[Name]]&amp;"    rng="&amp;Table1[[#This Row],[Range]]&amp;"    "&amp;Table1[[#This Row],[Values gams input]]&amp;"    "&amp;Table1[[#This Row],[dim input gams]]&amp;"    "&amp;Table1[[#This Row],[cdim gams input]]&amp;"     "&amp;Table1[[#This Row],[rdim gams input]]&amp;"     "&amp;Table1[[#This Row],[ignore rows gams input]]&amp;"     "&amp;Table1[[#This Row],[ignore colums gams input]]</f>
        <v>set=jUF2F    rng=Con_mat!A42:A42    values=NoData             rdim= 1          </v>
      </c>
    </row>
    <row r="133" x14ac:dyDescent="0.25">
      <c r="A133" s="21" t="s">
        <v>144</v>
      </c>
      <c r="B133" s="22" t="s">
        <v>374</v>
      </c>
      <c r="C133" s="22" t="s">
        <v>373</v>
      </c>
      <c r="D133" s="22"/>
      <c r="E133" s="22" t="str">
        <f>IF(Table1[[#This Row],[Dim]]=0,"","dim="&amp;Table1[[#This Row],[Dim]])</f>
        <v/>
      </c>
      <c r="F133" s="22"/>
      <c r="G133" s="22">
        <v>1</v>
      </c>
      <c r="H133" s="22" t="str">
        <f>IF(Table1[[#This Row],[Cdim]]=NOT(Table1[[#This Row],[Cdim]]=0),"","cdim= "&amp;Table1[[#This Row],[Cdim]])</f>
        <v/>
      </c>
      <c r="I133" s="22" t="str">
        <f>IF(Table1[[#This Row],[Rdim]]=NOT(Table1[[#This Row],[Rdim]]=0),"","rdim= "&amp;Table1[[#This Row],[Rdim]])</f>
        <v>rdim= 1</v>
      </c>
      <c r="J133" s="22"/>
      <c r="K133" s="22"/>
      <c r="L133" s="22" t="str">
        <f>IF(Table1[[#This Row],[ignoreRows]]=NOT(Table1[[#This Row],[ignoreRows]]=0),"","ignoreRows= "&amp;Table1[[#This Row],[ignoreRows]])</f>
        <v/>
      </c>
      <c r="M133" s="22" t="str">
        <f>IF(Table1[[#This Row],[ignoreColumns]]=NOT(Table1[[#This Row],[ignoreColumns]]=0),"","ignoreColumns= "&amp;Table1[[#This Row],[ignoreColumns]])</f>
        <v/>
      </c>
      <c r="N133" s="23" t="str">
        <f>IF(Table1[[#This Row],[Data Type]]="set","Y","N")</f>
        <v>Y</v>
      </c>
      <c r="O133" s="23" t="str">
        <f>IF(Table1[[#This Row],[Values=No Data '[Y/N']]]="Y","values=NoData","")</f>
        <v>values=NoData</v>
      </c>
      <c r="P133" s="23" t="str">
        <f>Table1[[#This Row],[Data Type]]&amp;"="&amp;Table1[[#This Row],[Name]]&amp;"    rng="&amp;Table1[[#This Row],[Range]]&amp;"    "&amp;Table1[[#This Row],[Values gams input]]&amp;"    "&amp;Table1[[#This Row],[dim input gams]]&amp;"    "&amp;Table1[[#This Row],[cdim gams input]]&amp;"     "&amp;Table1[[#This Row],[rdim gams input]]&amp;"     "&amp;Table1[[#This Row],[ignore rows gams input]]&amp;"     "&amp;Table1[[#This Row],[ignore colums gams input]]</f>
        <v>set=jUF2E    rng=Con_mat!A43:A43    values=NoData             rdim= 1          </v>
      </c>
    </row>
    <row r="134" x14ac:dyDescent="0.25">
      <c r="A134" s="21" t="s">
        <v>144</v>
      </c>
      <c r="B134" s="22" t="s">
        <v>372</v>
      </c>
      <c r="C134" s="22" t="s">
        <v>375</v>
      </c>
      <c r="D134" s="22"/>
      <c r="E134" s="22" t="str">
        <f>IF(Table1[[#This Row],[Dim]]=0,"","dim="&amp;Table1[[#This Row],[Dim]])</f>
        <v/>
      </c>
      <c r="F134" s="22"/>
      <c r="G134" s="22">
        <v>1</v>
      </c>
      <c r="H134" s="22" t="str">
        <f>IF(Table1[[#This Row],[Cdim]]=NOT(Table1[[#This Row],[Cdim]]=0),"","cdim= "&amp;Table1[[#This Row],[Cdim]])</f>
        <v/>
      </c>
      <c r="I134" s="22" t="str">
        <f>IF(Table1[[#This Row],[Rdim]]=NOT(Table1[[#This Row],[Rdim]]=0),"","rdim= "&amp;Table1[[#This Row],[Rdim]])</f>
        <v>rdim= 1</v>
      </c>
      <c r="J134" s="22"/>
      <c r="K134" s="22"/>
      <c r="L134" s="22" t="str">
        <f>IF(Table1[[#This Row],[ignoreRows]]=NOT(Table1[[#This Row],[ignoreRows]]=0),"","ignoreRows= "&amp;Table1[[#This Row],[ignoreRows]])</f>
        <v/>
      </c>
      <c r="M134" s="22" t="str">
        <f>IF(Table1[[#This Row],[ignoreColumns]]=NOT(Table1[[#This Row],[ignoreColumns]]=0),"","ignoreColumns= "&amp;Table1[[#This Row],[ignoreColumns]])</f>
        <v/>
      </c>
      <c r="N134" s="23" t="str">
        <f>IF(Table1[[#This Row],[Data Type]]="set","Y","N")</f>
        <v>Y</v>
      </c>
      <c r="O134" s="23" t="str">
        <f>IF(Table1[[#This Row],[Values=No Data '[Y/N']]]="Y","values=NoData","")</f>
        <v>values=NoData</v>
      </c>
      <c r="P134" s="23" t="str">
        <f>Table1[[#This Row],[Data Type]]&amp;"="&amp;Table1[[#This Row],[Name]]&amp;"    rng="&amp;Table1[[#This Row],[Range]]&amp;"    "&amp;Table1[[#This Row],[Values gams input]]&amp;"    "&amp;Table1[[#This Row],[dim input gams]]&amp;"    "&amp;Table1[[#This Row],[cdim gams input]]&amp;"     "&amp;Table1[[#This Row],[rdim gams input]]&amp;"     "&amp;Table1[[#This Row],[ignore rows gams input]]&amp;"     "&amp;Table1[[#This Row],[ignore colums gams input]]</f>
        <v>set=jUF2S    rng=Con_mat!A44:A44    values=NoData             rdim= 1          </v>
      </c>
    </row>
    <row r="135" x14ac:dyDescent="0.25">
      <c r="A135" s="21" t="s">
        <v>144</v>
      </c>
      <c r="B135" s="22" t="s">
        <v>376</v>
      </c>
      <c r="C135" s="22" t="s">
        <v>377</v>
      </c>
      <c r="D135" s="22"/>
      <c r="E135" s="22" t="str">
        <f>IF(Table1[[#This Row],[Dim]]=0,"","dim="&amp;Table1[[#This Row],[Dim]])</f>
        <v/>
      </c>
      <c r="F135" s="22"/>
      <c r="G135" s="22">
        <v>1</v>
      </c>
      <c r="H135" s="22" t="str">
        <f>IF(Table1[[#This Row],[Cdim]]=NOT(Table1[[#This Row],[Cdim]]=0),"","cdim= "&amp;Table1[[#This Row],[Cdim]])</f>
        <v/>
      </c>
      <c r="I135" s="22" t="str">
        <f>IF(Table1[[#This Row],[Rdim]]=NOT(Table1[[#This Row],[Rdim]]=0),"","rdim= "&amp;Table1[[#This Row],[Rdim]])</f>
        <v>rdim= 1</v>
      </c>
      <c r="J135" s="22"/>
      <c r="K135" s="22"/>
      <c r="L135" s="22" t="str">
        <f>IF(Table1[[#This Row],[ignoreRows]]=NOT(Table1[[#This Row],[ignoreRows]]=0),"","ignoreRows= "&amp;Table1[[#This Row],[ignoreRows]])</f>
        <v/>
      </c>
      <c r="M135" s="22" t="str">
        <f>IF(Table1[[#This Row],[ignoreColumns]]=NOT(Table1[[#This Row],[ignoreColumns]]=0),"","ignoreColumns= "&amp;Table1[[#This Row],[ignoreColumns]])</f>
        <v/>
      </c>
      <c r="N135" s="23" t="str">
        <f>IF(Table1[[#This Row],[Data Type]]="set","Y","N")</f>
        <v>Y</v>
      </c>
      <c r="O135" s="23" t="str">
        <f>IF(Table1[[#This Row],[Values=No Data '[Y/N']]]="Y","values=NoData","")</f>
        <v>values=NoData</v>
      </c>
      <c r="P135" s="23" t="str">
        <f>Table1[[#This Row],[Data Type]]&amp;"="&amp;Table1[[#This Row],[Name]]&amp;"    rng="&amp;Table1[[#This Row],[Range]]&amp;"    "&amp;Table1[[#This Row],[Values gams input]]&amp;"    "&amp;Table1[[#This Row],[dim input gams]]&amp;"    "&amp;Table1[[#This Row],[cdim gams input]]&amp;"     "&amp;Table1[[#This Row],[rdim gams input]]&amp;"     "&amp;Table1[[#This Row],[ignore rows gams input]]&amp;"     "&amp;Table1[[#This Row],[ignore colums gams input]]</f>
        <v>set=jNF    rng=Con_mat!A45:A47    values=NoData             rdim= 1          </v>
      </c>
    </row>
    <row r="136" x14ac:dyDescent="0.25">
      <c r="A136" s="21" t="s">
        <v>144</v>
      </c>
      <c r="B136" s="22" t="s">
        <v>378</v>
      </c>
      <c r="C136" s="22" t="s">
        <v>379</v>
      </c>
      <c r="D136" s="22"/>
      <c r="E136" s="22" t="str">
        <f>IF(Table1[[#This Row],[Dim]]=0,"","dim="&amp;Table1[[#This Row],[Dim]])</f>
        <v/>
      </c>
      <c r="F136" s="22"/>
      <c r="G136" s="22">
        <v>1</v>
      </c>
      <c r="H136" s="22" t="str">
        <f>IF(Table1[[#This Row],[Cdim]]=NOT(Table1[[#This Row],[Cdim]]=0),"","cdim= "&amp;Table1[[#This Row],[Cdim]])</f>
        <v/>
      </c>
      <c r="I136" s="22" t="str">
        <f>IF(Table1[[#This Row],[Rdim]]=NOT(Table1[[#This Row],[Rdim]]=0),"","rdim= "&amp;Table1[[#This Row],[Rdim]])</f>
        <v>rdim= 1</v>
      </c>
      <c r="J136" s="22"/>
      <c r="K136" s="22"/>
      <c r="L136" s="22" t="str">
        <f>IF(Table1[[#This Row],[ignoreRows]]=NOT(Table1[[#This Row],[ignoreRows]]=0),"","ignoreRows= "&amp;Table1[[#This Row],[ignoreRows]])</f>
        <v/>
      </c>
      <c r="M136" s="22" t="str">
        <f>IF(Table1[[#This Row],[ignoreColumns]]=NOT(Table1[[#This Row],[ignoreColumns]]=0),"","ignoreColumns= "&amp;Table1[[#This Row],[ignoreColumns]])</f>
        <v/>
      </c>
      <c r="N136" s="23" t="str">
        <f>IF(Table1[[#This Row],[Data Type]]="set","Y","N")</f>
        <v>Y</v>
      </c>
      <c r="O136" s="23" t="str">
        <f>IF(Table1[[#This Row],[Values=No Data '[Y/N']]]="Y","values=NoData","")</f>
        <v>values=NoData</v>
      </c>
      <c r="P136" s="23" t="str">
        <f>Table1[[#This Row],[Data Type]]&amp;"="&amp;Table1[[#This Row],[Name]]&amp;"    rng="&amp;Table1[[#This Row],[Range]]&amp;"    "&amp;Table1[[#This Row],[Values gams input]]&amp;"    "&amp;Table1[[#This Row],[dim input gams]]&amp;"    "&amp;Table1[[#This Row],[cdim gams input]]&amp;"     "&amp;Table1[[#This Row],[rdim gams input]]&amp;"     "&amp;Table1[[#This Row],[ignore rows gams input]]&amp;"     "&amp;Table1[[#This Row],[ignore colums gams input]]</f>
        <v>set=jNFF    rng=Con_mat!A45:A45    values=NoData             rdim= 1          </v>
      </c>
    </row>
    <row r="137" x14ac:dyDescent="0.25">
      <c r="A137" s="21" t="s">
        <v>144</v>
      </c>
      <c r="B137" s="22" t="s">
        <v>382</v>
      </c>
      <c r="C137" s="22" t="s">
        <v>381</v>
      </c>
      <c r="D137" s="22"/>
      <c r="E137" s="22" t="str">
        <f>IF(Table1[[#This Row],[Dim]]=0,"","dim="&amp;Table1[[#This Row],[Dim]])</f>
        <v/>
      </c>
      <c r="F137" s="22"/>
      <c r="G137" s="22">
        <v>1</v>
      </c>
      <c r="H137" s="22" t="str">
        <f>IF(Table1[[#This Row],[Cdim]]=NOT(Table1[[#This Row],[Cdim]]=0),"","cdim= "&amp;Table1[[#This Row],[Cdim]])</f>
        <v/>
      </c>
      <c r="I137" s="22" t="str">
        <f>IF(Table1[[#This Row],[Rdim]]=NOT(Table1[[#This Row],[Rdim]]=0),"","rdim= "&amp;Table1[[#This Row],[Rdim]])</f>
        <v>rdim= 1</v>
      </c>
      <c r="J137" s="22"/>
      <c r="K137" s="22"/>
      <c r="L137" s="22" t="str">
        <f>IF(Table1[[#This Row],[ignoreRows]]=NOT(Table1[[#This Row],[ignoreRows]]=0),"","ignoreRows= "&amp;Table1[[#This Row],[ignoreRows]])</f>
        <v/>
      </c>
      <c r="M137" s="22" t="str">
        <f>IF(Table1[[#This Row],[ignoreColumns]]=NOT(Table1[[#This Row],[ignoreColumns]]=0),"","ignoreColumns= "&amp;Table1[[#This Row],[ignoreColumns]])</f>
        <v/>
      </c>
      <c r="N137" s="23" t="str">
        <f>IF(Table1[[#This Row],[Data Type]]="set","Y","N")</f>
        <v>Y</v>
      </c>
      <c r="O137" s="23" t="str">
        <f>IF(Table1[[#This Row],[Values=No Data '[Y/N']]]="Y","values=NoData","")</f>
        <v>values=NoData</v>
      </c>
      <c r="P137" s="23" t="str">
        <f>Table1[[#This Row],[Data Type]]&amp;"="&amp;Table1[[#This Row],[Name]]&amp;"    rng="&amp;Table1[[#This Row],[Range]]&amp;"    "&amp;Table1[[#This Row],[Values gams input]]&amp;"    "&amp;Table1[[#This Row],[dim input gams]]&amp;"    "&amp;Table1[[#This Row],[cdim gams input]]&amp;"     "&amp;Table1[[#This Row],[rdim gams input]]&amp;"     "&amp;Table1[[#This Row],[ignore rows gams input]]&amp;"     "&amp;Table1[[#This Row],[ignore colums gams input]]</f>
        <v>set=jNFE    rng=Con_mat!A46:A46    values=NoData             rdim= 1          </v>
      </c>
    </row>
    <row r="138" x14ac:dyDescent="0.25">
      <c r="A138" s="21" t="s">
        <v>144</v>
      </c>
      <c r="B138" s="22" t="s">
        <v>380</v>
      </c>
      <c r="C138" s="22" t="s">
        <v>383</v>
      </c>
      <c r="D138" s="22"/>
      <c r="E138" s="22" t="str">
        <f>IF(Table1[[#This Row],[Dim]]=0,"","dim="&amp;Table1[[#This Row],[Dim]])</f>
        <v/>
      </c>
      <c r="F138" s="22"/>
      <c r="G138" s="22">
        <v>1</v>
      </c>
      <c r="H138" s="22" t="str">
        <f>IF(Table1[[#This Row],[Cdim]]=NOT(Table1[[#This Row],[Cdim]]=0),"","cdim= "&amp;Table1[[#This Row],[Cdim]])</f>
        <v/>
      </c>
      <c r="I138" s="22" t="str">
        <f>IF(Table1[[#This Row],[Rdim]]=NOT(Table1[[#This Row],[Rdim]]=0),"","rdim= "&amp;Table1[[#This Row],[Rdim]])</f>
        <v>rdim= 1</v>
      </c>
      <c r="J138" s="22"/>
      <c r="K138" s="22"/>
      <c r="L138" s="22" t="str">
        <f>IF(Table1[[#This Row],[ignoreRows]]=NOT(Table1[[#This Row],[ignoreRows]]=0),"","ignoreRows= "&amp;Table1[[#This Row],[ignoreRows]])</f>
        <v/>
      </c>
      <c r="M138" s="22" t="str">
        <f>IF(Table1[[#This Row],[ignoreColumns]]=NOT(Table1[[#This Row],[ignoreColumns]]=0),"","ignoreColumns= "&amp;Table1[[#This Row],[ignoreColumns]])</f>
        <v/>
      </c>
      <c r="N138" s="23" t="str">
        <f>IF(Table1[[#This Row],[Data Type]]="set","Y","N")</f>
        <v>Y</v>
      </c>
      <c r="O138" s="23" t="str">
        <f>IF(Table1[[#This Row],[Values=No Data '[Y/N']]]="Y","values=NoData","")</f>
        <v>values=NoData</v>
      </c>
      <c r="P138" s="23" t="str">
        <f>Table1[[#This Row],[Data Type]]&amp;"="&amp;Table1[[#This Row],[Name]]&amp;"    rng="&amp;Table1[[#This Row],[Range]]&amp;"    "&amp;Table1[[#This Row],[Values gams input]]&amp;"    "&amp;Table1[[#This Row],[dim input gams]]&amp;"    "&amp;Table1[[#This Row],[cdim gams input]]&amp;"     "&amp;Table1[[#This Row],[rdim gams input]]&amp;"     "&amp;Table1[[#This Row],[ignore rows gams input]]&amp;"     "&amp;Table1[[#This Row],[ignore colums gams input]]</f>
        <v>set=jNFS    rng=Con_mat!A47:A47    values=NoData             rdim= 1          </v>
      </c>
    </row>
    <row r="139" x14ac:dyDescent="0.25">
      <c r="A139" s="21" t="s">
        <v>144</v>
      </c>
      <c r="B139" s="22" t="s">
        <v>384</v>
      </c>
      <c r="C139" s="22" t="s">
        <v>385</v>
      </c>
      <c r="D139" s="22"/>
      <c r="E139" s="22" t="str">
        <f>IF(Table1[[#This Row],[Dim]]=0,"","dim="&amp;Table1[[#This Row],[Dim]])</f>
        <v/>
      </c>
      <c r="F139" s="22"/>
      <c r="G139" s="22">
        <v>1</v>
      </c>
      <c r="H139" s="22" t="str">
        <f>IF(Table1[[#This Row],[Cdim]]=NOT(Table1[[#This Row],[Cdim]]=0),"","cdim= "&amp;Table1[[#This Row],[Cdim]])</f>
        <v/>
      </c>
      <c r="I139" s="22" t="str">
        <f>IF(Table1[[#This Row],[Rdim]]=NOT(Table1[[#This Row],[Rdim]]=0),"","rdim= "&amp;Table1[[#This Row],[Rdim]])</f>
        <v>rdim= 1</v>
      </c>
      <c r="J139" s="22"/>
      <c r="K139" s="22"/>
      <c r="L139" s="22" t="str">
        <f>IF(Table1[[#This Row],[ignoreRows]]=NOT(Table1[[#This Row],[ignoreRows]]=0),"","ignoreRows= "&amp;Table1[[#This Row],[ignoreRows]])</f>
        <v/>
      </c>
      <c r="M139" s="22" t="str">
        <f>IF(Table1[[#This Row],[ignoreColumns]]=NOT(Table1[[#This Row],[ignoreColumns]]=0),"","ignoreColumns= "&amp;Table1[[#This Row],[ignoreColumns]])</f>
        <v/>
      </c>
      <c r="N139" s="23" t="str">
        <f>IF(Table1[[#This Row],[Data Type]]="set","Y","N")</f>
        <v>Y</v>
      </c>
      <c r="O139" s="23" t="str">
        <f>IF(Table1[[#This Row],[Values=No Data '[Y/N']]]="Y","values=NoData","")</f>
        <v>values=NoData</v>
      </c>
      <c r="P139" s="23" t="str">
        <f>Table1[[#This Row],[Data Type]]&amp;"="&amp;Table1[[#This Row],[Name]]&amp;"    rng="&amp;Table1[[#This Row],[Range]]&amp;"    "&amp;Table1[[#This Row],[Values gams input]]&amp;"    "&amp;Table1[[#This Row],[dim input gams]]&amp;"    "&amp;Table1[[#This Row],[cdim gams input]]&amp;"     "&amp;Table1[[#This Row],[rdim gams input]]&amp;"     "&amp;Table1[[#This Row],[ignore rows gams input]]&amp;"     "&amp;Table1[[#This Row],[ignore colums gams input]]</f>
        <v>set=jPVP3    rng=Con_mat!A48:A50    values=NoData             rdim= 1          </v>
      </c>
    </row>
    <row r="140" x14ac:dyDescent="0.25">
      <c r="A140" s="21" t="s">
        <v>144</v>
      </c>
      <c r="B140" s="22" t="s">
        <v>386</v>
      </c>
      <c r="C140" s="22" t="s">
        <v>387</v>
      </c>
      <c r="D140" s="22"/>
      <c r="E140" s="22" t="str">
        <f>IF(Table1[[#This Row],[Dim]]=0,"","dim="&amp;Table1[[#This Row],[Dim]])</f>
        <v/>
      </c>
      <c r="F140" s="22"/>
      <c r="G140" s="22">
        <v>1</v>
      </c>
      <c r="H140" s="22" t="str">
        <f>IF(Table1[[#This Row],[Cdim]]=NOT(Table1[[#This Row],[Cdim]]=0),"","cdim= "&amp;Table1[[#This Row],[Cdim]])</f>
        <v/>
      </c>
      <c r="I140" s="22" t="str">
        <f>IF(Table1[[#This Row],[Rdim]]=NOT(Table1[[#This Row],[Rdim]]=0),"","rdim= "&amp;Table1[[#This Row],[Rdim]])</f>
        <v>rdim= 1</v>
      </c>
      <c r="J140" s="22"/>
      <c r="K140" s="22"/>
      <c r="L140" s="22" t="str">
        <f>IF(Table1[[#This Row],[ignoreRows]]=NOT(Table1[[#This Row],[ignoreRows]]=0),"","ignoreRows= "&amp;Table1[[#This Row],[ignoreRows]])</f>
        <v/>
      </c>
      <c r="M140" s="22" t="str">
        <f>IF(Table1[[#This Row],[ignoreColumns]]=NOT(Table1[[#This Row],[ignoreColumns]]=0),"","ignoreColumns= "&amp;Table1[[#This Row],[ignoreColumns]])</f>
        <v/>
      </c>
      <c r="N140" s="23" t="str">
        <f>IF(Table1[[#This Row],[Data Type]]="set","Y","N")</f>
        <v>Y</v>
      </c>
      <c r="O140" s="23" t="str">
        <f>IF(Table1[[#This Row],[Values=No Data '[Y/N']]]="Y","values=NoData","")</f>
        <v>values=NoData</v>
      </c>
      <c r="P140" s="23" t="str">
        <f>Table1[[#This Row],[Data Type]]&amp;"="&amp;Table1[[#This Row],[Name]]&amp;"    rng="&amp;Table1[[#This Row],[Range]]&amp;"    "&amp;Table1[[#This Row],[Values gams input]]&amp;"    "&amp;Table1[[#This Row],[dim input gams]]&amp;"    "&amp;Table1[[#This Row],[cdim gams input]]&amp;"     "&amp;Table1[[#This Row],[rdim gams input]]&amp;"     "&amp;Table1[[#This Row],[ignore rows gams input]]&amp;"     "&amp;Table1[[#This Row],[ignore colums gams input]]</f>
        <v>set=jPVP3F    rng=Con_mat!A48:A48    values=NoData             rdim= 1          </v>
      </c>
    </row>
    <row r="141" x14ac:dyDescent="0.25">
      <c r="A141" s="21" t="s">
        <v>144</v>
      </c>
      <c r="B141" s="22" t="s">
        <v>390</v>
      </c>
      <c r="C141" s="22" t="s">
        <v>389</v>
      </c>
      <c r="D141" s="22"/>
      <c r="E141" s="22" t="str">
        <f>IF(Table1[[#This Row],[Dim]]=0,"","dim="&amp;Table1[[#This Row],[Dim]])</f>
        <v/>
      </c>
      <c r="F141" s="22"/>
      <c r="G141" s="22">
        <v>1</v>
      </c>
      <c r="H141" s="22" t="str">
        <f>IF(Table1[[#This Row],[Cdim]]=NOT(Table1[[#This Row],[Cdim]]=0),"","cdim= "&amp;Table1[[#This Row],[Cdim]])</f>
        <v/>
      </c>
      <c r="I141" s="22" t="str">
        <f>IF(Table1[[#This Row],[Rdim]]=NOT(Table1[[#This Row],[Rdim]]=0),"","rdim= "&amp;Table1[[#This Row],[Rdim]])</f>
        <v>rdim= 1</v>
      </c>
      <c r="J141" s="22"/>
      <c r="K141" s="22"/>
      <c r="L141" s="22" t="str">
        <f>IF(Table1[[#This Row],[ignoreRows]]=NOT(Table1[[#This Row],[ignoreRows]]=0),"","ignoreRows= "&amp;Table1[[#This Row],[ignoreRows]])</f>
        <v/>
      </c>
      <c r="M141" s="22" t="str">
        <f>IF(Table1[[#This Row],[ignoreColumns]]=NOT(Table1[[#This Row],[ignoreColumns]]=0),"","ignoreColumns= "&amp;Table1[[#This Row],[ignoreColumns]])</f>
        <v/>
      </c>
      <c r="N141" s="23" t="str">
        <f>IF(Table1[[#This Row],[Data Type]]="set","Y","N")</f>
        <v>Y</v>
      </c>
      <c r="O141" s="23" t="str">
        <f>IF(Table1[[#This Row],[Values=No Data '[Y/N']]]="Y","values=NoData","")</f>
        <v>values=NoData</v>
      </c>
      <c r="P141" s="23" t="str">
        <f>Table1[[#This Row],[Data Type]]&amp;"="&amp;Table1[[#This Row],[Name]]&amp;"    rng="&amp;Table1[[#This Row],[Range]]&amp;"    "&amp;Table1[[#This Row],[Values gams input]]&amp;"    "&amp;Table1[[#This Row],[dim input gams]]&amp;"    "&amp;Table1[[#This Row],[cdim gams input]]&amp;"     "&amp;Table1[[#This Row],[rdim gams input]]&amp;"     "&amp;Table1[[#This Row],[ignore rows gams input]]&amp;"     "&amp;Table1[[#This Row],[ignore colums gams input]]</f>
        <v>set=jPVP3E    rng=Con_mat!A49:A49    values=NoData             rdim= 1          </v>
      </c>
    </row>
    <row r="142" x14ac:dyDescent="0.25">
      <c r="A142" s="21" t="s">
        <v>144</v>
      </c>
      <c r="B142" s="22" t="s">
        <v>388</v>
      </c>
      <c r="C142" s="22" t="s">
        <v>391</v>
      </c>
      <c r="D142" s="22"/>
      <c r="E142" s="22" t="str">
        <f>IF(Table1[[#This Row],[Dim]]=0,"","dim="&amp;Table1[[#This Row],[Dim]])</f>
        <v/>
      </c>
      <c r="F142" s="22"/>
      <c r="G142" s="22">
        <v>1</v>
      </c>
      <c r="H142" s="22" t="str">
        <f>IF(Table1[[#This Row],[Cdim]]=NOT(Table1[[#This Row],[Cdim]]=0),"","cdim= "&amp;Table1[[#This Row],[Cdim]])</f>
        <v/>
      </c>
      <c r="I142" s="22" t="str">
        <f>IF(Table1[[#This Row],[Rdim]]=NOT(Table1[[#This Row],[Rdim]]=0),"","rdim= "&amp;Table1[[#This Row],[Rdim]])</f>
        <v>rdim= 1</v>
      </c>
      <c r="J142" s="22"/>
      <c r="K142" s="22"/>
      <c r="L142" s="22" t="str">
        <f>IF(Table1[[#This Row],[ignoreRows]]=NOT(Table1[[#This Row],[ignoreRows]]=0),"","ignoreRows= "&amp;Table1[[#This Row],[ignoreRows]])</f>
        <v/>
      </c>
      <c r="M142" s="22" t="str">
        <f>IF(Table1[[#This Row],[ignoreColumns]]=NOT(Table1[[#This Row],[ignoreColumns]]=0),"","ignoreColumns= "&amp;Table1[[#This Row],[ignoreColumns]])</f>
        <v/>
      </c>
      <c r="N142" s="23" t="str">
        <f>IF(Table1[[#This Row],[Data Type]]="set","Y","N")</f>
        <v>Y</v>
      </c>
      <c r="O142" s="23" t="str">
        <f>IF(Table1[[#This Row],[Values=No Data '[Y/N']]]="Y","values=NoData","")</f>
        <v>values=NoData</v>
      </c>
      <c r="P142" s="23" t="str">
        <f>Table1[[#This Row],[Data Type]]&amp;"="&amp;Table1[[#This Row],[Name]]&amp;"    rng="&amp;Table1[[#This Row],[Range]]&amp;"    "&amp;Table1[[#This Row],[Values gams input]]&amp;"    "&amp;Table1[[#This Row],[dim input gams]]&amp;"    "&amp;Table1[[#This Row],[cdim gams input]]&amp;"     "&amp;Table1[[#This Row],[rdim gams input]]&amp;"     "&amp;Table1[[#This Row],[ignore rows gams input]]&amp;"     "&amp;Table1[[#This Row],[ignore colums gams input]]</f>
        <v>set=jPVP3S    rng=Con_mat!A50:A50    values=NoData             rdim= 1          </v>
      </c>
    </row>
    <row r="143" x14ac:dyDescent="0.25">
      <c r="A143" s="21" t="s">
        <v>144</v>
      </c>
      <c r="B143" s="25" t="s">
        <v>392</v>
      </c>
      <c r="C143" s="25" t="s">
        <v>393</v>
      </c>
      <c r="D143" s="22"/>
      <c r="E143" s="22" t="str">
        <f>IF(Table1[[#This Row],[Dim]]=0,"","dim="&amp;Table1[[#This Row],[Dim]])</f>
        <v/>
      </c>
      <c r="F143" s="22"/>
      <c r="G143" s="22">
        <v>1</v>
      </c>
      <c r="H143" s="22" t="str">
        <f>IF(Table1[[#This Row],[Cdim]]=NOT(Table1[[#This Row],[Cdim]]=0),"","cdim= "&amp;Table1[[#This Row],[Cdim]])</f>
        <v/>
      </c>
      <c r="I143" s="22" t="str">
        <f>IF(Table1[[#This Row],[Rdim]]=NOT(Table1[[#This Row],[Rdim]]=0),"","rdim= "&amp;Table1[[#This Row],[Rdim]])</f>
        <v>rdim= 1</v>
      </c>
      <c r="J143" s="22"/>
      <c r="K143" s="22"/>
      <c r="L143" s="22" t="str">
        <f>IF(Table1[[#This Row],[ignoreRows]]=NOT(Table1[[#This Row],[ignoreRows]]=0),"","ignoreRows= "&amp;Table1[[#This Row],[ignoreRows]])</f>
        <v/>
      </c>
      <c r="M143" s="22" t="str">
        <f>IF(Table1[[#This Row],[ignoreColumns]]=NOT(Table1[[#This Row],[ignoreColumns]]=0),"","ignoreColumns= "&amp;Table1[[#This Row],[ignoreColumns]])</f>
        <v/>
      </c>
      <c r="N143" s="23" t="str">
        <f>IF(Table1[[#This Row],[Data Type]]="set","Y","N")</f>
        <v>Y</v>
      </c>
      <c r="O143" s="23" t="str">
        <f>IF(Table1[[#This Row],[Values=No Data '[Y/N']]]="Y","values=NoData","")</f>
        <v>values=NoData</v>
      </c>
      <c r="P143" s="23" t="str">
        <f>Table1[[#This Row],[Data Type]]&amp;"="&amp;Table1[[#This Row],[Name]]&amp;"    rng="&amp;Table1[[#This Row],[Range]]&amp;"    "&amp;Table1[[#This Row],[Values gams input]]&amp;"    "&amp;Table1[[#This Row],[dim input gams]]&amp;"    "&amp;Table1[[#This Row],[cdim gams input]]&amp;"     "&amp;Table1[[#This Row],[rdim gams input]]&amp;"     "&amp;Table1[[#This Row],[ignore rows gams input]]&amp;"     "&amp;Table1[[#This Row],[ignore colums gams input]]</f>
        <v>set=jBYP1    rng=Con_mat!A51:A52    values=NoData             rdim= 1          </v>
      </c>
    </row>
    <row r="144" x14ac:dyDescent="0.25">
      <c r="A144" s="21" t="s">
        <v>144</v>
      </c>
      <c r="B144" s="25" t="s">
        <v>394</v>
      </c>
      <c r="C144" s="25" t="s">
        <v>395</v>
      </c>
      <c r="D144" s="22"/>
      <c r="E144" s="22" t="str">
        <f>IF(Table1[[#This Row],[Dim]]=0,"","dim="&amp;Table1[[#This Row],[Dim]])</f>
        <v/>
      </c>
      <c r="F144" s="22"/>
      <c r="G144" s="22">
        <v>1</v>
      </c>
      <c r="H144" s="22" t="str">
        <f>IF(Table1[[#This Row],[Cdim]]=NOT(Table1[[#This Row],[Cdim]]=0),"","cdim= "&amp;Table1[[#This Row],[Cdim]])</f>
        <v/>
      </c>
      <c r="I144" s="22" t="str">
        <f>IF(Table1[[#This Row],[Rdim]]=NOT(Table1[[#This Row],[Rdim]]=0),"","rdim= "&amp;Table1[[#This Row],[Rdim]])</f>
        <v>rdim= 1</v>
      </c>
      <c r="J144" s="22"/>
      <c r="K144" s="22"/>
      <c r="L144" s="22" t="str">
        <f>IF(Table1[[#This Row],[ignoreRows]]=NOT(Table1[[#This Row],[ignoreRows]]=0),"","ignoreRows= "&amp;Table1[[#This Row],[ignoreRows]])</f>
        <v/>
      </c>
      <c r="M144" s="22" t="str">
        <f>IF(Table1[[#This Row],[ignoreColumns]]=NOT(Table1[[#This Row],[ignoreColumns]]=0),"","ignoreColumns= "&amp;Table1[[#This Row],[ignoreColumns]])</f>
        <v/>
      </c>
      <c r="N144" s="23" t="str">
        <f>IF(Table1[[#This Row],[Data Type]]="set","Y","N")</f>
        <v>Y</v>
      </c>
      <c r="O144" s="23" t="str">
        <f>IF(Table1[[#This Row],[Values=No Data '[Y/N']]]="Y","values=NoData","")</f>
        <v>values=NoData</v>
      </c>
      <c r="P144" s="23" t="str">
        <f>Table1[[#This Row],[Data Type]]&amp;"="&amp;Table1[[#This Row],[Name]]&amp;"    rng="&amp;Table1[[#This Row],[Range]]&amp;"    "&amp;Table1[[#This Row],[Values gams input]]&amp;"    "&amp;Table1[[#This Row],[dim input gams]]&amp;"    "&amp;Table1[[#This Row],[cdim gams input]]&amp;"     "&amp;Table1[[#This Row],[rdim gams input]]&amp;"     "&amp;Table1[[#This Row],[ignore rows gams input]]&amp;"     "&amp;Table1[[#This Row],[ignore colums gams input]]</f>
        <v>set=jBYP1F    rng=Con_mat!A51:A51    values=NoData             rdim= 1          </v>
      </c>
    </row>
    <row r="145" x14ac:dyDescent="0.25">
      <c r="A145" s="21" t="s">
        <v>144</v>
      </c>
      <c r="B145" s="25" t="s">
        <v>396</v>
      </c>
      <c r="C145" s="25" t="s">
        <v>397</v>
      </c>
      <c r="D145" s="22"/>
      <c r="E145" s="22" t="str">
        <f>IF(Table1[[#This Row],[Dim]]=0,"","dim="&amp;Table1[[#This Row],[Dim]])</f>
        <v/>
      </c>
      <c r="F145" s="22"/>
      <c r="G145" s="22">
        <v>1</v>
      </c>
      <c r="H145" s="22" t="str">
        <f>IF(Table1[[#This Row],[Cdim]]=NOT(Table1[[#This Row],[Cdim]]=0),"","cdim= "&amp;Table1[[#This Row],[Cdim]])</f>
        <v/>
      </c>
      <c r="I145" s="22" t="str">
        <f>IF(Table1[[#This Row],[Rdim]]=NOT(Table1[[#This Row],[Rdim]]=0),"","rdim= "&amp;Table1[[#This Row],[Rdim]])</f>
        <v>rdim= 1</v>
      </c>
      <c r="J145" s="22"/>
      <c r="K145" s="22"/>
      <c r="L145" s="22" t="str">
        <f>IF(Table1[[#This Row],[ignoreRows]]=NOT(Table1[[#This Row],[ignoreRows]]=0),"","ignoreRows= "&amp;Table1[[#This Row],[ignoreRows]])</f>
        <v/>
      </c>
      <c r="M145" s="22" t="str">
        <f>IF(Table1[[#This Row],[ignoreColumns]]=NOT(Table1[[#This Row],[ignoreColumns]]=0),"","ignoreColumns= "&amp;Table1[[#This Row],[ignoreColumns]])</f>
        <v/>
      </c>
      <c r="N145" s="23" t="str">
        <f>IF(Table1[[#This Row],[Data Type]]="set","Y","N")</f>
        <v>Y</v>
      </c>
      <c r="O145" s="23" t="str">
        <f>IF(Table1[[#This Row],[Values=No Data '[Y/N']]]="Y","values=NoData","")</f>
        <v>values=NoData</v>
      </c>
      <c r="P145" s="23" t="str">
        <f>Table1[[#This Row],[Data Type]]&amp;"="&amp;Table1[[#This Row],[Name]]&amp;"    rng="&amp;Table1[[#This Row],[Range]]&amp;"    "&amp;Table1[[#This Row],[Values gams input]]&amp;"    "&amp;Table1[[#This Row],[dim input gams]]&amp;"    "&amp;Table1[[#This Row],[cdim gams input]]&amp;"     "&amp;Table1[[#This Row],[rdim gams input]]&amp;"     "&amp;Table1[[#This Row],[ignore rows gams input]]&amp;"     "&amp;Table1[[#This Row],[ignore colums gams input]]</f>
        <v>set=jBYP1E    rng=Con_mat!A52:A52    values=NoData             rdim= 1          </v>
      </c>
    </row>
    <row r="146" x14ac:dyDescent="0.25">
      <c r="A146" s="21" t="s">
        <v>144</v>
      </c>
      <c r="B146" s="25" t="s">
        <v>398</v>
      </c>
      <c r="C146" s="25" t="s">
        <v>399</v>
      </c>
      <c r="D146" s="22"/>
      <c r="E146" s="22" t="str">
        <f>IF(Table1[[#This Row],[Dim]]=0,"","dim="&amp;Table1[[#This Row],[Dim]])</f>
        <v/>
      </c>
      <c r="F146" s="22"/>
      <c r="G146" s="22">
        <v>1</v>
      </c>
      <c r="H146" s="22" t="str">
        <f>IF(Table1[[#This Row],[Cdim]]=NOT(Table1[[#This Row],[Cdim]]=0),"","cdim= "&amp;Table1[[#This Row],[Cdim]])</f>
        <v/>
      </c>
      <c r="I146" s="22" t="str">
        <f>IF(Table1[[#This Row],[Rdim]]=NOT(Table1[[#This Row],[Rdim]]=0),"","rdim= "&amp;Table1[[#This Row],[Rdim]])</f>
        <v>rdim= 1</v>
      </c>
      <c r="J146" s="22"/>
      <c r="K146" s="22"/>
      <c r="L146" s="22" t="str">
        <f>IF(Table1[[#This Row],[ignoreRows]]=NOT(Table1[[#This Row],[ignoreRows]]=0),"","ignoreRows= "&amp;Table1[[#This Row],[ignoreRows]])</f>
        <v/>
      </c>
      <c r="M146" s="22" t="str">
        <f>IF(Table1[[#This Row],[ignoreColumns]]=NOT(Table1[[#This Row],[ignoreColumns]]=0),"","ignoreColumns= "&amp;Table1[[#This Row],[ignoreColumns]])</f>
        <v/>
      </c>
      <c r="N146" s="23" t="str">
        <f>IF(Table1[[#This Row],[Data Type]]="set","Y","N")</f>
        <v>Y</v>
      </c>
      <c r="O146" s="23" t="str">
        <f>IF(Table1[[#This Row],[Values=No Data '[Y/N']]]="Y","values=NoData","")</f>
        <v>values=NoData</v>
      </c>
      <c r="P146" s="23" t="str">
        <f>Table1[[#This Row],[Data Type]]&amp;"="&amp;Table1[[#This Row],[Name]]&amp;"    rng="&amp;Table1[[#This Row],[Range]]&amp;"    "&amp;Table1[[#This Row],[Values gams input]]&amp;"    "&amp;Table1[[#This Row],[dim input gams]]&amp;"    "&amp;Table1[[#This Row],[cdim gams input]]&amp;"     "&amp;Table1[[#This Row],[rdim gams input]]&amp;"     "&amp;Table1[[#This Row],[ignore rows gams input]]&amp;"     "&amp;Table1[[#This Row],[ignore colums gams input]]</f>
        <v>set=jBYP2    rng=Con_mat!A53:A54    values=NoData             rdim= 1          </v>
      </c>
    </row>
    <row r="147" x14ac:dyDescent="0.25">
      <c r="A147" s="21" t="s">
        <v>144</v>
      </c>
      <c r="B147" s="25" t="s">
        <v>400</v>
      </c>
      <c r="C147" s="25" t="s">
        <v>401</v>
      </c>
      <c r="D147" s="22"/>
      <c r="E147" s="22" t="str">
        <f>IF(Table1[[#This Row],[Dim]]=0,"","dim="&amp;Table1[[#This Row],[Dim]])</f>
        <v/>
      </c>
      <c r="F147" s="22"/>
      <c r="G147" s="22">
        <v>1</v>
      </c>
      <c r="H147" s="22" t="str">
        <f>IF(Table1[[#This Row],[Cdim]]=NOT(Table1[[#This Row],[Cdim]]=0),"","cdim= "&amp;Table1[[#This Row],[Cdim]])</f>
        <v/>
      </c>
      <c r="I147" s="22" t="str">
        <f>IF(Table1[[#This Row],[Rdim]]=NOT(Table1[[#This Row],[Rdim]]=0),"","rdim= "&amp;Table1[[#This Row],[Rdim]])</f>
        <v>rdim= 1</v>
      </c>
      <c r="J147" s="22"/>
      <c r="K147" s="22"/>
      <c r="L147" s="22" t="str">
        <f>IF(Table1[[#This Row],[ignoreRows]]=NOT(Table1[[#This Row],[ignoreRows]]=0),"","ignoreRows= "&amp;Table1[[#This Row],[ignoreRows]])</f>
        <v/>
      </c>
      <c r="M147" s="22" t="str">
        <f>IF(Table1[[#This Row],[ignoreColumns]]=NOT(Table1[[#This Row],[ignoreColumns]]=0),"","ignoreColumns= "&amp;Table1[[#This Row],[ignoreColumns]])</f>
        <v/>
      </c>
      <c r="N147" s="23" t="str">
        <f>IF(Table1[[#This Row],[Data Type]]="set","Y","N")</f>
        <v>Y</v>
      </c>
      <c r="O147" s="23" t="str">
        <f>IF(Table1[[#This Row],[Values=No Data '[Y/N']]]="Y","values=NoData","")</f>
        <v>values=NoData</v>
      </c>
      <c r="P147" s="23" t="str">
        <f>Table1[[#This Row],[Data Type]]&amp;"="&amp;Table1[[#This Row],[Name]]&amp;"    rng="&amp;Table1[[#This Row],[Range]]&amp;"    "&amp;Table1[[#This Row],[Values gams input]]&amp;"    "&amp;Table1[[#This Row],[dim input gams]]&amp;"    "&amp;Table1[[#This Row],[cdim gams input]]&amp;"     "&amp;Table1[[#This Row],[rdim gams input]]&amp;"     "&amp;Table1[[#This Row],[ignore rows gams input]]&amp;"     "&amp;Table1[[#This Row],[ignore colums gams input]]</f>
        <v>set=jBYP2F    rng=Con_mat!A53:A53    values=NoData             rdim= 1          </v>
      </c>
    </row>
    <row r="148" x14ac:dyDescent="0.25">
      <c r="A148" s="21" t="s">
        <v>144</v>
      </c>
      <c r="B148" s="25" t="s">
        <v>402</v>
      </c>
      <c r="C148" s="25" t="s">
        <v>403</v>
      </c>
      <c r="D148" s="22"/>
      <c r="E148" s="22" t="str">
        <f>IF(Table1[[#This Row],[Dim]]=0,"","dim="&amp;Table1[[#This Row],[Dim]])</f>
        <v/>
      </c>
      <c r="F148" s="22"/>
      <c r="G148" s="22">
        <v>1</v>
      </c>
      <c r="H148" s="22" t="str">
        <f>IF(Table1[[#This Row],[Cdim]]=NOT(Table1[[#This Row],[Cdim]]=0),"","cdim= "&amp;Table1[[#This Row],[Cdim]])</f>
        <v/>
      </c>
      <c r="I148" s="22" t="str">
        <f>IF(Table1[[#This Row],[Rdim]]=NOT(Table1[[#This Row],[Rdim]]=0),"","rdim= "&amp;Table1[[#This Row],[Rdim]])</f>
        <v>rdim= 1</v>
      </c>
      <c r="J148" s="22"/>
      <c r="K148" s="22"/>
      <c r="L148" s="22" t="str">
        <f>IF(Table1[[#This Row],[ignoreRows]]=NOT(Table1[[#This Row],[ignoreRows]]=0),"","ignoreRows= "&amp;Table1[[#This Row],[ignoreRows]])</f>
        <v/>
      </c>
      <c r="M148" s="22" t="str">
        <f>IF(Table1[[#This Row],[ignoreColumns]]=NOT(Table1[[#This Row],[ignoreColumns]]=0),"","ignoreColumns= "&amp;Table1[[#This Row],[ignoreColumns]])</f>
        <v/>
      </c>
      <c r="N148" s="23" t="str">
        <f>IF(Table1[[#This Row],[Data Type]]="set","Y","N")</f>
        <v>Y</v>
      </c>
      <c r="O148" s="23" t="str">
        <f>IF(Table1[[#This Row],[Values=No Data '[Y/N']]]="Y","values=NoData","")</f>
        <v>values=NoData</v>
      </c>
      <c r="P148" s="23" t="str">
        <f>Table1[[#This Row],[Data Type]]&amp;"="&amp;Table1[[#This Row],[Name]]&amp;"    rng="&amp;Table1[[#This Row],[Range]]&amp;"    "&amp;Table1[[#This Row],[Values gams input]]&amp;"    "&amp;Table1[[#This Row],[dim input gams]]&amp;"    "&amp;Table1[[#This Row],[cdim gams input]]&amp;"     "&amp;Table1[[#This Row],[rdim gams input]]&amp;"     "&amp;Table1[[#This Row],[ignore rows gams input]]&amp;"     "&amp;Table1[[#This Row],[ignore colums gams input]]</f>
        <v>set=jBYP2E    rng=Con_mat!A54:A54    values=NoData             rdim= 1          </v>
      </c>
    </row>
    <row r="149" x14ac:dyDescent="0.25">
      <c r="A149" s="21" t="s">
        <v>144</v>
      </c>
      <c r="B149" s="25" t="s">
        <v>404</v>
      </c>
      <c r="C149" s="25" t="s">
        <v>405</v>
      </c>
      <c r="D149" s="22"/>
      <c r="E149" s="22" t="str">
        <f>IF(Table1[[#This Row],[Dim]]=0,"","dim="&amp;Table1[[#This Row],[Dim]])</f>
        <v/>
      </c>
      <c r="F149" s="22"/>
      <c r="G149" s="22">
        <v>1</v>
      </c>
      <c r="H149" s="22" t="str">
        <f>IF(Table1[[#This Row],[Cdim]]=NOT(Table1[[#This Row],[Cdim]]=0),"","cdim= "&amp;Table1[[#This Row],[Cdim]])</f>
        <v/>
      </c>
      <c r="I149" s="22" t="str">
        <f>IF(Table1[[#This Row],[Rdim]]=NOT(Table1[[#This Row],[Rdim]]=0),"","rdim= "&amp;Table1[[#This Row],[Rdim]])</f>
        <v>rdim= 1</v>
      </c>
      <c r="J149" s="22"/>
      <c r="K149" s="22"/>
      <c r="L149" s="22" t="str">
        <f>IF(Table1[[#This Row],[ignoreRows]]=NOT(Table1[[#This Row],[ignoreRows]]=0),"","ignoreRows= "&amp;Table1[[#This Row],[ignoreRows]])</f>
        <v/>
      </c>
      <c r="M149" s="22" t="str">
        <f>IF(Table1[[#This Row],[ignoreColumns]]=NOT(Table1[[#This Row],[ignoreColumns]]=0),"","ignoreColumns= "&amp;Table1[[#This Row],[ignoreColumns]])</f>
        <v/>
      </c>
      <c r="N149" s="23" t="str">
        <f>IF(Table1[[#This Row],[Data Type]]="set","Y","N")</f>
        <v>Y</v>
      </c>
      <c r="O149" s="23" t="str">
        <f>IF(Table1[[#This Row],[Values=No Data '[Y/N']]]="Y","values=NoData","")</f>
        <v>values=NoData</v>
      </c>
      <c r="P149" s="23" t="str">
        <f>Table1[[#This Row],[Data Type]]&amp;"="&amp;Table1[[#This Row],[Name]]&amp;"    rng="&amp;Table1[[#This Row],[Range]]&amp;"    "&amp;Table1[[#This Row],[Values gams input]]&amp;"    "&amp;Table1[[#This Row],[dim input gams]]&amp;"    "&amp;Table1[[#This Row],[cdim gams input]]&amp;"     "&amp;Table1[[#This Row],[rdim gams input]]&amp;"     "&amp;Table1[[#This Row],[ignore rows gams input]]&amp;"     "&amp;Table1[[#This Row],[ignore colums gams input]]</f>
        <v>set=jBYP3    rng=Con_mat!A55:A56    values=NoData             rdim= 1          </v>
      </c>
    </row>
    <row r="150" x14ac:dyDescent="0.25">
      <c r="A150" s="21" t="s">
        <v>144</v>
      </c>
      <c r="B150" s="25" t="s">
        <v>406</v>
      </c>
      <c r="C150" s="25" t="s">
        <v>407</v>
      </c>
      <c r="D150" s="22"/>
      <c r="E150" s="22" t="str">
        <f>IF(Table1[[#This Row],[Dim]]=0,"","dim="&amp;Table1[[#This Row],[Dim]])</f>
        <v/>
      </c>
      <c r="F150" s="22"/>
      <c r="G150" s="22">
        <v>1</v>
      </c>
      <c r="H150" s="22" t="str">
        <f>IF(Table1[[#This Row],[Cdim]]=NOT(Table1[[#This Row],[Cdim]]=0),"","cdim= "&amp;Table1[[#This Row],[Cdim]])</f>
        <v/>
      </c>
      <c r="I150" s="22" t="str">
        <f>IF(Table1[[#This Row],[Rdim]]=NOT(Table1[[#This Row],[Rdim]]=0),"","rdim= "&amp;Table1[[#This Row],[Rdim]])</f>
        <v>rdim= 1</v>
      </c>
      <c r="J150" s="22"/>
      <c r="K150" s="22"/>
      <c r="L150" s="22" t="str">
        <f>IF(Table1[[#This Row],[ignoreRows]]=NOT(Table1[[#This Row],[ignoreRows]]=0),"","ignoreRows= "&amp;Table1[[#This Row],[ignoreRows]])</f>
        <v/>
      </c>
      <c r="M150" s="22" t="str">
        <f>IF(Table1[[#This Row],[ignoreColumns]]=NOT(Table1[[#This Row],[ignoreColumns]]=0),"","ignoreColumns= "&amp;Table1[[#This Row],[ignoreColumns]])</f>
        <v/>
      </c>
      <c r="N150" s="23" t="str">
        <f>IF(Table1[[#This Row],[Data Type]]="set","Y","N")</f>
        <v>Y</v>
      </c>
      <c r="O150" s="23" t="str">
        <f>IF(Table1[[#This Row],[Values=No Data '[Y/N']]]="Y","values=NoData","")</f>
        <v>values=NoData</v>
      </c>
      <c r="P150" s="23" t="str">
        <f>Table1[[#This Row],[Data Type]]&amp;"="&amp;Table1[[#This Row],[Name]]&amp;"    rng="&amp;Table1[[#This Row],[Range]]&amp;"    "&amp;Table1[[#This Row],[Values gams input]]&amp;"    "&amp;Table1[[#This Row],[dim input gams]]&amp;"    "&amp;Table1[[#This Row],[cdim gams input]]&amp;"     "&amp;Table1[[#This Row],[rdim gams input]]&amp;"     "&amp;Table1[[#This Row],[ignore rows gams input]]&amp;"     "&amp;Table1[[#This Row],[ignore colums gams input]]</f>
        <v>set=jBYP3F    rng=Con_mat!A55:A55    values=NoData             rdim= 1          </v>
      </c>
    </row>
    <row r="151" x14ac:dyDescent="0.25">
      <c r="A151" s="21" t="s">
        <v>144</v>
      </c>
      <c r="B151" s="25" t="s">
        <v>408</v>
      </c>
      <c r="C151" s="25" t="s">
        <v>409</v>
      </c>
      <c r="D151" s="22"/>
      <c r="E151" s="22" t="str">
        <f>IF(Table1[[#This Row],[Dim]]=0,"","dim="&amp;Table1[[#This Row],[Dim]])</f>
        <v/>
      </c>
      <c r="F151" s="22"/>
      <c r="G151" s="22">
        <v>1</v>
      </c>
      <c r="H151" s="22" t="str">
        <f>IF(Table1[[#This Row],[Cdim]]=NOT(Table1[[#This Row],[Cdim]]=0),"","cdim= "&amp;Table1[[#This Row],[Cdim]])</f>
        <v/>
      </c>
      <c r="I151" s="22" t="str">
        <f>IF(Table1[[#This Row],[Rdim]]=NOT(Table1[[#This Row],[Rdim]]=0),"","rdim= "&amp;Table1[[#This Row],[Rdim]])</f>
        <v>rdim= 1</v>
      </c>
      <c r="J151" s="22"/>
      <c r="K151" s="22"/>
      <c r="L151" s="22" t="str">
        <f>IF(Table1[[#This Row],[ignoreRows]]=NOT(Table1[[#This Row],[ignoreRows]]=0),"","ignoreRows= "&amp;Table1[[#This Row],[ignoreRows]])</f>
        <v/>
      </c>
      <c r="M151" s="22" t="str">
        <f>IF(Table1[[#This Row],[ignoreColumns]]=NOT(Table1[[#This Row],[ignoreColumns]]=0),"","ignoreColumns= "&amp;Table1[[#This Row],[ignoreColumns]])</f>
        <v/>
      </c>
      <c r="N151" s="23" t="str">
        <f>IF(Table1[[#This Row],[Data Type]]="set","Y","N")</f>
        <v>Y</v>
      </c>
      <c r="O151" s="23" t="str">
        <f>IF(Table1[[#This Row],[Values=No Data '[Y/N']]]="Y","values=NoData","")</f>
        <v>values=NoData</v>
      </c>
      <c r="P151" s="23" t="str">
        <f>Table1[[#This Row],[Data Type]]&amp;"="&amp;Table1[[#This Row],[Name]]&amp;"    rng="&amp;Table1[[#This Row],[Range]]&amp;"    "&amp;Table1[[#This Row],[Values gams input]]&amp;"    "&amp;Table1[[#This Row],[dim input gams]]&amp;"    "&amp;Table1[[#This Row],[cdim gams input]]&amp;"     "&amp;Table1[[#This Row],[rdim gams input]]&amp;"     "&amp;Table1[[#This Row],[ignore rows gams input]]&amp;"     "&amp;Table1[[#This Row],[ignore colums gams input]]</f>
        <v>set=jBYP3E    rng=Con_mat!A56:A56    values=NoData             rdim= 1          </v>
      </c>
    </row>
    <row r="152" x14ac:dyDescent="0.25">
      <c r="A152" s="21" t="s">
        <v>144</v>
      </c>
      <c r="B152" s="25" t="s">
        <v>410</v>
      </c>
      <c r="C152" s="25" t="s">
        <v>411</v>
      </c>
      <c r="D152" s="22"/>
      <c r="E152" s="22" t="str">
        <f>IF(Table1[[#This Row],[Dim]]=0,"","dim="&amp;Table1[[#This Row],[Dim]])</f>
        <v/>
      </c>
      <c r="F152" s="22"/>
      <c r="G152" s="22">
        <v>1</v>
      </c>
      <c r="H152" s="25" t="str">
        <f>IF(Table1[[#This Row],[Cdim]]=NOT(Table1[[#This Row],[Cdim]]=0),"","cdim= "&amp;Table1[[#This Row],[Cdim]])</f>
        <v/>
      </c>
      <c r="I152" s="25" t="str">
        <f>IF(Table1[[#This Row],[Rdim]]=NOT(Table1[[#This Row],[Rdim]]=0),"","rdim= "&amp;Table1[[#This Row],[Rdim]])</f>
        <v>rdim= 1</v>
      </c>
      <c r="J152" s="22"/>
      <c r="K152" s="22"/>
      <c r="L152" s="25" t="str">
        <f>IF(Table1[[#This Row],[ignoreRows]]=NOT(Table1[[#This Row],[ignoreRows]]=0),"","ignoreRows= "&amp;Table1[[#This Row],[ignoreRows]])</f>
        <v/>
      </c>
      <c r="M152" s="25" t="str">
        <f>IF(Table1[[#This Row],[ignoreColumns]]=NOT(Table1[[#This Row],[ignoreColumns]]=0),"","ignoreColumns= "&amp;Table1[[#This Row],[ignoreColumns]])</f>
        <v/>
      </c>
      <c r="N152" s="43" t="str">
        <f>IF(Table1[[#This Row],[Data Type]]="set","Y","N")</f>
        <v>Y</v>
      </c>
      <c r="O152" s="43" t="str">
        <f>IF(Table1[[#This Row],[Values=No Data '[Y/N']]]="Y","values=NoData","")</f>
        <v>values=NoData</v>
      </c>
      <c r="P152" s="23" t="str">
        <f>Table1[[#This Row],[Data Type]]&amp;"="&amp;Table1[[#This Row],[Name]]&amp;"    rng="&amp;Table1[[#This Row],[Range]]&amp;"    "&amp;Table1[[#This Row],[Values gams input]]&amp;"    "&amp;Table1[[#This Row],[dim input gams]]&amp;"    "&amp;Table1[[#This Row],[cdim gams input]]&amp;"     "&amp;Table1[[#This Row],[rdim gams input]]&amp;"     "&amp;Table1[[#This Row],[ignore rows gams input]]&amp;"     "&amp;Table1[[#This Row],[ignore colums gams input]]</f>
        <v>set=jBYP4    rng=Con_mat!A57:A58    values=NoData             rdim= 1          </v>
      </c>
    </row>
    <row r="153" x14ac:dyDescent="0.25">
      <c r="A153" s="21" t="s">
        <v>144</v>
      </c>
      <c r="B153" s="25" t="s">
        <v>412</v>
      </c>
      <c r="C153" s="25" t="s">
        <v>413</v>
      </c>
      <c r="D153" s="22"/>
      <c r="E153" s="22" t="str">
        <f>IF(Table1[[#This Row],[Dim]]=0,"","dim="&amp;Table1[[#This Row],[Dim]])</f>
        <v/>
      </c>
      <c r="F153" s="22"/>
      <c r="G153" s="22">
        <v>1</v>
      </c>
      <c r="H153" s="25" t="str">
        <f>IF(Table1[[#This Row],[Cdim]]=NOT(Table1[[#This Row],[Cdim]]=0),"","cdim= "&amp;Table1[[#This Row],[Cdim]])</f>
        <v/>
      </c>
      <c r="I153" s="25" t="str">
        <f>IF(Table1[[#This Row],[Rdim]]=NOT(Table1[[#This Row],[Rdim]]=0),"","rdim= "&amp;Table1[[#This Row],[Rdim]])</f>
        <v>rdim= 1</v>
      </c>
      <c r="J153" s="22"/>
      <c r="K153" s="22"/>
      <c r="L153" s="25" t="str">
        <f>IF(Table1[[#This Row],[ignoreRows]]=NOT(Table1[[#This Row],[ignoreRows]]=0),"","ignoreRows= "&amp;Table1[[#This Row],[ignoreRows]])</f>
        <v/>
      </c>
      <c r="M153" s="25" t="str">
        <f>IF(Table1[[#This Row],[ignoreColumns]]=NOT(Table1[[#This Row],[ignoreColumns]]=0),"","ignoreColumns= "&amp;Table1[[#This Row],[ignoreColumns]])</f>
        <v/>
      </c>
      <c r="N153" s="43" t="str">
        <f>IF(Table1[[#This Row],[Data Type]]="set","Y","N")</f>
        <v>Y</v>
      </c>
      <c r="O153" s="43" t="str">
        <f>IF(Table1[[#This Row],[Values=No Data '[Y/N']]]="Y","values=NoData","")</f>
        <v>values=NoData</v>
      </c>
      <c r="P153" s="23" t="str">
        <f>Table1[[#This Row],[Data Type]]&amp;"="&amp;Table1[[#This Row],[Name]]&amp;"    rng="&amp;Table1[[#This Row],[Range]]&amp;"    "&amp;Table1[[#This Row],[Values gams input]]&amp;"    "&amp;Table1[[#This Row],[dim input gams]]&amp;"    "&amp;Table1[[#This Row],[cdim gams input]]&amp;"     "&amp;Table1[[#This Row],[rdim gams input]]&amp;"     "&amp;Table1[[#This Row],[ignore rows gams input]]&amp;"     "&amp;Table1[[#This Row],[ignore colums gams input]]</f>
        <v>set=jBYP4F    rng=Con_mat!A57:A57    values=NoData             rdim= 1          </v>
      </c>
    </row>
    <row r="154" x14ac:dyDescent="0.25">
      <c r="A154" s="21" t="s">
        <v>144</v>
      </c>
      <c r="B154" s="25" t="s">
        <v>414</v>
      </c>
      <c r="C154" s="25" t="s">
        <v>415</v>
      </c>
      <c r="D154" s="22"/>
      <c r="E154" s="22" t="str">
        <f>IF(Table1[[#This Row],[Dim]]=0,"","dim="&amp;Table1[[#This Row],[Dim]])</f>
        <v/>
      </c>
      <c r="F154" s="22"/>
      <c r="G154" s="22">
        <v>1</v>
      </c>
      <c r="H154" s="25" t="str">
        <f>IF(Table1[[#This Row],[Cdim]]=NOT(Table1[[#This Row],[Cdim]]=0),"","cdim= "&amp;Table1[[#This Row],[Cdim]])</f>
        <v/>
      </c>
      <c r="I154" s="25" t="str">
        <f>IF(Table1[[#This Row],[Rdim]]=NOT(Table1[[#This Row],[Rdim]]=0),"","rdim= "&amp;Table1[[#This Row],[Rdim]])</f>
        <v>rdim= 1</v>
      </c>
      <c r="J154" s="22"/>
      <c r="K154" s="22"/>
      <c r="L154" s="25" t="str">
        <f>IF(Table1[[#This Row],[ignoreRows]]=NOT(Table1[[#This Row],[ignoreRows]]=0),"","ignoreRows= "&amp;Table1[[#This Row],[ignoreRows]])</f>
        <v/>
      </c>
      <c r="M154" s="25" t="str">
        <f>IF(Table1[[#This Row],[ignoreColumns]]=NOT(Table1[[#This Row],[ignoreColumns]]=0),"","ignoreColumns= "&amp;Table1[[#This Row],[ignoreColumns]])</f>
        <v/>
      </c>
      <c r="N154" s="43" t="str">
        <f>IF(Table1[[#This Row],[Data Type]]="set","Y","N")</f>
        <v>Y</v>
      </c>
      <c r="O154" s="43" t="str">
        <f>IF(Table1[[#This Row],[Values=No Data '[Y/N']]]="Y","values=NoData","")</f>
        <v>values=NoData</v>
      </c>
      <c r="P154" s="23" t="str">
        <f>Table1[[#This Row],[Data Type]]&amp;"="&amp;Table1[[#This Row],[Name]]&amp;"    rng="&amp;Table1[[#This Row],[Range]]&amp;"    "&amp;Table1[[#This Row],[Values gams input]]&amp;"    "&amp;Table1[[#This Row],[dim input gams]]&amp;"    "&amp;Table1[[#This Row],[cdim gams input]]&amp;"     "&amp;Table1[[#This Row],[rdim gams input]]&amp;"     "&amp;Table1[[#This Row],[ignore rows gams input]]&amp;"     "&amp;Table1[[#This Row],[ignore colums gams input]]</f>
        <v>set=jBYP4E    rng=Con_mat!A58:A58    values=NoData             rdim= 1          </v>
      </c>
    </row>
    <row r="155" x14ac:dyDescent="0.25">
      <c r="A155" s="21" t="s">
        <v>144</v>
      </c>
      <c r="B155" s="22" t="s">
        <v>603</v>
      </c>
      <c r="C155" s="22" t="s">
        <v>235</v>
      </c>
      <c r="D155" s="22"/>
      <c r="E155" s="22" t="str">
        <f>IF(Table1[[#This Row],[Dim]]=0,"","dim="&amp;Table1[[#This Row],[Dim]])</f>
        <v/>
      </c>
      <c r="F155" s="22"/>
      <c r="G155" s="22">
        <v>1</v>
      </c>
      <c r="H155" s="25" t="str">
        <f>IF(Table1[[#This Row],[Cdim]]=NOT(Table1[[#This Row],[Cdim]]=0),"","cdim= "&amp;Table1[[#This Row],[Cdim]])</f>
        <v/>
      </c>
      <c r="I155" s="25" t="str">
        <f>IF(Table1[[#This Row],[Rdim]]=NOT(Table1[[#This Row],[Rdim]]=0),"","rdim= "&amp;Table1[[#This Row],[Rdim]])</f>
        <v>rdim= 1</v>
      </c>
      <c r="J155" t="s">
        <v>627</v>
      </c>
      <c r="K155" s="22"/>
      <c r="L155" s="25" t="str">
        <f>IF(Table1[[#This Row],[ignoreRows]]=NOT(Table1[[#This Row],[ignoreRows]]=0),"","ignoreRows= "&amp;Table1[[#This Row],[ignoreRows]])</f>
        <v>ignoreRows= 2,3,5,6,8,9,11,12,14,15,17,18,19,21,22,24,25,27,28,30,31,32,34,35,37,38,40,41,42,44,45,47,48,50,51,52,53,54,55,56,57,58,59</v>
      </c>
      <c r="M155" s="25" t="str">
        <f>IF(Table1[[#This Row],[ignoreColumns]]=NOT(Table1[[#This Row],[ignoreColumns]]=0),"","ignoreColumns= "&amp;Table1[[#This Row],[ignoreColumns]])</f>
        <v/>
      </c>
      <c r="N155" s="43" t="str">
        <f>IF(Table1[[#This Row],[Data Type]]="set","Y","N")</f>
        <v>Y</v>
      </c>
      <c r="O155" s="44" t="str">
        <f>IF(Table1[[#This Row],[Values=No Data '[Y/N']]]="Y","values=NoData","")</f>
        <v>values=NoData</v>
      </c>
      <c r="P155" s="23" t="str">
        <f>Table1[[#This Row],[Data Type]]&amp;"="&amp;Table1[[#This Row],[Name]]&amp;"    rng="&amp;Table1[[#This Row],[Range]]&amp;"    "&amp;Table1[[#This Row],[Values gams input]]&amp;"    "&amp;Table1[[#This Row],[dim input gams]]&amp;"    "&amp;Table1[[#This Row],[cdim gams input]]&amp;"     "&amp;Table1[[#This Row],[rdim gams input]]&amp;"     "&amp;Table1[[#This Row],[ignore rows gams input]]&amp;"     "&amp;Table1[[#This Row],[ignore colums gams input]]</f>
        <v>set=jmix5    rng=Con_mat!A2:A60    values=NoData             rdim= 1     ignoreRows= 2,3,5,6,8,9,11,12,14,15,17,18,19,21,22,24,25,27,28,30,31,32,34,35,37,38,40,41,42,44,45,47,48,50,51,52,53,54,55,56,57,58,59     </v>
      </c>
    </row>
    <row r="156" x14ac:dyDescent="0.25">
      <c r="A156" s="21" t="s">
        <v>144</v>
      </c>
      <c r="B156" s="22" t="s">
        <v>620</v>
      </c>
      <c r="C156" s="22" t="s">
        <v>235</v>
      </c>
      <c r="D156" s="22"/>
      <c r="E156" s="22" t="str">
        <f>IF(Table1[[#This Row],[Dim]]=0,"","dim="&amp;Table1[[#This Row],[Dim]])</f>
        <v/>
      </c>
      <c r="F156" s="22"/>
      <c r="G156" s="22">
        <v>1</v>
      </c>
      <c r="H156" s="25" t="str">
        <f>IF(Table1[[#This Row],[Cdim]]=NOT(Table1[[#This Row],[Cdim]]=0),"","cdim= "&amp;Table1[[#This Row],[Cdim]])</f>
        <v/>
      </c>
      <c r="I156" s="25" t="str">
        <f>IF(Table1[[#This Row],[Rdim]]=NOT(Table1[[#This Row],[Rdim]]=0),"","rdim= "&amp;Table1[[#This Row],[Rdim]])</f>
        <v>rdim= 1</v>
      </c>
      <c r="J156" t="s">
        <v>628</v>
      </c>
      <c r="K156" s="22"/>
      <c r="L156" s="25" t="str">
        <f>IF(Table1[[#This Row],[ignoreRows]]=NOT(Table1[[#This Row],[ignoreRows]]=0),"","ignoreRows= "&amp;Table1[[#This Row],[ignoreRows]])</f>
        <v>ignoreRows= 2,3,5,6,8,9,11,12,14,15,17,18,19,21,22,24,25,27,28,30,31,32,34,35,37,38,40,41,42,44,45,47,48,50,51,52,53,54,55,56,57,58,59,60</v>
      </c>
      <c r="M156" s="25" t="str">
        <f>IF(Table1[[#This Row],[ignoreColumns]]=NOT(Table1[[#This Row],[ignoreColumns]]=0),"","ignoreColumns= "&amp;Table1[[#This Row],[ignoreColumns]])</f>
        <v/>
      </c>
      <c r="N156" s="43" t="str">
        <f>IF(Table1[[#This Row],[Data Type]]="set","Y","N")</f>
        <v>Y</v>
      </c>
      <c r="O156" s="44" t="str">
        <f>IF(Table1[[#This Row],[Values=No Data '[Y/N']]]="Y","values=NoData","")</f>
        <v>values=NoData</v>
      </c>
      <c r="P156" s="23" t="str">
        <f>Table1[[#This Row],[Data Type]]&amp;"="&amp;Table1[[#This Row],[Name]]&amp;"    rng="&amp;Table1[[#This Row],[Range]]&amp;"    "&amp;Table1[[#This Row],[Values gams input]]&amp;"    "&amp;Table1[[#This Row],[dim input gams]]&amp;"    "&amp;Table1[[#This Row],[cdim gams input]]&amp;"     "&amp;Table1[[#This Row],[rdim gams input]]&amp;"     "&amp;Table1[[#This Row],[ignore rows gams input]]&amp;"     "&amp;Table1[[#This Row],[ignore colums gams input]]</f>
        <v>set=jmix5F    rng=Con_mat!A2:A60    values=NoData             rdim= 1     ignoreRows= 2,3,5,6,8,9,11,12,14,15,17,18,19,21,22,24,25,27,28,30,31,32,34,35,37,38,40,41,42,44,45,47,48,50,51,52,53,54,55,56,57,58,59,60     </v>
      </c>
    </row>
    <row r="157" x14ac:dyDescent="0.25">
      <c r="A157" s="21" t="s">
        <v>144</v>
      </c>
      <c r="B157" s="22" t="s">
        <v>621</v>
      </c>
      <c r="C157" s="22" t="s">
        <v>607</v>
      </c>
      <c r="D157" s="22"/>
      <c r="E157" s="22" t="str">
        <f>IF(Table1[[#This Row],[Dim]]=0,"","dim="&amp;Table1[[#This Row],[Dim]])</f>
        <v/>
      </c>
      <c r="F157" s="22"/>
      <c r="G157" s="22">
        <v>1</v>
      </c>
      <c r="H157" s="25" t="str">
        <f>IF(Table1[[#This Row],[Cdim]]=NOT(Table1[[#This Row],[Cdim]]=0),"","cdim= "&amp;Table1[[#This Row],[Cdim]])</f>
        <v/>
      </c>
      <c r="I157" s="25" t="str">
        <f>IF(Table1[[#This Row],[Rdim]]=NOT(Table1[[#This Row],[Rdim]]=0),"","rdim= "&amp;Table1[[#This Row],[Rdim]])</f>
        <v>rdim= 1</v>
      </c>
      <c r="J157" s="22"/>
      <c r="K157" s="22"/>
      <c r="L157" s="25" t="str">
        <f>IF(Table1[[#This Row],[ignoreRows]]=NOT(Table1[[#This Row],[ignoreRows]]=0),"","ignoreRows= "&amp;Table1[[#This Row],[ignoreRows]])</f>
        <v/>
      </c>
      <c r="M157" s="25" t="str">
        <f>IF(Table1[[#This Row],[ignoreColumns]]=NOT(Table1[[#This Row],[ignoreColumns]]=0),"","ignoreColumns= "&amp;Table1[[#This Row],[ignoreColumns]])</f>
        <v/>
      </c>
      <c r="N157" s="43" t="str">
        <f>IF(Table1[[#This Row],[Data Type]]="set","Y","N")</f>
        <v>Y</v>
      </c>
      <c r="O157" s="44" t="str">
        <f>IF(Table1[[#This Row],[Values=No Data '[Y/N']]]="Y","values=NoData","")</f>
        <v>values=NoData</v>
      </c>
      <c r="P157" s="23" t="str">
        <f>Table1[[#This Row],[Data Type]]&amp;"="&amp;Table1[[#This Row],[Name]]&amp;"    rng="&amp;Table1[[#This Row],[Range]]&amp;"    "&amp;Table1[[#This Row],[Values gams input]]&amp;"    "&amp;Table1[[#This Row],[dim input gams]]&amp;"    "&amp;Table1[[#This Row],[cdim gams input]]&amp;"     "&amp;Table1[[#This Row],[rdim gams input]]&amp;"     "&amp;Table1[[#This Row],[ignore rows gams input]]&amp;"     "&amp;Table1[[#This Row],[ignore colums gams input]]</f>
        <v>set=jmix5E    rng=Con_mat!A60:A60    values=NoData             rdim= 1          </v>
      </c>
    </row>
    <row r="158" x14ac:dyDescent="0.25">
      <c r="A158" s="26" t="s">
        <v>144</v>
      </c>
      <c r="B158" s="22" t="s">
        <v>416</v>
      </c>
      <c r="C158" s="22" t="s">
        <v>417</v>
      </c>
      <c r="D158" s="22"/>
      <c r="E158" s="22" t="str">
        <f>IF(Table1[[#This Row],[Dim]]=0,"","dim="&amp;Table1[[#This Row],[Dim]])</f>
        <v/>
      </c>
      <c r="F158" s="22"/>
      <c r="G158" s="22">
        <v>1</v>
      </c>
      <c r="H158" s="22" t="str">
        <f>IF(Table1[[#This Row],[Cdim]]=NOT(Table1[[#This Row],[Cdim]]=0),"","cdim= "&amp;Table1[[#This Row],[Cdim]])</f>
        <v/>
      </c>
      <c r="I158" s="22" t="str">
        <f>IF(Table1[[#This Row],[Rdim]]=NOT(Table1[[#This Row],[Rdim]]=0),"","rdim= "&amp;Table1[[#This Row],[Rdim]])</f>
        <v>rdim= 1</v>
      </c>
      <c r="J158" s="22"/>
      <c r="K158" s="22"/>
      <c r="L158" s="22" t="str">
        <f>IF(Table1[[#This Row],[ignoreRows]]=NOT(Table1[[#This Row],[ignoreRows]]=0),"","ignoreRows= "&amp;Table1[[#This Row],[ignoreRows]])</f>
        <v/>
      </c>
      <c r="M158" s="22" t="str">
        <f>IF(Table1[[#This Row],[ignoreColumns]]=NOT(Table1[[#This Row],[ignoreColumns]]=0),"","ignoreColumns= "&amp;Table1[[#This Row],[ignoreColumns]])</f>
        <v/>
      </c>
      <c r="N158" s="23" t="str">
        <f>IF(Table1[[#This Row],[Data Type]]="set","Y","N")</f>
        <v>Y</v>
      </c>
      <c r="O158" s="23" t="str">
        <f>IF(Table1[[#This Row],[Values=No Data '[Y/N']]]="Y","values=NoData","")</f>
        <v>values=NoData</v>
      </c>
      <c r="P158" s="23" t="str">
        <f>Table1[[#This Row],[Data Type]]&amp;"="&amp;Table1[[#This Row],[Name]]&amp;"    rng="&amp;Table1[[#This Row],[Range]]&amp;"    "&amp;Table1[[#This Row],[Values gams input]]&amp;"    "&amp;Table1[[#This Row],[dim input gams]]&amp;"    "&amp;Table1[[#This Row],[cdim gams input]]&amp;"     "&amp;Table1[[#This Row],[rdim gams input]]&amp;"     "&amp;Table1[[#This Row],[ignore rows gams input]]&amp;"     "&amp;Table1[[#This Row],[ignore colums gams input]]</f>
        <v>set=k    rng=Chem_Props!A3:A10    values=NoData             rdim= 1          </v>
      </c>
    </row>
    <row r="159" x14ac:dyDescent="0.25">
      <c r="A159" s="26" t="s">
        <v>144</v>
      </c>
      <c r="B159" s="22" t="s">
        <v>418</v>
      </c>
      <c r="C159" s="22" t="s">
        <v>417</v>
      </c>
      <c r="D159" s="22"/>
      <c r="E159" s="22" t="str">
        <f>IF(Table1[[#This Row],[Dim]]=0,"","dim="&amp;Table1[[#This Row],[Dim]])</f>
        <v/>
      </c>
      <c r="F159" s="22"/>
      <c r="G159" s="22">
        <v>1</v>
      </c>
      <c r="H159" s="22" t="str">
        <f>IF(Table1[[#This Row],[Cdim]]=NOT(Table1[[#This Row],[Cdim]]=0),"","cdim= "&amp;Table1[[#This Row],[Cdim]])</f>
        <v/>
      </c>
      <c r="I159" s="22" t="str">
        <f>IF(Table1[[#This Row],[Rdim]]=NOT(Table1[[#This Row],[Rdim]]=0),"","rdim= "&amp;Table1[[#This Row],[Rdim]])</f>
        <v>rdim= 1</v>
      </c>
      <c r="J159" s="22"/>
      <c r="K159" s="22"/>
      <c r="L159" s="22" t="str">
        <f>IF(Table1[[#This Row],[ignoreRows]]=NOT(Table1[[#This Row],[ignoreRows]]=0),"","ignoreRows= "&amp;Table1[[#This Row],[ignoreRows]])</f>
        <v/>
      </c>
      <c r="M159" s="22" t="str">
        <f>IF(Table1[[#This Row],[ignoreColumns]]=NOT(Table1[[#This Row],[ignoreColumns]]=0),"","ignoreColumns= "&amp;Table1[[#This Row],[ignoreColumns]])</f>
        <v/>
      </c>
      <c r="N159" s="23" t="str">
        <f>IF(Table1[[#This Row],[Data Type]]="set","Y","N")</f>
        <v>Y</v>
      </c>
      <c r="O159" s="23" t="str">
        <f>IF(Table1[[#This Row],[Values=No Data '[Y/N']]]="Y","values=NoData","")</f>
        <v>values=NoData</v>
      </c>
      <c r="P159" s="23" t="str">
        <f>Table1[[#This Row],[Data Type]]&amp;"="&amp;Table1[[#This Row],[Name]]&amp;"    rng="&amp;Table1[[#This Row],[Range]]&amp;"    "&amp;Table1[[#This Row],[Values gams input]]&amp;"    "&amp;Table1[[#This Row],[dim input gams]]&amp;"    "&amp;Table1[[#This Row],[cdim gams input]]&amp;"     "&amp;Table1[[#This Row],[rdim gams input]]&amp;"     "&amp;Table1[[#This Row],[ignore rows gams input]]&amp;"     "&amp;Table1[[#This Row],[ignore colums gams input]]</f>
        <v>set=k1    rng=Chem_Props!A3:A10    values=NoData             rdim= 1          </v>
      </c>
    </row>
    <row r="160" x14ac:dyDescent="0.25">
      <c r="A160" s="21" t="s">
        <v>144</v>
      </c>
      <c r="B160" s="22" t="s">
        <v>419</v>
      </c>
      <c r="C160" s="22" t="s">
        <v>537</v>
      </c>
      <c r="D160" s="22"/>
      <c r="E160" s="22" t="str">
        <f>IF(Table1[[#This Row],[Dim]]=0,"","dim="&amp;Table1[[#This Row],[Dim]])</f>
        <v/>
      </c>
      <c r="F160" s="22"/>
      <c r="G160" s="22">
        <v>1</v>
      </c>
      <c r="H160" s="22" t="str">
        <f>IF(Table1[[#This Row],[Cdim]]=NOT(Table1[[#This Row],[Cdim]]=0),"","cdim= "&amp;Table1[[#This Row],[Cdim]])</f>
        <v/>
      </c>
      <c r="I160" s="22" t="str">
        <f>IF(Table1[[#This Row],[Rdim]]=NOT(Table1[[#This Row],[Rdim]]=0),"","rdim= "&amp;Table1[[#This Row],[Rdim]])</f>
        <v>rdim= 1</v>
      </c>
      <c r="J160" s="25"/>
      <c r="K160" s="22"/>
      <c r="L160" s="22" t="str">
        <f>IF(Table1[[#This Row],[ignoreRows]]=NOT(Table1[[#This Row],[ignoreRows]]=0),"","ignoreRows= "&amp;Table1[[#This Row],[ignoreRows]])</f>
        <v/>
      </c>
      <c r="M160" s="22" t="str">
        <f>IF(Table1[[#This Row],[ignoreColumns]]=NOT(Table1[[#This Row],[ignoreColumns]]=0),"","ignoreColumns= "&amp;Table1[[#This Row],[ignoreColumns]])</f>
        <v/>
      </c>
      <c r="N160" s="23" t="str">
        <f>IF(Table1[[#This Row],[Data Type]]="set","Y","N")</f>
        <v>Y</v>
      </c>
      <c r="O160" s="23" t="str">
        <f>IF(Table1[[#This Row],[Values=No Data '[Y/N']]]="Y","values=NoData","")</f>
        <v>values=NoData</v>
      </c>
      <c r="P160" s="23" t="str">
        <f>Table1[[#This Row],[Data Type]]&amp;"="&amp;Table1[[#This Row],[Name]]&amp;"    rng="&amp;Table1[[#This Row],[Range]]&amp;"    "&amp;Table1[[#This Row],[Values gams input]]&amp;"    "&amp;Table1[[#This Row],[dim input gams]]&amp;"    "&amp;Table1[[#This Row],[cdim gams input]]&amp;"     "&amp;Table1[[#This Row],[rdim gams input]]&amp;"     "&amp;Table1[[#This Row],[ignore rows gams input]]&amp;"     "&amp;Table1[[#This Row],[ignore colums gams input]]</f>
        <v>set=kSld    rng=Solid_Props!A3:A10    values=NoData             rdim= 1          </v>
      </c>
    </row>
    <row r="161" x14ac:dyDescent="0.25">
      <c r="A161" s="21" t="s">
        <v>144</v>
      </c>
      <c r="B161" s="22" t="s">
        <v>420</v>
      </c>
      <c r="C161" s="22" t="s">
        <v>538</v>
      </c>
      <c r="D161" s="22"/>
      <c r="E161" s="22" t="str">
        <f>IF(Table1[[#This Row],[Dim]]=0,"","dim="&amp;Table1[[#This Row],[Dim]])</f>
        <v/>
      </c>
      <c r="F161" s="22"/>
      <c r="G161" s="22">
        <v>1</v>
      </c>
      <c r="H161" s="22" t="str">
        <f>IF(Table1[[#This Row],[Cdim]]=NOT(Table1[[#This Row],[Cdim]]=0),"","cdim= "&amp;Table1[[#This Row],[Cdim]])</f>
        <v/>
      </c>
      <c r="I161" s="22" t="str">
        <f>IF(Table1[[#This Row],[Rdim]]=NOT(Table1[[#This Row],[Rdim]]=0),"","rdim= "&amp;Table1[[#This Row],[Rdim]])</f>
        <v>rdim= 1</v>
      </c>
      <c r="J161" s="25"/>
      <c r="K161" s="22"/>
      <c r="L161" s="22" t="str">
        <f>IF(Table1[[#This Row],[ignoreRows]]=NOT(Table1[[#This Row],[ignoreRows]]=0),"","ignoreRows= "&amp;Table1[[#This Row],[ignoreRows]])</f>
        <v/>
      </c>
      <c r="M161" s="22" t="str">
        <f>IF(Table1[[#This Row],[ignoreColumns]]=NOT(Table1[[#This Row],[ignoreColumns]]=0),"","ignoreColumns= "&amp;Table1[[#This Row],[ignoreColumns]])</f>
        <v/>
      </c>
      <c r="N161" s="23" t="str">
        <f>IF(Table1[[#This Row],[Data Type]]="set","Y","N")</f>
        <v>Y</v>
      </c>
      <c r="O161" s="23" t="str">
        <f>IF(Table1[[#This Row],[Values=No Data '[Y/N']]]="Y","values=NoData","")</f>
        <v>values=NoData</v>
      </c>
      <c r="P161" s="23" t="str">
        <f>Table1[[#This Row],[Data Type]]&amp;"="&amp;Table1[[#This Row],[Name]]&amp;"    rng="&amp;Table1[[#This Row],[Range]]&amp;"    "&amp;Table1[[#This Row],[Values gams input]]&amp;"    "&amp;Table1[[#This Row],[dim input gams]]&amp;"    "&amp;Table1[[#This Row],[cdim gams input]]&amp;"     "&amp;Table1[[#This Row],[rdim gams input]]&amp;"     "&amp;Table1[[#This Row],[ignore rows gams input]]&amp;"     "&amp;Table1[[#This Row],[ignore colums gams input]]</f>
        <v>set=kSol    rng=Sol_Props!A3:A10    values=NoData             rdim= 1          </v>
      </c>
    </row>
    <row r="162" x14ac:dyDescent="0.25">
      <c r="A162" s="21" t="s">
        <v>144</v>
      </c>
      <c r="B162" s="22" t="s">
        <v>609</v>
      </c>
      <c r="C162" s="22" t="s">
        <v>611</v>
      </c>
      <c r="D162" s="22"/>
      <c r="E162" s="22" t="str">
        <f>IF(Table1[[#This Row],[Dim]]=0,"","dim="&amp;Table1[[#This Row],[Dim]])</f>
        <v/>
      </c>
      <c r="F162" s="22"/>
      <c r="G162" s="22">
        <v>1</v>
      </c>
      <c r="H162" s="25" t="str">
        <f>IF(Table1[[#This Row],[Cdim]]=NOT(Table1[[#This Row],[Cdim]]=0),"","cdim= "&amp;Table1[[#This Row],[Cdim]])</f>
        <v/>
      </c>
      <c r="I162" s="25" t="str">
        <f>IF(Table1[[#This Row],[Rdim]]=NOT(Table1[[#This Row],[Rdim]]=0),"","rdim= "&amp;Table1[[#This Row],[Rdim]])</f>
        <v>rdim= 1</v>
      </c>
      <c r="J162" s="22"/>
      <c r="K162" s="22"/>
      <c r="L162" s="25" t="str">
        <f>IF(Table1[[#This Row],[ignoreRows]]=NOT(Table1[[#This Row],[ignoreRows]]=0),"","ignoreRows= "&amp;Table1[[#This Row],[ignoreRows]])</f>
        <v/>
      </c>
      <c r="M162" s="25" t="str">
        <f>IF(Table1[[#This Row],[ignoreColumns]]=NOT(Table1[[#This Row],[ignoreColumns]]=0),"","ignoreColumns= "&amp;Table1[[#This Row],[ignoreColumns]])</f>
        <v/>
      </c>
      <c r="N162" s="44" t="str">
        <f>IF(Table1[[#This Row],[Data Type]]="set","Y","N")</f>
        <v>Y</v>
      </c>
      <c r="O162" s="44" t="str">
        <f>IF(Table1[[#This Row],[Values=No Data '[Y/N']]]="Y","values=NoData","")</f>
        <v>values=NoData</v>
      </c>
      <c r="P162" s="23" t="str">
        <f>Table1[[#This Row],[Data Type]]&amp;"="&amp;Table1[[#This Row],[Name]]&amp;"    rng="&amp;Table1[[#This Row],[Range]]&amp;"    "&amp;Table1[[#This Row],[Values gams input]]&amp;"    "&amp;Table1[[#This Row],[dim input gams]]&amp;"    "&amp;Table1[[#This Row],[cdim gams input]]&amp;"     "&amp;Table1[[#This Row],[rdim gams input]]&amp;"     "&amp;Table1[[#This Row],[ignore rows gams input]]&amp;"     "&amp;Table1[[#This Row],[ignore colums gams input]]</f>
        <v>set=dkS    rng=Outlet_Spec!A2:A10    values=NoData             rdim= 1          </v>
      </c>
    </row>
    <row r="163" x14ac:dyDescent="0.25">
      <c r="A163" s="21" t="s">
        <v>144</v>
      </c>
      <c r="B163" s="22" t="s">
        <v>610</v>
      </c>
      <c r="C163" s="22" t="s">
        <v>612</v>
      </c>
      <c r="D163" s="22"/>
      <c r="E163" s="22" t="str">
        <f>IF(Table1[[#This Row],[Dim]]=0,"","dim="&amp;Table1[[#This Row],[Dim]])</f>
        <v/>
      </c>
      <c r="F163" s="22"/>
      <c r="G163" s="22">
        <v>1</v>
      </c>
      <c r="H163" s="25" t="str">
        <f>IF(Table1[[#This Row],[Cdim]]=NOT(Table1[[#This Row],[Cdim]]=0),"","cdim= "&amp;Table1[[#This Row],[Cdim]])</f>
        <v/>
      </c>
      <c r="I163" s="25" t="str">
        <f>IF(Table1[[#This Row],[Rdim]]=NOT(Table1[[#This Row],[Rdim]]=0),"","rdim= "&amp;Table1[[#This Row],[Rdim]])</f>
        <v>rdim= 1</v>
      </c>
      <c r="J163" s="22"/>
      <c r="K163" s="22"/>
      <c r="L163" s="25" t="str">
        <f>IF(Table1[[#This Row],[ignoreRows]]=NOT(Table1[[#This Row],[ignoreRows]]=0),"","ignoreRows= "&amp;Table1[[#This Row],[ignoreRows]])</f>
        <v/>
      </c>
      <c r="M163" s="25" t="str">
        <f>IF(Table1[[#This Row],[ignoreColumns]]=NOT(Table1[[#This Row],[ignoreColumns]]=0),"","ignoreColumns= "&amp;Table1[[#This Row],[ignoreColumns]])</f>
        <v/>
      </c>
      <c r="N163" s="44" t="str">
        <f>IF(Table1[[#This Row],[Data Type]]="set","Y","N")</f>
        <v>Y</v>
      </c>
      <c r="O163" s="44" t="str">
        <f>IF(Table1[[#This Row],[Values=No Data '[Y/N']]]="Y","values=NoData","")</f>
        <v>values=NoData</v>
      </c>
      <c r="P163" s="23" t="str">
        <f>Table1[[#This Row],[Data Type]]&amp;"="&amp;Table1[[#This Row],[Name]]&amp;"    rng="&amp;Table1[[#This Row],[Range]]&amp;"    "&amp;Table1[[#This Row],[Values gams input]]&amp;"    "&amp;Table1[[#This Row],[dim input gams]]&amp;"    "&amp;Table1[[#This Row],[cdim gams input]]&amp;"     "&amp;Table1[[#This Row],[rdim gams input]]&amp;"     "&amp;Table1[[#This Row],[ignore rows gams input]]&amp;"     "&amp;Table1[[#This Row],[ignore colums gams input]]</f>
        <v>set=dkO    rng=Outlet_Spec!F2:F5    values=NoData             rdim= 1          </v>
      </c>
    </row>
    <row r="164" x14ac:dyDescent="0.25">
      <c r="A164" s="35" t="s">
        <v>421</v>
      </c>
      <c r="B164" s="36" t="s">
        <v>422</v>
      </c>
      <c r="C164" s="36" t="s">
        <v>423</v>
      </c>
      <c r="D164" s="36"/>
      <c r="E164" s="36" t="str">
        <f>IF(Table1[[#This Row],[Dim]]=0,"","dim="&amp;Table1[[#This Row],[Dim]])</f>
        <v/>
      </c>
      <c r="F164" s="36"/>
      <c r="G164" s="37">
        <v>1</v>
      </c>
      <c r="H164" s="37" t="str">
        <f>IF(Table1[[#This Row],[Cdim]]=NOT(Table1[[#This Row],[Cdim]]=0),"","cdim= "&amp;Table1[[#This Row],[Cdim]])</f>
        <v/>
      </c>
      <c r="I164" s="37" t="str">
        <f>IF(Table1[[#This Row],[Rdim]]=NOT(Table1[[#This Row],[Rdim]]=0),"","rdim= "&amp;Table1[[#This Row],[Rdim]])</f>
        <v>rdim= 1</v>
      </c>
      <c r="J164" s="36"/>
      <c r="K164" s="37" t="s">
        <v>424</v>
      </c>
      <c r="L164" s="37" t="str">
        <f>IF(Table1[[#This Row],[ignoreRows]]=NOT(Table1[[#This Row],[ignoreRows]]=0),"","ignoreRows= "&amp;Table1[[#This Row],[ignoreRows]])</f>
        <v/>
      </c>
      <c r="M164" s="37" t="str">
        <f>IF(Table1[[#This Row],[ignoreColumns]]=NOT(Table1[[#This Row],[ignoreColumns]]=0),"","ignoreColumns= "&amp;Table1[[#This Row],[ignoreColumns]])</f>
        <v>ignoreColumns= B,C,E,F,G</v>
      </c>
      <c r="N164" s="44" t="str">
        <f>IF(Table1[[#This Row],[Data Type]]="set","Y","N")</f>
        <v>N</v>
      </c>
      <c r="O164" s="44" t="str">
        <f>IF(Table1[[#This Row],[Values=No Data '[Y/N']]]="Y","values=NoData","")</f>
        <v/>
      </c>
      <c r="P164" s="38" t="str">
        <f>Table1[[#This Row],[Data Type]]&amp;"="&amp;Table1[[#This Row],[Name]]&amp;"    rng="&amp;Table1[[#This Row],[Range]]&amp;"    "&amp;Table1[[#This Row],[Values gams input]]&amp;"    "&amp;Table1[[#This Row],[dim input gams]]&amp;"    "&amp;Table1[[#This Row],[cdim gams input]]&amp;"     "&amp;Table1[[#This Row],[rdim gams input]]&amp;"     "&amp;Table1[[#This Row],[ignore rows gams input]]&amp;"     "&amp;Table1[[#This Row],[ignore colums gams input]]</f>
        <v>Par=H_vap    rng=Matlab_Imports!a3:g30                 rdim= 1          ignoreColumns= B,C,E,F,G</v>
      </c>
    </row>
    <row r="165" x14ac:dyDescent="0.25">
      <c r="A165" s="35" t="s">
        <v>421</v>
      </c>
      <c r="B165" s="36" t="s">
        <v>425</v>
      </c>
      <c r="C165" s="36" t="s">
        <v>423</v>
      </c>
      <c r="D165" s="36"/>
      <c r="E165" s="36" t="str">
        <f>IF(Table1[[#This Row],[Dim]]=0,"","dim="&amp;Table1[[#This Row],[Dim]])</f>
        <v/>
      </c>
      <c r="F165" s="36"/>
      <c r="G165" s="37">
        <v>1</v>
      </c>
      <c r="H165" s="37" t="str">
        <f>IF(Table1[[#This Row],[Cdim]]=NOT(Table1[[#This Row],[Cdim]]=0),"","cdim= "&amp;Table1[[#This Row],[Cdim]])</f>
        <v/>
      </c>
      <c r="I165" s="37" t="str">
        <f>IF(Table1[[#This Row],[Rdim]]=NOT(Table1[[#This Row],[Rdim]]=0),"","rdim= "&amp;Table1[[#This Row],[Rdim]])</f>
        <v>rdim= 1</v>
      </c>
      <c r="J165" s="36"/>
      <c r="K165" s="37" t="s">
        <v>426</v>
      </c>
      <c r="L165" s="37" t="str">
        <f>IF(Table1[[#This Row],[ignoreRows]]=NOT(Table1[[#This Row],[ignoreRows]]=0),"","ignoreRows= "&amp;Table1[[#This Row],[ignoreRows]])</f>
        <v/>
      </c>
      <c r="M165" s="37" t="str">
        <f>IF(Table1[[#This Row],[ignoreColumns]]=NOT(Table1[[#This Row],[ignoreColumns]]=0),"","ignoreColumns= "&amp;Table1[[#This Row],[ignoreColumns]])</f>
        <v>ignoreColumns= B,C,D,F,G</v>
      </c>
      <c r="N165" s="44" t="str">
        <f>IF(Table1[[#This Row],[Data Type]]="set","Y","N")</f>
        <v>N</v>
      </c>
      <c r="O165" s="44" t="str">
        <f>IF(Table1[[#This Row],[Values=No Data '[Y/N']]]="Y","values=NoData","")</f>
        <v/>
      </c>
      <c r="P165" s="38" t="str">
        <f>Table1[[#This Row],[Data Type]]&amp;"="&amp;Table1[[#This Row],[Name]]&amp;"    rng="&amp;Table1[[#This Row],[Range]]&amp;"    "&amp;Table1[[#This Row],[Values gams input]]&amp;"    "&amp;Table1[[#This Row],[dim input gams]]&amp;"    "&amp;Table1[[#This Row],[cdim gams input]]&amp;"     "&amp;Table1[[#This Row],[rdim gams input]]&amp;"     "&amp;Table1[[#This Row],[ignore rows gams input]]&amp;"     "&amp;Table1[[#This Row],[ignore colums gams input]]</f>
        <v>Par=Cp    rng=Matlab_Imports!a3:g30                 rdim= 1          ignoreColumns= B,C,D,F,G</v>
      </c>
    </row>
    <row r="166" x14ac:dyDescent="0.25">
      <c r="A166" s="35" t="s">
        <v>421</v>
      </c>
      <c r="B166" s="36" t="s">
        <v>427</v>
      </c>
      <c r="C166" s="36" t="s">
        <v>423</v>
      </c>
      <c r="D166" s="36"/>
      <c r="E166" s="36" t="str">
        <f>IF(Table1[[#This Row],[Dim]]=0,"","dim="&amp;Table1[[#This Row],[Dim]])</f>
        <v/>
      </c>
      <c r="F166" s="36"/>
      <c r="G166" s="37">
        <v>1</v>
      </c>
      <c r="H166" s="37" t="str">
        <f>IF(Table1[[#This Row],[Cdim]]=NOT(Table1[[#This Row],[Cdim]]=0),"","cdim= "&amp;Table1[[#This Row],[Cdim]])</f>
        <v/>
      </c>
      <c r="I166" s="37" t="str">
        <f>IF(Table1[[#This Row],[Rdim]]=NOT(Table1[[#This Row],[Rdim]]=0),"","rdim= "&amp;Table1[[#This Row],[Rdim]])</f>
        <v>rdim= 1</v>
      </c>
      <c r="J166" s="36"/>
      <c r="K166" s="37" t="s">
        <v>428</v>
      </c>
      <c r="L166" s="37" t="str">
        <f>IF(Table1[[#This Row],[ignoreRows]]=NOT(Table1[[#This Row],[ignoreRows]]=0),"","ignoreRows= "&amp;Table1[[#This Row],[ignoreRows]])</f>
        <v/>
      </c>
      <c r="M166" s="37" t="str">
        <f>IF(Table1[[#This Row],[ignoreColumns]]=NOT(Table1[[#This Row],[ignoreColumns]]=0),"","ignoreColumns= "&amp;Table1[[#This Row],[ignoreColumns]])</f>
        <v>ignoreColumns= B,C,D,E,G</v>
      </c>
      <c r="N166" s="44" t="str">
        <f>IF(Table1[[#This Row],[Data Type]]="set","Y","N")</f>
        <v>N</v>
      </c>
      <c r="O166" s="44" t="str">
        <f>IF(Table1[[#This Row],[Values=No Data '[Y/N']]]="Y","values=NoData","")</f>
        <v/>
      </c>
      <c r="P166" s="38" t="str">
        <f>Table1[[#This Row],[Data Type]]&amp;"="&amp;Table1[[#This Row],[Name]]&amp;"    rng="&amp;Table1[[#This Row],[Range]]&amp;"    "&amp;Table1[[#This Row],[Values gams input]]&amp;"    "&amp;Table1[[#This Row],[dim input gams]]&amp;"    "&amp;Table1[[#This Row],[cdim gams input]]&amp;"     "&amp;Table1[[#This Row],[rdim gams input]]&amp;"     "&amp;Table1[[#This Row],[ignore rows gams input]]&amp;"     "&amp;Table1[[#This Row],[ignore colums gams input]]</f>
        <v>Par=Boil_P    rng=Matlab_Imports!a3:g30                 rdim= 1          ignoreColumns= B,C,D,E,G</v>
      </c>
    </row>
    <row r="167" x14ac:dyDescent="0.25">
      <c r="A167" s="39" t="s">
        <v>421</v>
      </c>
      <c r="B167" s="40" t="s">
        <v>429</v>
      </c>
      <c r="C167" s="40" t="s">
        <v>423</v>
      </c>
      <c r="D167" s="40"/>
      <c r="E167" s="36" t="str">
        <f>IF(Table1[[#This Row],[Dim]]=0,"","dim="&amp;Table1[[#This Row],[Dim]])</f>
        <v/>
      </c>
      <c r="F167" s="40"/>
      <c r="G167" s="41">
        <v>1</v>
      </c>
      <c r="H167" s="41" t="str">
        <f>IF(Table1[[#This Row],[Cdim]]=NOT(Table1[[#This Row],[Cdim]]=0),"","cdim= "&amp;Table1[[#This Row],[Cdim]])</f>
        <v/>
      </c>
      <c r="I167" s="41" t="str">
        <f>IF(Table1[[#This Row],[Rdim]]=NOT(Table1[[#This Row],[Rdim]]=0),"","rdim= "&amp;Table1[[#This Row],[Rdim]])</f>
        <v>rdim= 1</v>
      </c>
      <c r="J167" s="40"/>
      <c r="K167" s="41" t="s">
        <v>430</v>
      </c>
      <c r="L167" s="41" t="str">
        <f>IF(Table1[[#This Row],[ignoreRows]]=NOT(Table1[[#This Row],[ignoreRows]]=0),"","ignoreRows= "&amp;Table1[[#This Row],[ignoreRows]])</f>
        <v/>
      </c>
      <c r="M167" s="41" t="str">
        <f>IF(Table1[[#This Row],[ignoreColumns]]=NOT(Table1[[#This Row],[ignoreColumns]]=0),"","ignoreColumns= "&amp;Table1[[#This Row],[ignoreColumns]])</f>
        <v>ignoreColumns= B,C,D,E,F</v>
      </c>
      <c r="N167" s="45" t="str">
        <f>IF(Table1[[#This Row],[Data Type]]="set","Y","N")</f>
        <v>N</v>
      </c>
      <c r="O167" s="45" t="str">
        <f>IF(Table1[[#This Row],[Values=No Data '[Y/N']]]="Y","values=NoData","")</f>
        <v/>
      </c>
      <c r="P167" s="42" t="str">
        <f>Table1[[#This Row],[Data Type]]&amp;"="&amp;Table1[[#This Row],[Name]]&amp;"    rng="&amp;Table1[[#This Row],[Range]]&amp;"    "&amp;Table1[[#This Row],[Values gams input]]&amp;"    "&amp;Table1[[#This Row],[dim input gams]]&amp;"    "&amp;Table1[[#This Row],[cdim gams input]]&amp;"     "&amp;Table1[[#This Row],[rdim gams input]]&amp;"     "&amp;Table1[[#This Row],[ignore rows gams input]]&amp;"     "&amp;Table1[[#This Row],[ignore colums gams input]]</f>
        <v>Par=Melt_P    rng=Matlab_Imports!a3:g30                 rdim= 1          ignoreColumns= B,C,D,E,F</v>
      </c>
    </row>
  </sheetData>
  <dataConsolidate/>
  <phoneticPr fontId="4" type="noConversion"/>
  <conditionalFormatting sqref="R60:S73">
    <cfRule type="cellIs" dxfId="22" priority="1" operator="equal">
      <formula>1</formula>
    </cfRule>
    <cfRule type="cellIs" dxfId="21" priority="2" operator="equal">
      <formula>-1</formula>
    </cfRule>
  </conditionalFormatting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AG40"/>
  <sheetViews>
    <sheetView topLeftCell="A22" workbookViewId="0">
      <selection activeCell="G40" sqref="G40"/>
    </sheetView>
  </sheetViews>
  <sheetFormatPr defaultRowHeight="15" x14ac:dyDescent="0.25"/>
  <cols>
    <col min="5" max="5" width="12.85546875" bestFit="true" customWidth="true"/>
    <col min="6" max="6" width="46.28515625" customWidth="true"/>
    <col min="7" max="7" width="15.28515625" customWidth="true"/>
    <col min="8" max="8" width="14.5703125" customWidth="true"/>
  </cols>
  <sheetData>
    <row r="1" x14ac:dyDescent="0.25">
      <c r="F1" s="13" t="s">
        <v>111</v>
      </c>
      <c r="G1" s="13" t="s">
        <v>69</v>
      </c>
      <c r="H1" s="13" t="s">
        <v>92</v>
      </c>
      <c r="I1" s="13" t="s">
        <v>62</v>
      </c>
      <c r="J1" s="13" t="s">
        <v>73</v>
      </c>
      <c r="K1" s="13" t="s">
        <v>112</v>
      </c>
      <c r="L1" s="13" t="s">
        <v>77</v>
      </c>
      <c r="M1" s="13" t="s">
        <v>113</v>
      </c>
      <c r="N1" s="13" t="s">
        <v>114</v>
      </c>
      <c r="O1" s="13" t="s">
        <v>88</v>
      </c>
      <c r="P1" s="13" t="s">
        <v>99</v>
      </c>
      <c r="Q1" s="13" t="s">
        <v>63</v>
      </c>
      <c r="R1" s="13" t="s">
        <v>115</v>
      </c>
      <c r="S1" s="13" t="s">
        <v>95</v>
      </c>
      <c r="T1" s="13" t="s">
        <v>116</v>
      </c>
      <c r="U1" s="13" t="s">
        <v>117</v>
      </c>
      <c r="V1" s="13" t="s">
        <v>96</v>
      </c>
      <c r="W1" s="13" t="s">
        <v>104</v>
      </c>
      <c r="X1" s="13" t="s">
        <v>100</v>
      </c>
      <c r="Y1" s="13" t="s">
        <v>118</v>
      </c>
      <c r="Z1" s="13" t="s">
        <v>119</v>
      </c>
      <c r="AA1" s="13" t="s">
        <v>120</v>
      </c>
      <c r="AB1" s="13" t="s">
        <v>105</v>
      </c>
      <c r="AC1" s="13" t="s">
        <v>109</v>
      </c>
      <c r="AD1" s="13" t="s">
        <v>121</v>
      </c>
      <c r="AE1" s="13" t="s">
        <v>101</v>
      </c>
      <c r="AF1" s="13" t="s">
        <v>122</v>
      </c>
    </row>
    <row r="2" x14ac:dyDescent="0.25">
      <c r="F2" t="str" cm="1">
        <f t="array" ref="F2">_xlfn.CONCAT(IF(NOT(Con_mat!B2:B59=0),"",SUBSTITUTE(ADDRESS(ROW(Con_mat!B2:B59),1,4),"A","")&amp;","))</f>
        <v>4,5,7,8,10,11,13,14,16,17,18,19,20,21,22,23,24,25,26,27,28,29,30,31,32,33,34,35,36,37,38,39,40,41,42,43,44,45,46,47,48,49,50,52,53,54,55,56,57,58,59,</v>
      </c>
      <c r="G2" t="str" cm="1">
        <f t="array" ref="G2">_xlfn.CONCAT(IF(NOT(Con_mat!C2:C59=0),"",SUBSTITUTE(ADDRESS(ROW(Con_mat!C2:C59),1,4),"A","")&amp;","))</f>
        <v>2,6,7,8,9,10,11,12,13,14,15,16,17,18,19,20,21,22,23,24,25,26,27,28,29,30,31,32,33,34,35,36,37,38,39,40,41,42,43,44,45,46,47,48,49,50,51,52,53,54,55,56,57,58,59,</v>
      </c>
      <c r="H2" t="str" cm="1">
        <f t="array" ref="H2">_xlfn.CONCAT(IF(NOT(Con_mat!D2:D59=0),"",SUBSTITUTE(ADDRESS(ROW(Con_mat!D2:D59),1,4),"A","")&amp;","))</f>
        <v>2,3,4,5,9,10,11,12,13,14,15,16,17,18,19,20,21,22,23,24,25,26,27,28,29,30,31,32,33,34,35,36,37,38,39,40,41,42,43,44,45,46,47,48,49,50,51,52,53,54,55,56,57,58,59,</v>
      </c>
      <c r="I2" t="str" cm="1">
        <f t="array" ref="I2">_xlfn.CONCAT(IF(NOT(Con_mat!E2:E59=0),"",SUBSTITUTE(ADDRESS(ROW(Con_mat!E2:E59),1,4),"A","")&amp;","))</f>
        <v>2,3,4,5,6,7,8,12,13,14,15,16,17,18,19,20,21,22,23,24,25,26,27,28,29,30,31,32,33,34,35,36,37,38,39,40,41,42,43,44,45,46,47,48,49,50,51,52,53,54,55,56,57,58,59,</v>
      </c>
      <c r="J2" t="str" cm="1">
        <f t="array" ref="J2">_xlfn.CONCAT(IF(NOT(Con_mat!F2:F59=0),"",SUBSTITUTE(ADDRESS(ROW(Con_mat!F2:F59),1,4),"A","")&amp;","))</f>
        <v>2,3,4,5,6,7,8,9,10,11,15,16,17,18,19,20,21,22,23,24,25,26,27,28,29,30,31,32,33,34,35,36,37,38,39,40,41,42,43,44,45,46,47,48,49,50,51,52,53,54,55,56,57,58,59,</v>
      </c>
      <c r="K2" t="str" cm="1">
        <f t="array" ref="K2">_xlfn.CONCAT(IF(NOT(Con_mat!G2:G59=0),"",SUBSTITUTE(ADDRESS(ROW(Con_mat!G2:G59),1,4),"A","")&amp;","))</f>
        <v>2,3,4,5,6,7,8,9,10,11,12,13,14,15,16,17,18,19,20,21,22,23,24,25,26,27,28,29,30,31,32,33,34,35,36,37,38,39,40,41,42,43,44,45,46,47,48,49,50,53,54,55,56,57,58,59,</v>
      </c>
      <c r="L2" t="str" cm="1">
        <f t="array" ref="L2">_xlfn.CONCAT(IF(NOT(Con_mat!H2:H59=0),"",SUBSTITUTE(ADDRESS(ROW(Con_mat!H2:H59),1,4),"A","")&amp;","))</f>
        <v>2,3,4,5,6,7,8,9,10,11,12,13,14,18,19,20,21,22,23,24,25,26,27,28,29,30,31,32,33,34,35,36,37,38,39,40,41,42,43,44,45,46,47,48,49,50,51,52,53,54,55,56,57,58,59,</v>
      </c>
      <c r="M2" t="str" cm="1">
        <f t="array" ref="M2">_xlfn.CONCAT(IF(NOT(Con_mat!I2:I59=0),"",SUBSTITUTE(ADDRESS(ROW(Con_mat!I2:I59),1,4),"A","")&amp;","))</f>
        <v>2,3,4,6,7,9,10,12,13,15,16,19,20,21,22,23,24,25,26,27,28,29,30,31,32,33,34,35,36,37,38,39,40,41,42,43,44,45,46,47,48,49,50,51,53,54,55,56,57,58,59,</v>
      </c>
      <c r="N2" t="str" cm="1">
        <f t="array" ref="N2">_xlfn.CONCAT(IF(NOT(Con_mat!J2:J59=0),"",SUBSTITUTE(ADDRESS(ROW(Con_mat!J2:J59),1,4),"A","")&amp;","))</f>
        <v>2,3,4,5,6,7,8,9,10,11,12,13,14,15,16,17,20,21,23,24,26,27,29,30,31,32,33,34,35,36,37,38,39,40,41,42,43,44,45,46,47,48,49,50,51,52,54,55,56,57,58,59,</v>
      </c>
      <c r="O2" t="str" cm="1">
        <f t="array" ref="O2">_xlfn.CONCAT(IF(NOT(Con_mat!K2:K59=0),"",SUBSTITUTE(ADDRESS(ROW(Con_mat!K2:K59),1,4),"A","")&amp;","))</f>
        <v>2,3,4,5,6,7,8,9,10,11,12,13,14,15,16,17,18,22,23,24,25,26,27,28,29,30,31,32,33,34,35,36,37,38,39,40,41,42,43,44,45,46,47,48,49,50,51,52,53,54,55,56,57,58,59,</v>
      </c>
      <c r="P2" t="str" cm="1">
        <f t="array" ref="P2">_xlfn.CONCAT(IF(NOT(Con_mat!L2:L59=0),"",SUBSTITUTE(ADDRESS(ROW(Con_mat!L2:L59),1,4),"A","")&amp;","))</f>
        <v>2,3,4,5,6,7,8,9,10,11,12,13,14,15,16,17,18,19,20,21,25,26,27,28,29,30,31,32,33,34,35,36,37,38,39,40,41,42,43,44,45,46,47,48,49,50,51,52,53,54,55,56,57,58,59,</v>
      </c>
      <c r="Q2" t="str" cm="1">
        <f t="array" ref="Q2">_xlfn.CONCAT(IF(NOT(Con_mat!M2:M59=0),"",SUBSTITUTE(ADDRESS(ROW(Con_mat!M2:M59),1,4),"A","")&amp;","))</f>
        <v>2,3,4,5,6,7,8,9,10,11,12,13,14,15,16,17,18,19,20,21,22,23,24,28,29,30,31,32,33,34,35,36,37,38,39,40,41,42,43,44,45,46,47,48,49,50,51,52,53,54,55,56,57,58,59,</v>
      </c>
      <c r="R2" t="str" cm="1">
        <f t="array" ref="R2">_xlfn.CONCAT(IF(NOT(Con_mat!N2:N59=0),"",SUBSTITUTE(ADDRESS(ROW(Con_mat!N2:N59),1,4),"A","")&amp;","))</f>
        <v>2,3,4,5,6,7,8,9,10,11,12,13,14,15,16,17,18,19,20,21,22,23,24,25,26,27,28,29,30,31,32,33,34,35,36,37,38,39,40,41,42,43,44,45,46,47,48,49,50,51,52,55,56,57,58,59,</v>
      </c>
      <c r="S2" t="str" cm="1">
        <f t="array" ref="S2">_xlfn.CONCAT(IF(NOT(Con_mat!O2:O59=0),"",SUBSTITUTE(ADDRESS(ROW(Con_mat!O2:O59),1,4),"A","")&amp;","))</f>
        <v>2,3,4,5,6,7,8,9,10,11,12,13,14,15,16,17,18,19,20,21,22,23,24,25,26,27,31,32,33,34,35,36,37,38,39,40,41,42,43,44,45,46,47,48,49,50,51,52,53,54,55,56,57,58,59,</v>
      </c>
      <c r="T2" t="str" cm="1">
        <f t="array" ref="T2">_xlfn.CONCAT(IF(NOT(Con_mat!P2:P59=0),"",SUBSTITUTE(ADDRESS(ROW(Con_mat!P2:P59),1,4),"A","")&amp;","))</f>
        <v>2,3,4,5,6,7,8,9,10,11,12,13,14,15,16,17,18,19,20,22,23,25,26,28,29,32,33,34,35,36,37,38,39,40,41,42,43,44,45,46,47,48,49,50,51,52,53,55,56,57,58,59,</v>
      </c>
      <c r="U2" t="str" cm="1">
        <f t="array" ref="U2">_xlfn.CONCAT(IF(NOT(Con_mat!Q2:Q59=0),"",SUBSTITUTE(ADDRESS(ROW(Con_mat!Q2:Q59),1,4),"A","")&amp;","))</f>
        <v>2,3,4,5,6,7,8,9,10,11,12,13,14,15,16,17,18,19,20,21,22,23,24,25,26,27,28,29,30,33,34,36,37,39,40,41,42,43,44,45,46,47,48,49,50,51,52,53,54,56,57,58,59,</v>
      </c>
      <c r="V2" t="str" cm="1">
        <f t="array" ref="V2">_xlfn.CONCAT(IF(NOT(Con_mat!R2:R59=0),"",SUBSTITUTE(ADDRESS(ROW(Con_mat!R2:R59),1,4),"A","")&amp;","))</f>
        <v>2,3,4,5,6,7,8,9,10,11,12,13,14,15,16,17,18,19,20,21,22,23,24,25,26,27,28,29,30,31,35,36,37,38,39,40,41,42,43,44,45,46,47,48,49,50,51,52,53,54,55,56,57,58,59,</v>
      </c>
      <c r="W2" t="str" cm="1">
        <f t="array" ref="W2">_xlfn.CONCAT(IF(NOT(Con_mat!S2:S59=0),"",SUBSTITUTE(ADDRESS(ROW(Con_mat!S2:S59),1,4),"A","")&amp;","))</f>
        <v>2,3,4,5,6,7,8,9,10,11,12,13,14,15,16,17,18,19,20,21,22,23,24,25,26,27,28,29,30,31,32,33,34,38,39,40,41,42,43,44,45,46,47,48,49,50,51,52,53,54,55,56,57,58,59,</v>
      </c>
      <c r="X2" t="str" cm="1">
        <f t="array" ref="X2">_xlfn.CONCAT(IF(NOT(Con_mat!T2:T59=0),"",SUBSTITUTE(ADDRESS(ROW(Con_mat!T2:T59),1,4),"A","")&amp;","))</f>
        <v>2,3,4,5,6,7,8,9,10,11,12,13,14,15,16,17,18,19,20,21,22,23,24,25,26,27,28,29,30,31,32,33,34,35,36,37,41,42,43,44,45,46,47,48,49,50,51,52,53,54,55,56,57,58,59,</v>
      </c>
      <c r="Y2" t="str" cm="1">
        <f t="array" ref="Y2">_xlfn.CONCAT(IF(NOT(Con_mat!U2:U59=0),"",SUBSTITUTE(ADDRESS(ROW(Con_mat!U2:U59),1,4),"A","")&amp;","))</f>
        <v>2,3,4,5,6,7,8,9,10,11,12,13,14,15,16,17,18,19,20,21,22,23,24,25,26,27,28,29,30,31,32,33,34,35,36,37,38,39,40,41,42,43,44,45,46,47,48,49,50,51,52,53,54,57,58,59,</v>
      </c>
      <c r="Z2" t="str" cm="1">
        <f t="array" ref="Z2">_xlfn.CONCAT(IF(NOT(Con_mat!V2:V59=0),"",SUBSTITUTE(ADDRESS(ROW(Con_mat!V2:V59),1,4),"A","")&amp;","))</f>
        <v>2,3,4,5,6,7,8,9,10,11,12,13,14,15,16,17,18,19,20,21,22,23,24,25,26,27,28,29,30,31,32,33,35,36,38,39,42,43,44,45,46,47,48,49,50,51,52,53,54,55,57,58,59,</v>
      </c>
      <c r="AA2" t="str" cm="1">
        <f t="array" ref="AA2">_xlfn.CONCAT(IF(NOT(Con_mat!W2:W59=0),"",SUBSTITUTE(ADDRESS(ROW(Con_mat!W2:W59),1,4),"A","")&amp;","))</f>
        <v>2,3,4,5,6,7,8,9,10,11,12,13,14,15,16,17,18,19,20,21,22,23,24,25,26,27,28,29,30,31,32,33,34,35,36,37,38,39,40,43,44,46,47,49,50,51,52,53,54,55,56,58,59,</v>
      </c>
      <c r="AB2" t="str" cm="1">
        <f t="array" ref="AB2">_xlfn.CONCAT(IF(NOT(Con_mat!X2:X59=0),"",SUBSTITUTE(ADDRESS(ROW(Con_mat!X2:X59),1,4),"A","")&amp;","))</f>
        <v>2,3,4,5,6,7,8,9,10,11,12,13,14,15,16,17,18,19,20,21,22,23,24,25,26,27,28,29,30,31,32,33,34,35,36,37,38,39,40,41,45,46,47,48,49,50,51,52,53,54,55,56,57,58,59,</v>
      </c>
      <c r="AC2" t="str" cm="1">
        <f t="array" ref="AC2">_xlfn.CONCAT(IF(NOT(Con_mat!Y2:Y59=0),"",SUBSTITUTE(ADDRESS(ROW(Con_mat!Y2:Y59),1,4),"A","")&amp;","))</f>
        <v>2,3,4,5,6,7,8,9,10,11,12,13,14,15,16,17,18,19,20,21,22,23,24,25,26,27,28,29,30,31,32,33,34,35,36,37,38,39,40,41,42,43,44,48,49,50,51,52,53,54,55,56,57,58,59,</v>
      </c>
      <c r="AD2" t="str" cm="1">
        <f t="array" ref="AD2">_xlfn.CONCAT(IF(NOT(Con_mat!Z2:Z59=0),"",SUBSTITUTE(ADDRESS(ROW(Con_mat!Z2:Z59),1,4),"A","")&amp;","))</f>
        <v>2,3,4,5,6,7,8,9,10,11,12,13,14,15,16,17,18,19,20,21,22,23,24,25,26,27,28,29,30,31,32,33,34,35,36,37,38,39,40,41,42,43,44,45,46,47,48,49,50,51,52,53,54,55,56,59,</v>
      </c>
      <c r="AE2" t="str" cm="1">
        <f t="array" ref="AE2">_xlfn.CONCAT(IF(NOT(Con_mat!AA2:AA59=0),"",SUBSTITUTE(ADDRESS(ROW(Con_mat!AA2:AA59),1,4),"A","")&amp;","))</f>
        <v>2,3,4,5,6,7,8,9,10,11,12,13,14,15,16,17,18,19,20,21,22,23,24,25,26,27,28,29,30,31,32,33,34,35,36,37,38,39,40,41,42,43,44,45,46,47,51,52,53,54,55,56,57,58,59,</v>
      </c>
      <c r="AF2" t="str" cm="1">
        <f t="array" ref="AF2">_xlfn.CONCAT(IF(NOT(Con_mat!AB2:AB59=0),"",SUBSTITUTE(ADDRESS(ROW(Con_mat!AB2:AB59),1,4),"A","")&amp;","))</f>
        <v>2,3,4,5,6,7,8,9,10,11,12,13,14,15,16,17,18,19,20,21,22,23,24,25,26,27,28,29,30,31,32,33,34,35,36,37,38,39,40,41,42,43,45,46,48,49,51,52,53,54,55,56,57,</v>
      </c>
      <c r="AG2" t="str" cm="1">
        <f t="array" ref="AG2">_xlfn.CONCAT(IF(NOT(Con_mat!AC2:AC60=0),"",SUBSTITUTE(ADDRESS(ROW(Con_mat!AC2:AC60),1,4),"A","")&amp;","))</f>
        <v>2,3,5,6,8,9,11,12,14,15,17,18,19,21,22,24,25,27,28,30,31,32,34,35,37,38,40,41,42,44,45,47,48,50,51,52,53,54,55,56,57,58,59,</v>
      </c>
    </row>
    <row r="3" x14ac:dyDescent="0.25">
      <c r="E3" s="29" t="s">
        <v>431</v>
      </c>
      <c r="F3" s="29" t="str">
        <f t="shared" ref="F3:AG3" si="0">LEFT(F2,LEN(F2)-1)</f>
        <v>4,5,7,8,10,11,13,14,16,17,18,19,20,21,22,23,24,25,26,27,28,29,30,31,32,33,34,35,36,37,38,39,40,41,42,43,44,45,46,47,48,49,50,52,53,54,55,56,57,58,59</v>
      </c>
      <c r="G3" s="29" t="str">
        <f t="shared" si="0"/>
        <v>2,6,7,8,9,10,11,12,13,14,15,16,17,18,19,20,21,22,23,24,25,26,27,28,29,30,31,32,33,34,35,36,37,38,39,40,41,42,43,44,45,46,47,48,49,50,51,52,53,54,55,56,57,58,59</v>
      </c>
      <c r="H3" s="29" t="str">
        <f t="shared" si="0"/>
        <v>2,3,4,5,9,10,11,12,13,14,15,16,17,18,19,20,21,22,23,24,25,26,27,28,29,30,31,32,33,34,35,36,37,38,39,40,41,42,43,44,45,46,47,48,49,50,51,52,53,54,55,56,57,58,59</v>
      </c>
      <c r="I3" s="29" t="str">
        <f t="shared" si="0"/>
        <v>2,3,4,5,6,7,8,12,13,14,15,16,17,18,19,20,21,22,23,24,25,26,27,28,29,30,31,32,33,34,35,36,37,38,39,40,41,42,43,44,45,46,47,48,49,50,51,52,53,54,55,56,57,58,59</v>
      </c>
      <c r="J3" s="29" t="str">
        <f t="shared" si="0"/>
        <v>2,3,4,5,6,7,8,9,10,11,15,16,17,18,19,20,21,22,23,24,25,26,27,28,29,30,31,32,33,34,35,36,37,38,39,40,41,42,43,44,45,46,47,48,49,50,51,52,53,54,55,56,57,58,59</v>
      </c>
      <c r="K3" s="29" t="str">
        <f t="shared" si="0"/>
        <v>2,3,4,5,6,7,8,9,10,11,12,13,14,15,16,17,18,19,20,21,22,23,24,25,26,27,28,29,30,31,32,33,34,35,36,37,38,39,40,41,42,43,44,45,46,47,48,49,50,53,54,55,56,57,58,59</v>
      </c>
      <c r="L3" s="29" t="str">
        <f t="shared" si="0"/>
        <v>2,3,4,5,6,7,8,9,10,11,12,13,14,18,19,20,21,22,23,24,25,26,27,28,29,30,31,32,33,34,35,36,37,38,39,40,41,42,43,44,45,46,47,48,49,50,51,52,53,54,55,56,57,58,59</v>
      </c>
      <c r="M3" s="29" t="str">
        <f t="shared" si="0"/>
        <v>2,3,4,6,7,9,10,12,13,15,16,19,20,21,22,23,24,25,26,27,28,29,30,31,32,33,34,35,36,37,38,39,40,41,42,43,44,45,46,47,48,49,50,51,53,54,55,56,57,58,59</v>
      </c>
      <c r="N3" s="29" t="str">
        <f t="shared" si="0"/>
        <v>2,3,4,5,6,7,8,9,10,11,12,13,14,15,16,17,20,21,23,24,26,27,29,30,31,32,33,34,35,36,37,38,39,40,41,42,43,44,45,46,47,48,49,50,51,52,54,55,56,57,58,59</v>
      </c>
      <c r="O3" s="29" t="str">
        <f t="shared" si="0"/>
        <v>2,3,4,5,6,7,8,9,10,11,12,13,14,15,16,17,18,22,23,24,25,26,27,28,29,30,31,32,33,34,35,36,37,38,39,40,41,42,43,44,45,46,47,48,49,50,51,52,53,54,55,56,57,58,59</v>
      </c>
      <c r="P3" s="29" t="str">
        <f t="shared" si="0"/>
        <v>2,3,4,5,6,7,8,9,10,11,12,13,14,15,16,17,18,19,20,21,25,26,27,28,29,30,31,32,33,34,35,36,37,38,39,40,41,42,43,44,45,46,47,48,49,50,51,52,53,54,55,56,57,58,59</v>
      </c>
      <c r="Q3" s="29" t="str">
        <f t="shared" si="0"/>
        <v>2,3,4,5,6,7,8,9,10,11,12,13,14,15,16,17,18,19,20,21,22,23,24,28,29,30,31,32,33,34,35,36,37,38,39,40,41,42,43,44,45,46,47,48,49,50,51,52,53,54,55,56,57,58,59</v>
      </c>
      <c r="R3" s="29" t="str">
        <f t="shared" si="0"/>
        <v>2,3,4,5,6,7,8,9,10,11,12,13,14,15,16,17,18,19,20,21,22,23,24,25,26,27,28,29,30,31,32,33,34,35,36,37,38,39,40,41,42,43,44,45,46,47,48,49,50,51,52,55,56,57,58,59</v>
      </c>
      <c r="S3" s="29" t="str">
        <f t="shared" si="0"/>
        <v>2,3,4,5,6,7,8,9,10,11,12,13,14,15,16,17,18,19,20,21,22,23,24,25,26,27,31,32,33,34,35,36,37,38,39,40,41,42,43,44,45,46,47,48,49,50,51,52,53,54,55,56,57,58,59</v>
      </c>
      <c r="T3" s="29" t="str">
        <f t="shared" si="0"/>
        <v>2,3,4,5,6,7,8,9,10,11,12,13,14,15,16,17,18,19,20,22,23,25,26,28,29,32,33,34,35,36,37,38,39,40,41,42,43,44,45,46,47,48,49,50,51,52,53,55,56,57,58,59</v>
      </c>
      <c r="U3" s="29" t="str">
        <f t="shared" si="0"/>
        <v>2,3,4,5,6,7,8,9,10,11,12,13,14,15,16,17,18,19,20,21,22,23,24,25,26,27,28,29,30,33,34,36,37,39,40,41,42,43,44,45,46,47,48,49,50,51,52,53,54,56,57,58,59</v>
      </c>
      <c r="V3" s="29" t="str">
        <f t="shared" si="0"/>
        <v>2,3,4,5,6,7,8,9,10,11,12,13,14,15,16,17,18,19,20,21,22,23,24,25,26,27,28,29,30,31,35,36,37,38,39,40,41,42,43,44,45,46,47,48,49,50,51,52,53,54,55,56,57,58,59</v>
      </c>
      <c r="W3" s="29" t="str">
        <f t="shared" si="0"/>
        <v>2,3,4,5,6,7,8,9,10,11,12,13,14,15,16,17,18,19,20,21,22,23,24,25,26,27,28,29,30,31,32,33,34,38,39,40,41,42,43,44,45,46,47,48,49,50,51,52,53,54,55,56,57,58,59</v>
      </c>
      <c r="X3" s="29" t="str">
        <f t="shared" si="0"/>
        <v>2,3,4,5,6,7,8,9,10,11,12,13,14,15,16,17,18,19,20,21,22,23,24,25,26,27,28,29,30,31,32,33,34,35,36,37,41,42,43,44,45,46,47,48,49,50,51,52,53,54,55,56,57,58,59</v>
      </c>
      <c r="Y3" s="29" t="str">
        <f t="shared" si="0"/>
        <v>2,3,4,5,6,7,8,9,10,11,12,13,14,15,16,17,18,19,20,21,22,23,24,25,26,27,28,29,30,31,32,33,34,35,36,37,38,39,40,41,42,43,44,45,46,47,48,49,50,51,52,53,54,57,58,59</v>
      </c>
      <c r="Z3" s="29" t="str">
        <f t="shared" si="0"/>
        <v>2,3,4,5,6,7,8,9,10,11,12,13,14,15,16,17,18,19,20,21,22,23,24,25,26,27,28,29,30,31,32,33,35,36,38,39,42,43,44,45,46,47,48,49,50,51,52,53,54,55,57,58,59</v>
      </c>
      <c r="AA3" s="29" t="str">
        <f t="shared" si="0"/>
        <v>2,3,4,5,6,7,8,9,10,11,12,13,14,15,16,17,18,19,20,21,22,23,24,25,26,27,28,29,30,31,32,33,34,35,36,37,38,39,40,43,44,46,47,49,50,51,52,53,54,55,56,58,59</v>
      </c>
      <c r="AB3" s="29" t="str">
        <f t="shared" si="0"/>
        <v>2,3,4,5,6,7,8,9,10,11,12,13,14,15,16,17,18,19,20,21,22,23,24,25,26,27,28,29,30,31,32,33,34,35,36,37,38,39,40,41,45,46,47,48,49,50,51,52,53,54,55,56,57,58,59</v>
      </c>
      <c r="AC3" s="29" t="str">
        <f t="shared" si="0"/>
        <v>2,3,4,5,6,7,8,9,10,11,12,13,14,15,16,17,18,19,20,21,22,23,24,25,26,27,28,29,30,31,32,33,34,35,36,37,38,39,40,41,42,43,44,48,49,50,51,52,53,54,55,56,57,58,59</v>
      </c>
      <c r="AD3" s="29" t="str">
        <f t="shared" si="0"/>
        <v>2,3,4,5,6,7,8,9,10,11,12,13,14,15,16,17,18,19,20,21,22,23,24,25,26,27,28,29,30,31,32,33,34,35,36,37,38,39,40,41,42,43,44,45,46,47,48,49,50,51,52,53,54,55,56,59</v>
      </c>
      <c r="AE3" s="29" t="str">
        <f t="shared" si="0"/>
        <v>2,3,4,5,6,7,8,9,10,11,12,13,14,15,16,17,18,19,20,21,22,23,24,25,26,27,28,29,30,31,32,33,34,35,36,37,38,39,40,41,42,43,44,45,46,47,51,52,53,54,55,56,57,58,59</v>
      </c>
      <c r="AF3" s="29" t="str">
        <f t="shared" si="0"/>
        <v>2,3,4,5,6,7,8,9,10,11,12,13,14,15,16,17,18,19,20,21,22,23,24,25,26,27,28,29,30,31,32,33,34,35,36,37,38,39,40,41,42,43,45,46,48,49,51,52,53,54,55,56,57</v>
      </c>
      <c r="AG3" s="29" t="str">
        <f t="shared" si="0"/>
        <v>2,3,5,6,8,9,11,12,14,15,17,18,19,21,22,24,25,27,28,30,31,32,34,35,37,38,40,41,42,44,45,47,48,50,51,52,53,54,55,56,57,58,59</v>
      </c>
    </row>
    <row r="4" x14ac:dyDescent="0.25">
      <c r="E4" t="s">
        <v>432</v>
      </c>
      <c r="F4" t="str" cm="1">
        <f t="array" ref="F4">_xlfn.CONCAT(IF(NOT(Con_mat!B2:B59=1),SUBSTITUTE(ADDRESS(ROW(Con_mat!B2:B59),1,4),"A","")&amp;",",""))</f>
        <v>3,4,5,6,7,8,9,10,11,12,13,14,15,16,17,18,19,20,21,22,23,24,25,26,27,28,29,30,31,32,33,34,35,36,37,38,39,40,41,42,43,44,45,46,47,48,49,50,51,52,53,54,55,56,57,58,59,</v>
      </c>
      <c r="G4" t="str" cm="1">
        <f t="array" ref="G4">_xlfn.CONCAT(IF(NOT(Con_mat!C2:C59=1),SUBSTITUTE(ADDRESS(ROW(Con_mat!C2:C59),1,4),"A","")&amp;",",""))</f>
        <v>2,4,5,6,7,8,9,10,11,12,13,14,15,16,17,18,19,20,21,22,23,24,25,26,27,28,29,30,31,32,33,34,35,36,37,38,39,40,41,42,43,44,45,46,47,48,49,50,51,52,53,54,55,56,57,58,59,</v>
      </c>
      <c r="H4" t="str" cm="1">
        <f t="array" ref="H4">_xlfn.CONCAT(IF(NOT(Con_mat!D2:D59=1),SUBSTITUTE(ADDRESS(ROW(Con_mat!D2:D59),1,4),"A","")&amp;",",""))</f>
        <v>2,3,4,5,7,8,9,10,11,12,13,14,15,16,17,18,19,20,21,22,23,24,25,26,27,28,29,30,31,32,33,34,35,36,37,38,39,40,41,42,43,44,45,46,47,48,49,50,51,52,53,54,55,56,57,58,59,</v>
      </c>
      <c r="I4" t="str" cm="1">
        <f t="array" ref="I4">_xlfn.CONCAT(IF(NOT(Con_mat!E2:E59=1),SUBSTITUTE(ADDRESS(ROW(Con_mat!E2:E59),1,4),"A","")&amp;",",""))</f>
        <v>2,3,4,5,6,7,8,10,11,12,13,14,15,16,17,18,19,20,21,22,23,24,25,26,27,28,29,30,31,32,33,34,35,36,37,38,39,40,41,42,43,44,45,46,47,48,49,50,51,52,53,54,55,56,57,58,59,</v>
      </c>
      <c r="J4" t="str" cm="1">
        <f t="array" ref="J4">_xlfn.CONCAT(IF(NOT(Con_mat!F2:F59=1),SUBSTITUTE(ADDRESS(ROW(Con_mat!F2:F59),1,4),"A","")&amp;",",""))</f>
        <v>2,3,4,5,6,7,8,9,10,11,13,14,15,16,17,18,19,20,21,22,23,24,25,26,27,28,29,30,31,32,33,34,35,36,37,38,39,40,41,42,43,44,45,46,47,48,49,50,51,52,53,54,55,56,57,58,59,</v>
      </c>
      <c r="K4" t="str" cm="1">
        <f t="array" ref="K4">_xlfn.CONCAT(IF(NOT(Con_mat!G2:G59=1),SUBSTITUTE(ADDRESS(ROW(Con_mat!G2:G59),1,4),"A","")&amp;",",""))</f>
        <v>2,3,4,5,6,7,8,9,10,11,12,13,14,15,16,17,18,19,20,21,22,23,24,25,26,27,28,29,30,31,32,33,34,35,36,37,38,39,40,41,42,43,44,45,46,47,48,49,50,52,53,54,55,56,57,58,59,</v>
      </c>
      <c r="L4" t="str" cm="1">
        <f t="array" ref="L4">_xlfn.CONCAT(IF(NOT(Con_mat!H2:H59=1),SUBSTITUTE(ADDRESS(ROW(Con_mat!H2:H59),1,4),"A","")&amp;",",""))</f>
        <v>2,3,4,5,6,7,8,9,10,11,12,13,14,16,17,18,19,20,21,22,23,24,25,26,27,28,29,30,31,32,33,34,35,36,37,38,39,40,41,42,43,44,45,46,47,48,49,50,51,52,53,54,55,56,57,58,59,</v>
      </c>
      <c r="M4" t="str" cm="1">
        <f t="array" ref="M4">_xlfn.CONCAT(IF(NOT(Con_mat!I2:I59=1),SUBSTITUTE(ADDRESS(ROW(Con_mat!I2:I59),1,4),"A","")&amp;",",""))</f>
        <v>2,3,4,6,7,9,10,12,13,15,16,18,19,20,21,22,23,24,25,26,27,28,29,30,31,32,33,34,35,36,37,38,39,40,41,42,43,44,45,46,47,48,49,50,51,53,54,55,56,57,58,59,</v>
      </c>
      <c r="N4" t="str" cm="1">
        <f t="array" ref="N4">_xlfn.CONCAT(IF(NOT(Con_mat!J2:J59=1),SUBSTITUTE(ADDRESS(ROW(Con_mat!J2:J59),1,4),"A","")&amp;",",""))</f>
        <v>2,3,4,5,6,7,8,9,10,11,12,13,14,15,16,17,19,20,21,22,23,24,25,26,27,28,29,30,31,32,33,34,35,36,37,38,39,40,41,42,43,44,45,46,47,48,49,50,51,52,53,54,55,56,57,58,59,</v>
      </c>
      <c r="O4" t="str" cm="1">
        <f t="array" ref="O4">_xlfn.CONCAT(IF(NOT(Con_mat!K2:K59=1),SUBSTITUTE(ADDRESS(ROW(Con_mat!K2:K59),1,4),"A","")&amp;",",""))</f>
        <v>2,3,4,5,6,7,8,9,10,11,12,13,14,15,16,17,18,20,21,22,23,24,25,26,27,28,29,30,31,32,33,34,35,36,37,38,39,40,41,42,43,44,45,46,47,48,49,50,51,52,53,54,55,56,57,58,59,</v>
      </c>
      <c r="P4" t="str" cm="1">
        <f t="array" ref="P4">_xlfn.CONCAT(IF(NOT(Con_mat!L2:L59=1),SUBSTITUTE(ADDRESS(ROW(Con_mat!L2:L59),1,4),"A","")&amp;",",""))</f>
        <v>2,3,4,5,6,7,8,9,10,11,12,13,14,15,16,17,18,19,20,21,23,24,25,26,27,28,29,30,31,32,33,34,35,36,37,38,39,40,41,42,43,44,45,46,47,48,49,50,51,52,53,54,55,56,57,58,59,</v>
      </c>
      <c r="Q4" t="str" cm="1">
        <f t="array" ref="Q4">_xlfn.CONCAT(IF(NOT(Con_mat!M2:M59=1),SUBSTITUTE(ADDRESS(ROW(Con_mat!M2:M59),1,4),"A","")&amp;",",""))</f>
        <v>2,3,4,5,6,7,8,9,10,11,12,13,14,15,16,17,18,19,20,21,22,23,24,26,27,28,29,30,31,32,33,34,35,36,37,38,39,40,41,42,43,44,45,46,47,48,49,50,51,52,53,54,55,56,57,58,59,</v>
      </c>
      <c r="R4" t="str" cm="1">
        <f t="array" ref="R4">_xlfn.CONCAT(IF(NOT(Con_mat!N2:N59=1),SUBSTITUTE(ADDRESS(ROW(Con_mat!N2:N59),1,4),"A","")&amp;",",""))</f>
        <v>2,3,4,5,6,7,8,9,10,11,12,13,14,15,16,17,18,19,20,21,22,23,24,25,26,27,28,29,30,31,32,33,34,35,36,37,38,39,40,41,42,43,44,45,46,47,48,49,50,51,52,54,55,56,57,58,59,</v>
      </c>
      <c r="S4" t="str" cm="1">
        <f t="array" ref="S4">_xlfn.CONCAT(IF(NOT(Con_mat!O2:O59=1),SUBSTITUTE(ADDRESS(ROW(Con_mat!O2:O59),1,4),"A","")&amp;",",""))</f>
        <v>2,3,4,5,6,7,8,9,10,11,12,13,14,15,16,17,18,19,20,21,22,23,24,25,26,27,29,30,31,32,33,34,35,36,37,38,39,40,41,42,43,44,45,46,47,48,49,50,51,52,53,54,55,56,57,58,59,</v>
      </c>
      <c r="T4" t="str" cm="1">
        <f t="array" ref="T4">_xlfn.CONCAT(IF(NOT(Con_mat!P2:P59=1),SUBSTITUTE(ADDRESS(ROW(Con_mat!P2:P59),1,4),"A","")&amp;",",""))</f>
        <v>2,3,4,5,6,7,8,9,10,11,12,13,14,15,16,17,18,19,20,22,23,25,26,28,29,31,32,33,34,35,36,37,38,39,40,41,42,43,44,45,46,47,48,49,50,51,52,53,55,56,57,58,59,</v>
      </c>
      <c r="U4" t="str" cm="1">
        <f t="array" ref="U4">_xlfn.CONCAT(IF(NOT(Con_mat!Q2:Q59=1),SUBSTITUTE(ADDRESS(ROW(Con_mat!Q2:Q59),1,4),"A","")&amp;",",""))</f>
        <v>2,3,4,5,6,7,8,9,10,11,12,13,14,15,16,17,18,19,20,21,22,23,24,25,26,27,28,29,30,32,33,34,35,36,37,38,39,40,41,42,43,44,45,46,47,48,49,50,51,52,53,54,55,56,57,58,59,</v>
      </c>
      <c r="V4" t="str" cm="1">
        <f t="array" ref="V4">_xlfn.CONCAT(IF(NOT(Con_mat!R2:R59=1),SUBSTITUTE(ADDRESS(ROW(Con_mat!R2:R59),1,4),"A","")&amp;",",""))</f>
        <v>2,3,4,5,6,7,8,9,10,11,12,13,14,15,16,17,18,19,20,21,22,23,24,25,26,27,28,29,30,31,33,34,35,36,37,38,39,40,41,42,43,44,45,46,47,48,49,50,51,52,53,54,55,56,57,58,59,</v>
      </c>
      <c r="W4" t="str" cm="1">
        <f t="array" ref="W4">_xlfn.CONCAT(IF(NOT(Con_mat!S2:S59=1),SUBSTITUTE(ADDRESS(ROW(Con_mat!S2:S59),1,4),"A","")&amp;",",""))</f>
        <v>2,3,4,5,6,7,8,9,10,11,12,13,14,15,16,17,18,19,20,21,22,23,24,25,26,27,28,29,30,31,32,33,34,36,37,38,39,40,41,42,43,44,45,46,47,48,49,50,51,52,53,54,55,56,57,58,59,</v>
      </c>
      <c r="X4" t="str" cm="1">
        <f t="array" ref="X4">_xlfn.CONCAT(IF(NOT(Con_mat!T2:T59=1),SUBSTITUTE(ADDRESS(ROW(Con_mat!T2:T59),1,4),"A","")&amp;",",""))</f>
        <v>2,3,4,5,6,7,8,9,10,11,12,13,14,15,16,17,18,19,20,21,22,23,24,25,26,27,28,29,30,31,32,33,34,35,36,37,39,40,41,42,43,44,45,46,47,48,49,50,51,52,53,54,55,56,57,58,59,</v>
      </c>
      <c r="Y4" t="str" cm="1">
        <f t="array" ref="Y4">_xlfn.CONCAT(IF(NOT(Con_mat!U2:U59=1),SUBSTITUTE(ADDRESS(ROW(Con_mat!U2:U59),1,4),"A","")&amp;",",""))</f>
        <v>2,3,4,5,6,7,8,9,10,11,12,13,14,15,16,17,18,19,20,21,22,23,24,25,26,27,28,29,30,31,32,33,34,35,36,37,38,39,40,41,42,43,44,45,46,47,48,49,50,51,52,53,54,56,57,58,59,</v>
      </c>
      <c r="Z4" t="str" cm="1">
        <f t="array" ref="Z4">_xlfn.CONCAT(IF(NOT(Con_mat!V2:V59=1),SUBSTITUTE(ADDRESS(ROW(Con_mat!V2:V59),1,4),"A","")&amp;",",""))</f>
        <v>2,3,4,5,6,7,8,9,10,11,12,13,14,15,16,17,18,19,20,21,22,23,24,25,26,27,28,29,30,31,32,33,35,36,38,39,41,42,43,44,45,46,47,48,49,50,51,52,53,54,55,57,58,59,</v>
      </c>
      <c r="AA4" t="str" cm="1">
        <f t="array" ref="AA4">_xlfn.CONCAT(IF(NOT(Con_mat!W2:W59=1),SUBSTITUTE(ADDRESS(ROW(Con_mat!W2:W59),1,4),"A","")&amp;",",""))</f>
        <v>2,3,4,5,6,7,8,9,10,11,12,13,14,15,16,17,18,19,20,21,22,23,24,25,26,27,28,29,30,31,32,33,34,35,36,37,38,39,40,42,43,44,45,46,47,48,49,50,51,52,53,54,55,56,57,58,59,</v>
      </c>
      <c r="AB4" t="str" cm="1">
        <f t="array" ref="AB4">_xlfn.CONCAT(IF(NOT(Con_mat!X2:X59=1),SUBSTITUTE(ADDRESS(ROW(Con_mat!X2:X59),1,4),"A","")&amp;",",""))</f>
        <v>2,3,4,5,6,7,8,9,10,11,12,13,14,15,16,17,18,19,20,21,22,23,24,25,26,27,28,29,30,31,32,33,34,35,36,37,38,39,40,41,43,44,45,46,47,48,49,50,51,52,53,54,55,56,57,58,59,</v>
      </c>
      <c r="AC4" t="str" cm="1">
        <f t="array" ref="AC4">_xlfn.CONCAT(IF(NOT(Con_mat!Y2:Y59=1),SUBSTITUTE(ADDRESS(ROW(Con_mat!Y2:Y59),1,4),"A","")&amp;",",""))</f>
        <v>2,3,4,5,6,7,8,9,10,11,12,13,14,15,16,17,18,19,20,21,22,23,24,25,26,27,28,29,30,31,32,33,34,35,36,37,38,39,40,41,42,43,44,46,47,48,49,50,51,52,53,54,55,56,57,58,59,</v>
      </c>
      <c r="AD4" t="str" cm="1">
        <f t="array" ref="AD4">_xlfn.CONCAT(IF(NOT(Con_mat!Z2:Z59=1),SUBSTITUTE(ADDRESS(ROW(Con_mat!Z2:Z59),1,4),"A","")&amp;",",""))</f>
        <v>2,3,4,5,6,7,8,9,10,11,12,13,14,15,16,17,18,19,20,21,22,23,24,25,26,27,28,29,30,31,32,33,34,35,36,37,38,39,40,41,42,43,44,45,46,47,48,49,50,51,52,53,54,55,56,58,59,</v>
      </c>
      <c r="AE4" t="str" cm="1">
        <f t="array" ref="AE4">_xlfn.CONCAT(IF(NOT(Con_mat!AA2:AA59=1),SUBSTITUTE(ADDRESS(ROW(Con_mat!AA2:AA59),1,4),"A","")&amp;",",""))</f>
        <v>2,3,4,5,6,7,8,9,10,11,12,13,14,15,16,17,18,19,20,21,22,23,24,25,26,27,28,29,30,31,32,33,34,35,36,37,38,39,40,41,42,43,44,45,46,47,49,50,51,52,53,54,55,56,57,58,59,</v>
      </c>
      <c r="AF4" t="str" cm="1">
        <f t="array" ref="AF4">_xlfn.CONCAT(IF(NOT(Con_mat!AB2:AB59=1),SUBSTITUTE(ADDRESS(ROW(Con_mat!AB2:AB59),1,4),"A","")&amp;",",""))</f>
        <v>2,3,4,5,6,7,8,9,10,11,12,13,14,15,16,17,18,19,20,21,22,23,24,25,26,27,28,29,30,31,32,33,34,35,36,37,38,39,40,41,42,43,45,46,48,49,51,52,53,54,55,56,57,59,</v>
      </c>
      <c r="AG4" t="str" cm="1">
        <f t="array" ref="AG4">_xlfn.CONCAT(IF(NOT(Con_mat!AC2:AC60=1),SUBSTITUTE(ADDRESS(ROW(Con_mat!AC2:AC60),1,4),"A","")&amp;",",""))</f>
        <v>2,3,5,6,8,9,11,12,14,15,17,18,19,21,22,24,25,27,28,30,31,32,34,35,37,38,40,41,42,44,45,47,48,50,51,52,53,54,55,56,57,58,59,60,</v>
      </c>
    </row>
    <row r="5" x14ac:dyDescent="0.25">
      <c r="E5" s="29" t="s">
        <v>433</v>
      </c>
      <c r="F5" s="29" t="str">
        <f t="shared" ref="F5:AG5" si="1">LEFT(F4,LEN(F4)-1)</f>
        <v>3,4,5,6,7,8,9,10,11,12,13,14,15,16,17,18,19,20,21,22,23,24,25,26,27,28,29,30,31,32,33,34,35,36,37,38,39,40,41,42,43,44,45,46,47,48,49,50,51,52,53,54,55,56,57,58,59</v>
      </c>
      <c r="G5" s="29" t="str">
        <f t="shared" si="1"/>
        <v>2,4,5,6,7,8,9,10,11,12,13,14,15,16,17,18,19,20,21,22,23,24,25,26,27,28,29,30,31,32,33,34,35,36,37,38,39,40,41,42,43,44,45,46,47,48,49,50,51,52,53,54,55,56,57,58,59</v>
      </c>
      <c r="H5" s="29" t="str">
        <f t="shared" si="1"/>
        <v>2,3,4,5,7,8,9,10,11,12,13,14,15,16,17,18,19,20,21,22,23,24,25,26,27,28,29,30,31,32,33,34,35,36,37,38,39,40,41,42,43,44,45,46,47,48,49,50,51,52,53,54,55,56,57,58,59</v>
      </c>
      <c r="I5" s="29" t="str">
        <f t="shared" si="1"/>
        <v>2,3,4,5,6,7,8,10,11,12,13,14,15,16,17,18,19,20,21,22,23,24,25,26,27,28,29,30,31,32,33,34,35,36,37,38,39,40,41,42,43,44,45,46,47,48,49,50,51,52,53,54,55,56,57,58,59</v>
      </c>
      <c r="J5" s="29" t="str">
        <f t="shared" si="1"/>
        <v>2,3,4,5,6,7,8,9,10,11,13,14,15,16,17,18,19,20,21,22,23,24,25,26,27,28,29,30,31,32,33,34,35,36,37,38,39,40,41,42,43,44,45,46,47,48,49,50,51,52,53,54,55,56,57,58,59</v>
      </c>
      <c r="K5" s="29" t="str">
        <f t="shared" si="1"/>
        <v>2,3,4,5,6,7,8,9,10,11,12,13,14,15,16,17,18,19,20,21,22,23,24,25,26,27,28,29,30,31,32,33,34,35,36,37,38,39,40,41,42,43,44,45,46,47,48,49,50,52,53,54,55,56,57,58,59</v>
      </c>
      <c r="L5" s="29" t="str">
        <f t="shared" si="1"/>
        <v>2,3,4,5,6,7,8,9,10,11,12,13,14,16,17,18,19,20,21,22,23,24,25,26,27,28,29,30,31,32,33,34,35,36,37,38,39,40,41,42,43,44,45,46,47,48,49,50,51,52,53,54,55,56,57,58,59</v>
      </c>
      <c r="M5" s="29" t="str">
        <f t="shared" si="1"/>
        <v>2,3,4,6,7,9,10,12,13,15,16,18,19,20,21,22,23,24,25,26,27,28,29,30,31,32,33,34,35,36,37,38,39,40,41,42,43,44,45,46,47,48,49,50,51,53,54,55,56,57,58,59</v>
      </c>
      <c r="N5" s="29" t="str">
        <f t="shared" si="1"/>
        <v>2,3,4,5,6,7,8,9,10,11,12,13,14,15,16,17,19,20,21,22,23,24,25,26,27,28,29,30,31,32,33,34,35,36,37,38,39,40,41,42,43,44,45,46,47,48,49,50,51,52,53,54,55,56,57,58,59</v>
      </c>
      <c r="O5" s="29" t="str">
        <f t="shared" si="1"/>
        <v>2,3,4,5,6,7,8,9,10,11,12,13,14,15,16,17,18,20,21,22,23,24,25,26,27,28,29,30,31,32,33,34,35,36,37,38,39,40,41,42,43,44,45,46,47,48,49,50,51,52,53,54,55,56,57,58,59</v>
      </c>
      <c r="P5" s="29" t="str">
        <f t="shared" si="1"/>
        <v>2,3,4,5,6,7,8,9,10,11,12,13,14,15,16,17,18,19,20,21,23,24,25,26,27,28,29,30,31,32,33,34,35,36,37,38,39,40,41,42,43,44,45,46,47,48,49,50,51,52,53,54,55,56,57,58,59</v>
      </c>
      <c r="Q5" s="29" t="str">
        <f t="shared" si="1"/>
        <v>2,3,4,5,6,7,8,9,10,11,12,13,14,15,16,17,18,19,20,21,22,23,24,26,27,28,29,30,31,32,33,34,35,36,37,38,39,40,41,42,43,44,45,46,47,48,49,50,51,52,53,54,55,56,57,58,59</v>
      </c>
      <c r="R5" s="29" t="str">
        <f t="shared" si="1"/>
        <v>2,3,4,5,6,7,8,9,10,11,12,13,14,15,16,17,18,19,20,21,22,23,24,25,26,27,28,29,30,31,32,33,34,35,36,37,38,39,40,41,42,43,44,45,46,47,48,49,50,51,52,54,55,56,57,58,59</v>
      </c>
      <c r="S5" s="29" t="str">
        <f t="shared" si="1"/>
        <v>2,3,4,5,6,7,8,9,10,11,12,13,14,15,16,17,18,19,20,21,22,23,24,25,26,27,29,30,31,32,33,34,35,36,37,38,39,40,41,42,43,44,45,46,47,48,49,50,51,52,53,54,55,56,57,58,59</v>
      </c>
      <c r="T5" s="29" t="str">
        <f t="shared" si="1"/>
        <v>2,3,4,5,6,7,8,9,10,11,12,13,14,15,16,17,18,19,20,22,23,25,26,28,29,31,32,33,34,35,36,37,38,39,40,41,42,43,44,45,46,47,48,49,50,51,52,53,55,56,57,58,59</v>
      </c>
      <c r="U5" s="29" t="str">
        <f t="shared" si="1"/>
        <v>2,3,4,5,6,7,8,9,10,11,12,13,14,15,16,17,18,19,20,21,22,23,24,25,26,27,28,29,30,32,33,34,35,36,37,38,39,40,41,42,43,44,45,46,47,48,49,50,51,52,53,54,55,56,57,58,59</v>
      </c>
      <c r="V5" s="29" t="str">
        <f t="shared" si="1"/>
        <v>2,3,4,5,6,7,8,9,10,11,12,13,14,15,16,17,18,19,20,21,22,23,24,25,26,27,28,29,30,31,33,34,35,36,37,38,39,40,41,42,43,44,45,46,47,48,49,50,51,52,53,54,55,56,57,58,59</v>
      </c>
      <c r="W5" s="29" t="str">
        <f t="shared" si="1"/>
        <v>2,3,4,5,6,7,8,9,10,11,12,13,14,15,16,17,18,19,20,21,22,23,24,25,26,27,28,29,30,31,32,33,34,36,37,38,39,40,41,42,43,44,45,46,47,48,49,50,51,52,53,54,55,56,57,58,59</v>
      </c>
      <c r="X5" s="29" t="str">
        <f t="shared" si="1"/>
        <v>2,3,4,5,6,7,8,9,10,11,12,13,14,15,16,17,18,19,20,21,22,23,24,25,26,27,28,29,30,31,32,33,34,35,36,37,39,40,41,42,43,44,45,46,47,48,49,50,51,52,53,54,55,56,57,58,59</v>
      </c>
      <c r="Y5" s="29" t="str">
        <f t="shared" si="1"/>
        <v>2,3,4,5,6,7,8,9,10,11,12,13,14,15,16,17,18,19,20,21,22,23,24,25,26,27,28,29,30,31,32,33,34,35,36,37,38,39,40,41,42,43,44,45,46,47,48,49,50,51,52,53,54,56,57,58,59</v>
      </c>
      <c r="Z5" s="29" t="str">
        <f t="shared" si="1"/>
        <v>2,3,4,5,6,7,8,9,10,11,12,13,14,15,16,17,18,19,20,21,22,23,24,25,26,27,28,29,30,31,32,33,35,36,38,39,41,42,43,44,45,46,47,48,49,50,51,52,53,54,55,57,58,59</v>
      </c>
      <c r="AA5" s="29" t="str">
        <f t="shared" si="1"/>
        <v>2,3,4,5,6,7,8,9,10,11,12,13,14,15,16,17,18,19,20,21,22,23,24,25,26,27,28,29,30,31,32,33,34,35,36,37,38,39,40,42,43,44,45,46,47,48,49,50,51,52,53,54,55,56,57,58,59</v>
      </c>
      <c r="AB5" s="29" t="str">
        <f t="shared" si="1"/>
        <v>2,3,4,5,6,7,8,9,10,11,12,13,14,15,16,17,18,19,20,21,22,23,24,25,26,27,28,29,30,31,32,33,34,35,36,37,38,39,40,41,43,44,45,46,47,48,49,50,51,52,53,54,55,56,57,58,59</v>
      </c>
      <c r="AC5" s="29" t="str">
        <f t="shared" si="1"/>
        <v>2,3,4,5,6,7,8,9,10,11,12,13,14,15,16,17,18,19,20,21,22,23,24,25,26,27,28,29,30,31,32,33,34,35,36,37,38,39,40,41,42,43,44,46,47,48,49,50,51,52,53,54,55,56,57,58,59</v>
      </c>
      <c r="AD5" s="29" t="str">
        <f t="shared" si="1"/>
        <v>2,3,4,5,6,7,8,9,10,11,12,13,14,15,16,17,18,19,20,21,22,23,24,25,26,27,28,29,30,31,32,33,34,35,36,37,38,39,40,41,42,43,44,45,46,47,48,49,50,51,52,53,54,55,56,58,59</v>
      </c>
      <c r="AE5" s="29" t="str">
        <f t="shared" si="1"/>
        <v>2,3,4,5,6,7,8,9,10,11,12,13,14,15,16,17,18,19,20,21,22,23,24,25,26,27,28,29,30,31,32,33,34,35,36,37,38,39,40,41,42,43,44,45,46,47,49,50,51,52,53,54,55,56,57,58,59</v>
      </c>
      <c r="AF5" s="29" t="str">
        <f t="shared" si="1"/>
        <v>2,3,4,5,6,7,8,9,10,11,12,13,14,15,16,17,18,19,20,21,22,23,24,25,26,27,28,29,30,31,32,33,34,35,36,37,38,39,40,41,42,43,45,46,48,49,51,52,53,54,55,56,57,59</v>
      </c>
      <c r="AG5" s="29" t="str">
        <f t="shared" si="1"/>
        <v>2,3,5,6,8,9,11,12,14,15,17,18,19,21,22,24,25,27,28,30,31,32,34,35,37,38,40,41,42,44,45,47,48,50,51,52,53,54,55,56,57,58,59,60</v>
      </c>
    </row>
    <row r="6" ht="18.75" x14ac:dyDescent="0.25">
      <c r="A6" s="27"/>
      <c r="B6" s="27"/>
      <c r="C6" s="27"/>
      <c r="D6" s="27"/>
      <c r="E6" t="s">
        <v>434</v>
      </c>
      <c r="F6" t="str" cm="1">
        <f t="array" ref="F6">_xlfn.CONCAT(IF(NOT(Con_mat!B2:B59=-1),SUBSTITUTE(ADDRESS(ROW(Con_mat!B2:B59),1,4),"A","")&amp;",",""))</f>
        <v>2,4,5,7,8,10,11,13,14,16,17,18,19,20,21,22,23,24,25,26,27,28,29,30,31,32,33,34,35,36,37,38,39,40,41,42,43,44,45,46,47,48,49,50,52,53,54,55,56,57,58,59,</v>
      </c>
      <c r="G6" t="str" cm="1">
        <f t="array" ref="G6">_xlfn.CONCAT(IF(NOT(Con_mat!C2:C59=-1),SUBSTITUTE(ADDRESS(ROW(Con_mat!C2:C59),1,4),"A","")&amp;",",""))</f>
        <v>2,3,6,7,8,9,10,11,12,13,14,15,16,17,18,19,20,21,22,23,24,25,26,27,28,29,30,31,32,33,34,35,36,37,38,39,40,41,42,43,44,45,46,47,48,49,50,51,52,53,54,55,56,57,58,59,</v>
      </c>
      <c r="H6" t="str" cm="1">
        <f t="array" ref="H6">_xlfn.CONCAT(IF(NOT(Con_mat!D2:D59=-1),SUBSTITUTE(ADDRESS(ROW(Con_mat!D2:D59),1,4),"A","")&amp;",",""))</f>
        <v>2,3,4,5,6,9,10,11,12,13,14,15,16,17,18,19,20,21,22,23,24,25,26,27,28,29,30,31,32,33,34,35,36,37,38,39,40,41,42,43,44,45,46,47,48,49,50,51,52,53,54,55,56,57,58,59,</v>
      </c>
      <c r="I6" t="str" cm="1">
        <f t="array" ref="I6">_xlfn.CONCAT(IF(NOT(Con_mat!E2:E59=-1),SUBSTITUTE(ADDRESS(ROW(Con_mat!E2:E59),1,4),"A","")&amp;",",""))</f>
        <v>2,3,4,5,6,7,8,9,12,13,14,15,16,17,18,19,20,21,22,23,24,25,26,27,28,29,30,31,32,33,34,35,36,37,38,39,40,41,42,43,44,45,46,47,48,49,50,51,52,53,54,55,56,57,58,59,</v>
      </c>
      <c r="J6" t="str" cm="1">
        <f t="array" ref="J6">_xlfn.CONCAT(IF(NOT(Con_mat!F2:F59=-1),SUBSTITUTE(ADDRESS(ROW(Con_mat!F2:F59),1,4),"A","")&amp;",",""))</f>
        <v>2,3,4,5,6,7,8,9,10,11,12,15,16,17,18,19,20,21,22,23,24,25,26,27,28,29,30,31,32,33,34,35,36,37,38,39,40,41,42,43,44,45,46,47,48,49,50,51,52,53,54,55,56,57,58,59,</v>
      </c>
      <c r="K6" t="str" cm="1">
        <f t="array" ref="K6">_xlfn.CONCAT(IF(NOT(Con_mat!G2:G59=-1),SUBSTITUTE(ADDRESS(ROW(Con_mat!G2:G59),1,4),"A","")&amp;",",""))</f>
        <v>2,3,4,5,6,7,8,9,10,11,12,13,14,15,16,17,18,19,20,21,22,23,24,25,26,27,28,29,30,31,32,33,34,35,36,37,38,39,40,41,42,43,44,45,46,47,48,49,50,51,53,54,55,56,57,58,59,</v>
      </c>
      <c r="L6" t="str" cm="1">
        <f t="array" ref="L6">_xlfn.CONCAT(IF(NOT(Con_mat!H2:H59=-1),SUBSTITUTE(ADDRESS(ROW(Con_mat!H2:H59),1,4),"A","")&amp;",",""))</f>
        <v>2,3,4,5,6,7,8,9,10,11,12,13,14,15,18,19,20,21,22,23,24,25,26,27,28,29,30,31,32,33,34,35,36,37,38,39,40,41,42,43,44,45,46,47,48,49,50,51,52,53,54,55,56,57,58,59,</v>
      </c>
      <c r="M6" t="str" cm="1">
        <f t="array" ref="M6">_xlfn.CONCAT(IF(NOT(Con_mat!I2:I59=-1),SUBSTITUTE(ADDRESS(ROW(Con_mat!I2:I59),1,4),"A","")&amp;",",""))</f>
        <v>2,3,4,5,6,7,8,9,10,11,12,13,14,15,16,17,19,20,21,22,23,24,25,26,27,28,29,30,31,32,33,34,35,36,37,38,39,40,41,42,43,44,45,46,47,48,49,50,51,52,53,54,55,56,57,58,59,</v>
      </c>
      <c r="N6" t="str" cm="1">
        <f t="array" ref="N6">_xlfn.CONCAT(IF(NOT(Con_mat!J2:J59=-1),SUBSTITUTE(ADDRESS(ROW(Con_mat!J2:J59),1,4),"A","")&amp;",",""))</f>
        <v>2,3,4,5,6,7,8,9,10,11,12,13,14,15,16,17,18,20,21,23,24,26,27,29,30,31,32,33,34,35,36,37,38,39,40,41,42,43,44,45,46,47,48,49,50,51,52,54,55,56,57,58,59,</v>
      </c>
      <c r="O6" t="str" cm="1">
        <f t="array" ref="O6">_xlfn.CONCAT(IF(NOT(Con_mat!K2:K59=-1),SUBSTITUTE(ADDRESS(ROW(Con_mat!K2:K59),1,4),"A","")&amp;",",""))</f>
        <v>2,3,4,5,6,7,8,9,10,11,12,13,14,15,16,17,18,19,22,23,24,25,26,27,28,29,30,31,32,33,34,35,36,37,38,39,40,41,42,43,44,45,46,47,48,49,50,51,52,53,54,55,56,57,58,59,</v>
      </c>
      <c r="P6" t="str" cm="1">
        <f t="array" ref="P6">_xlfn.CONCAT(IF(NOT(Con_mat!L2:L59=-1),SUBSTITUTE(ADDRESS(ROW(Con_mat!L2:L59),1,4),"A","")&amp;",",""))</f>
        <v>2,3,4,5,6,7,8,9,10,11,12,13,14,15,16,17,18,19,20,21,22,25,26,27,28,29,30,31,32,33,34,35,36,37,38,39,40,41,42,43,44,45,46,47,48,49,50,51,52,53,54,55,56,57,58,59,</v>
      </c>
      <c r="Q6" t="str" cm="1">
        <f t="array" ref="Q6">_xlfn.CONCAT(IF(NOT(Con_mat!M2:M59=-1),SUBSTITUTE(ADDRESS(ROW(Con_mat!M2:M59),1,4),"A","")&amp;",",""))</f>
        <v>2,3,4,5,6,7,8,9,10,11,12,13,14,15,16,17,18,19,20,21,22,23,24,25,28,29,30,31,32,33,34,35,36,37,38,39,40,41,42,43,44,45,46,47,48,49,50,51,52,53,54,55,56,57,58,59,</v>
      </c>
      <c r="R6" t="str" cm="1">
        <f t="array" ref="R6">_xlfn.CONCAT(IF(NOT(Con_mat!N2:N59=-1),SUBSTITUTE(ADDRESS(ROW(Con_mat!N2:N59),1,4),"A","")&amp;",",""))</f>
        <v>2,3,4,5,6,7,8,9,10,11,12,13,14,15,16,17,18,19,20,21,22,23,24,25,26,27,28,29,30,31,32,33,34,35,36,37,38,39,40,41,42,43,44,45,46,47,48,49,50,51,52,53,55,56,57,58,59,</v>
      </c>
      <c r="S6" t="str" cm="1">
        <f t="array" ref="S6">_xlfn.CONCAT(IF(NOT(Con_mat!O2:O59=-1),SUBSTITUTE(ADDRESS(ROW(Con_mat!O2:O59),1,4),"A","")&amp;",",""))</f>
        <v>2,3,4,5,6,7,8,9,10,11,12,13,14,15,16,17,18,19,20,21,22,23,24,25,26,27,28,31,32,33,34,35,36,37,38,39,40,41,42,43,44,45,46,47,48,49,50,51,52,53,54,55,56,57,58,59,</v>
      </c>
      <c r="T6" t="str" cm="1">
        <f t="array" ref="T6">_xlfn.CONCAT(IF(NOT(Con_mat!P2:P59=-1),SUBSTITUTE(ADDRESS(ROW(Con_mat!P2:P59),1,4),"A","")&amp;",",""))</f>
        <v>2,3,4,5,6,7,8,9,10,11,12,13,14,15,16,17,18,19,20,21,22,23,24,25,26,27,28,29,30,32,33,34,35,36,37,38,39,40,41,42,43,44,45,46,47,48,49,50,51,52,53,54,55,56,57,58,59,</v>
      </c>
      <c r="U6" t="str" cm="1">
        <f t="array" ref="U6">_xlfn.CONCAT(IF(NOT(Con_mat!Q2:Q59=-1),SUBSTITUTE(ADDRESS(ROW(Con_mat!Q2:Q59),1,4),"A","")&amp;",",""))</f>
        <v>2,3,4,5,6,7,8,9,10,11,12,13,14,15,16,17,18,19,20,21,22,23,24,25,26,27,28,29,30,31,33,34,36,37,39,40,41,42,43,44,45,46,47,48,49,50,51,52,53,54,56,57,58,59,</v>
      </c>
      <c r="V6" t="str" cm="1">
        <f t="array" ref="V6">_xlfn.CONCAT(IF(NOT(Con_mat!R2:R59=-1),SUBSTITUTE(ADDRESS(ROW(Con_mat!R2:R59),1,4),"A","")&amp;",",""))</f>
        <v>2,3,4,5,6,7,8,9,10,11,12,13,14,15,16,17,18,19,20,21,22,23,24,25,26,27,28,29,30,31,32,35,36,37,38,39,40,41,42,43,44,45,46,47,48,49,50,51,52,53,54,55,56,57,58,59,</v>
      </c>
      <c r="W6" t="str" cm="1">
        <f t="array" ref="W6">_xlfn.CONCAT(IF(NOT(Con_mat!S2:S59=-1),SUBSTITUTE(ADDRESS(ROW(Con_mat!S2:S59),1,4),"A","")&amp;",",""))</f>
        <v>2,3,4,5,6,7,8,9,10,11,12,13,14,15,16,17,18,19,20,21,22,23,24,25,26,27,28,29,30,31,32,33,34,35,38,39,40,41,42,43,44,45,46,47,48,49,50,51,52,53,54,55,56,57,58,59,</v>
      </c>
      <c r="X6" t="str" cm="1">
        <f t="array" ref="X6">_xlfn.CONCAT(IF(NOT(Con_mat!T2:T59=-1),SUBSTITUTE(ADDRESS(ROW(Con_mat!T2:T59),1,4),"A","")&amp;",",""))</f>
        <v>2,3,4,5,6,7,8,9,10,11,12,13,14,15,16,17,18,19,20,21,22,23,24,25,26,27,28,29,30,31,32,33,34,35,36,37,38,41,42,43,44,45,46,47,48,49,50,51,52,53,54,55,56,57,58,59,</v>
      </c>
      <c r="Y6" t="str" cm="1">
        <f t="array" ref="Y6">_xlfn.CONCAT(IF(NOT(Con_mat!U2:U59=-1),SUBSTITUTE(ADDRESS(ROW(Con_mat!U2:U59),1,4),"A","")&amp;",",""))</f>
        <v>2,3,4,5,6,7,8,9,10,11,12,13,14,15,16,17,18,19,20,21,22,23,24,25,26,27,28,29,30,31,32,33,34,35,36,37,38,39,40,41,42,43,44,45,46,47,48,49,50,51,52,53,54,55,57,58,59,</v>
      </c>
      <c r="Z6" t="str" cm="1">
        <f t="array" ref="Z6">_xlfn.CONCAT(IF(NOT(Con_mat!V2:V59=-1),SUBSTITUTE(ADDRESS(ROW(Con_mat!V2:V59),1,4),"A","")&amp;",",""))</f>
        <v>2,3,4,5,6,7,8,9,10,11,12,13,14,15,16,17,18,19,20,21,22,23,24,25,26,27,28,29,30,31,32,33,34,35,36,37,38,39,40,42,43,44,45,46,47,48,49,50,51,52,53,54,55,56,57,58,59,</v>
      </c>
      <c r="AA6" t="str" cm="1">
        <f t="array" ref="AA6">_xlfn.CONCAT(IF(NOT(Con_mat!W2:W59=-1),SUBSTITUTE(ADDRESS(ROW(Con_mat!W2:W59),1,4),"A","")&amp;",",""))</f>
        <v>2,3,4,5,6,7,8,9,10,11,12,13,14,15,16,17,18,19,20,21,22,23,24,25,26,27,28,29,30,31,32,33,34,35,36,37,38,39,40,41,43,44,46,47,49,50,51,52,53,54,55,56,58,59,</v>
      </c>
      <c r="AB6" t="str" cm="1">
        <f t="array" ref="AB6">_xlfn.CONCAT(IF(NOT(Con_mat!X2:X59=-1),SUBSTITUTE(ADDRESS(ROW(Con_mat!X2:X59),1,4),"A","")&amp;",",""))</f>
        <v>2,3,4,5,6,7,8,9,10,11,12,13,14,15,16,17,18,19,20,21,22,23,24,25,26,27,28,29,30,31,32,33,34,35,36,37,38,39,40,41,42,45,46,47,48,49,50,51,52,53,54,55,56,57,58,59,</v>
      </c>
      <c r="AC6" t="str" cm="1">
        <f t="array" ref="AC6">_xlfn.CONCAT(IF(NOT(Con_mat!Y2:Y59=-1),SUBSTITUTE(ADDRESS(ROW(Con_mat!Y2:Y59),1,4),"A","")&amp;",",""))</f>
        <v>2,3,4,5,6,7,8,9,10,11,12,13,14,15,16,17,18,19,20,21,22,23,24,25,26,27,28,29,30,31,32,33,34,35,36,37,38,39,40,41,42,43,44,45,48,49,50,51,52,53,54,55,56,57,58,59,</v>
      </c>
      <c r="AD6" t="str" cm="1">
        <f t="array" ref="AD6">_xlfn.CONCAT(IF(NOT(Con_mat!Z2:Z59=-1),SUBSTITUTE(ADDRESS(ROW(Con_mat!Z2:Z59),1,4),"A","")&amp;",",""))</f>
        <v>2,3,4,5,6,7,8,9,10,11,12,13,14,15,16,17,18,19,20,21,22,23,24,25,26,27,28,29,30,31,32,33,34,35,36,37,38,39,40,41,42,43,44,45,46,47,48,49,50,51,52,53,54,55,56,57,59,</v>
      </c>
      <c r="AE6" t="str" cm="1">
        <f t="array" ref="AE6">_xlfn.CONCAT(IF(NOT(Con_mat!AA2:AA59=-1),SUBSTITUTE(ADDRESS(ROW(Con_mat!AA2:AA59),1,4),"A","")&amp;",",""))</f>
        <v>2,3,4,5,6,7,8,9,10,11,12,13,14,15,16,17,18,19,20,21,22,23,24,25,26,27,28,29,30,31,32,33,34,35,36,37,38,39,40,41,42,43,44,45,46,47,48,51,52,53,54,55,56,57,58,59,</v>
      </c>
      <c r="AF6" t="str" cm="1">
        <f t="array" ref="AF6">_xlfn.CONCAT(IF(NOT(Con_mat!AB2:AB59=-1),SUBSTITUTE(ADDRESS(ROW(Con_mat!AB2:AB59),1,4),"A","")&amp;",",""))</f>
        <v>2,3,4,5,6,7,8,9,10,11,12,13,14,15,16,17,18,19,20,21,22,23,24,25,26,27,28,29,30,31,32,33,34,35,36,37,38,39,40,41,42,43,44,45,46,47,48,49,50,51,52,53,54,55,56,57,58,</v>
      </c>
      <c r="AG6" t="str" cm="1">
        <f t="array" ref="AG6">_xlfn.CONCAT(IF(NOT(Con_mat!AC2:AC60=-1),SUBSTITUTE(ADDRESS(ROW(Con_mat!AC2:AC60),1,4),"A","")&amp;",",""))</f>
        <v>2,3,4,5,6,7,8,9,10,11,12,13,14,15,16,17,18,19,20,21,22,23,24,25,26,27,28,29,30,31,32,33,34,35,36,37,38,39,40,41,42,43,44,45,46,47,48,49,50,51,52,53,54,55,56,57,58,59,</v>
      </c>
    </row>
    <row r="7" ht="18.75" x14ac:dyDescent="0.25">
      <c r="A7" s="27"/>
      <c r="B7" s="27"/>
      <c r="C7" s="27"/>
      <c r="D7" s="27"/>
      <c r="E7" s="29" t="s">
        <v>435</v>
      </c>
      <c r="F7" s="29" t="str">
        <f t="shared" ref="F7:AG7" si="2">LEFT(F6,LEN(F6)-1)</f>
        <v>2,4,5,7,8,10,11,13,14,16,17,18,19,20,21,22,23,24,25,26,27,28,29,30,31,32,33,34,35,36,37,38,39,40,41,42,43,44,45,46,47,48,49,50,52,53,54,55,56,57,58,59</v>
      </c>
      <c r="G7" s="29" t="str">
        <f t="shared" si="2"/>
        <v>2,3,6,7,8,9,10,11,12,13,14,15,16,17,18,19,20,21,22,23,24,25,26,27,28,29,30,31,32,33,34,35,36,37,38,39,40,41,42,43,44,45,46,47,48,49,50,51,52,53,54,55,56,57,58,59</v>
      </c>
      <c r="H7" s="29" t="str">
        <f t="shared" si="2"/>
        <v>2,3,4,5,6,9,10,11,12,13,14,15,16,17,18,19,20,21,22,23,24,25,26,27,28,29,30,31,32,33,34,35,36,37,38,39,40,41,42,43,44,45,46,47,48,49,50,51,52,53,54,55,56,57,58,59</v>
      </c>
      <c r="I7" s="29" t="str">
        <f t="shared" si="2"/>
        <v>2,3,4,5,6,7,8,9,12,13,14,15,16,17,18,19,20,21,22,23,24,25,26,27,28,29,30,31,32,33,34,35,36,37,38,39,40,41,42,43,44,45,46,47,48,49,50,51,52,53,54,55,56,57,58,59</v>
      </c>
      <c r="J7" s="29" t="str">
        <f t="shared" si="2"/>
        <v>2,3,4,5,6,7,8,9,10,11,12,15,16,17,18,19,20,21,22,23,24,25,26,27,28,29,30,31,32,33,34,35,36,37,38,39,40,41,42,43,44,45,46,47,48,49,50,51,52,53,54,55,56,57,58,59</v>
      </c>
      <c r="K7" s="29" t="str">
        <f t="shared" si="2"/>
        <v>2,3,4,5,6,7,8,9,10,11,12,13,14,15,16,17,18,19,20,21,22,23,24,25,26,27,28,29,30,31,32,33,34,35,36,37,38,39,40,41,42,43,44,45,46,47,48,49,50,51,53,54,55,56,57,58,59</v>
      </c>
      <c r="L7" s="29" t="str">
        <f t="shared" si="2"/>
        <v>2,3,4,5,6,7,8,9,10,11,12,13,14,15,18,19,20,21,22,23,24,25,26,27,28,29,30,31,32,33,34,35,36,37,38,39,40,41,42,43,44,45,46,47,48,49,50,51,52,53,54,55,56,57,58,59</v>
      </c>
      <c r="M7" s="29" t="str">
        <f t="shared" si="2"/>
        <v>2,3,4,5,6,7,8,9,10,11,12,13,14,15,16,17,19,20,21,22,23,24,25,26,27,28,29,30,31,32,33,34,35,36,37,38,39,40,41,42,43,44,45,46,47,48,49,50,51,52,53,54,55,56,57,58,59</v>
      </c>
      <c r="N7" s="29" t="str">
        <f t="shared" si="2"/>
        <v>2,3,4,5,6,7,8,9,10,11,12,13,14,15,16,17,18,20,21,23,24,26,27,29,30,31,32,33,34,35,36,37,38,39,40,41,42,43,44,45,46,47,48,49,50,51,52,54,55,56,57,58,59</v>
      </c>
      <c r="O7" s="29" t="str">
        <f t="shared" si="2"/>
        <v>2,3,4,5,6,7,8,9,10,11,12,13,14,15,16,17,18,19,22,23,24,25,26,27,28,29,30,31,32,33,34,35,36,37,38,39,40,41,42,43,44,45,46,47,48,49,50,51,52,53,54,55,56,57,58,59</v>
      </c>
      <c r="P7" s="29" t="str">
        <f t="shared" si="2"/>
        <v>2,3,4,5,6,7,8,9,10,11,12,13,14,15,16,17,18,19,20,21,22,25,26,27,28,29,30,31,32,33,34,35,36,37,38,39,40,41,42,43,44,45,46,47,48,49,50,51,52,53,54,55,56,57,58,59</v>
      </c>
      <c r="Q7" s="29" t="str">
        <f t="shared" si="2"/>
        <v>2,3,4,5,6,7,8,9,10,11,12,13,14,15,16,17,18,19,20,21,22,23,24,25,28,29,30,31,32,33,34,35,36,37,38,39,40,41,42,43,44,45,46,47,48,49,50,51,52,53,54,55,56,57,58,59</v>
      </c>
      <c r="R7" s="29" t="str">
        <f t="shared" si="2"/>
        <v>2,3,4,5,6,7,8,9,10,11,12,13,14,15,16,17,18,19,20,21,22,23,24,25,26,27,28,29,30,31,32,33,34,35,36,37,38,39,40,41,42,43,44,45,46,47,48,49,50,51,52,53,55,56,57,58,59</v>
      </c>
      <c r="S7" s="29" t="str">
        <f t="shared" si="2"/>
        <v>2,3,4,5,6,7,8,9,10,11,12,13,14,15,16,17,18,19,20,21,22,23,24,25,26,27,28,31,32,33,34,35,36,37,38,39,40,41,42,43,44,45,46,47,48,49,50,51,52,53,54,55,56,57,58,59</v>
      </c>
      <c r="T7" s="29" t="str">
        <f t="shared" si="2"/>
        <v>2,3,4,5,6,7,8,9,10,11,12,13,14,15,16,17,18,19,20,21,22,23,24,25,26,27,28,29,30,32,33,34,35,36,37,38,39,40,41,42,43,44,45,46,47,48,49,50,51,52,53,54,55,56,57,58,59</v>
      </c>
      <c r="U7" s="29" t="str">
        <f t="shared" si="2"/>
        <v>2,3,4,5,6,7,8,9,10,11,12,13,14,15,16,17,18,19,20,21,22,23,24,25,26,27,28,29,30,31,33,34,36,37,39,40,41,42,43,44,45,46,47,48,49,50,51,52,53,54,56,57,58,59</v>
      </c>
      <c r="V7" s="29" t="str">
        <f t="shared" si="2"/>
        <v>2,3,4,5,6,7,8,9,10,11,12,13,14,15,16,17,18,19,20,21,22,23,24,25,26,27,28,29,30,31,32,35,36,37,38,39,40,41,42,43,44,45,46,47,48,49,50,51,52,53,54,55,56,57,58,59</v>
      </c>
      <c r="W7" s="29" t="str">
        <f t="shared" si="2"/>
        <v>2,3,4,5,6,7,8,9,10,11,12,13,14,15,16,17,18,19,20,21,22,23,24,25,26,27,28,29,30,31,32,33,34,35,38,39,40,41,42,43,44,45,46,47,48,49,50,51,52,53,54,55,56,57,58,59</v>
      </c>
      <c r="X7" s="29" t="str">
        <f t="shared" si="2"/>
        <v>2,3,4,5,6,7,8,9,10,11,12,13,14,15,16,17,18,19,20,21,22,23,24,25,26,27,28,29,30,31,32,33,34,35,36,37,38,41,42,43,44,45,46,47,48,49,50,51,52,53,54,55,56,57,58,59</v>
      </c>
      <c r="Y7" s="29" t="str">
        <f t="shared" si="2"/>
        <v>2,3,4,5,6,7,8,9,10,11,12,13,14,15,16,17,18,19,20,21,22,23,24,25,26,27,28,29,30,31,32,33,34,35,36,37,38,39,40,41,42,43,44,45,46,47,48,49,50,51,52,53,54,55,57,58,59</v>
      </c>
      <c r="Z7" s="29" t="str">
        <f t="shared" si="2"/>
        <v>2,3,4,5,6,7,8,9,10,11,12,13,14,15,16,17,18,19,20,21,22,23,24,25,26,27,28,29,30,31,32,33,34,35,36,37,38,39,40,42,43,44,45,46,47,48,49,50,51,52,53,54,55,56,57,58,59</v>
      </c>
      <c r="AA7" s="29" t="str">
        <f t="shared" si="2"/>
        <v>2,3,4,5,6,7,8,9,10,11,12,13,14,15,16,17,18,19,20,21,22,23,24,25,26,27,28,29,30,31,32,33,34,35,36,37,38,39,40,41,43,44,46,47,49,50,51,52,53,54,55,56,58,59</v>
      </c>
      <c r="AB7" s="29" t="str">
        <f t="shared" si="2"/>
        <v>2,3,4,5,6,7,8,9,10,11,12,13,14,15,16,17,18,19,20,21,22,23,24,25,26,27,28,29,30,31,32,33,34,35,36,37,38,39,40,41,42,45,46,47,48,49,50,51,52,53,54,55,56,57,58,59</v>
      </c>
      <c r="AC7" s="29" t="str">
        <f t="shared" si="2"/>
        <v>2,3,4,5,6,7,8,9,10,11,12,13,14,15,16,17,18,19,20,21,22,23,24,25,26,27,28,29,30,31,32,33,34,35,36,37,38,39,40,41,42,43,44,45,48,49,50,51,52,53,54,55,56,57,58,59</v>
      </c>
      <c r="AD7" s="29" t="str">
        <f t="shared" si="2"/>
        <v>2,3,4,5,6,7,8,9,10,11,12,13,14,15,16,17,18,19,20,21,22,23,24,25,26,27,28,29,30,31,32,33,34,35,36,37,38,39,40,41,42,43,44,45,46,47,48,49,50,51,52,53,54,55,56,57,59</v>
      </c>
      <c r="AE7" s="29" t="str">
        <f t="shared" si="2"/>
        <v>2,3,4,5,6,7,8,9,10,11,12,13,14,15,16,17,18,19,20,21,22,23,24,25,26,27,28,29,30,31,32,33,34,35,36,37,38,39,40,41,42,43,44,45,46,47,48,51,52,53,54,55,56,57,58,59</v>
      </c>
      <c r="AF7" s="29" t="str">
        <f t="shared" si="2"/>
        <v>2,3,4,5,6,7,8,9,10,11,12,13,14,15,16,17,18,19,20,21,22,23,24,25,26,27,28,29,30,31,32,33,34,35,36,37,38,39,40,41,42,43,44,45,46,47,48,49,50,51,52,53,54,55,56,57,58</v>
      </c>
      <c r="AG7" s="29" t="str">
        <f t="shared" si="2"/>
        <v>2,3,4,5,6,7,8,9,10,11,12,13,14,15,16,17,18,19,20,21,22,23,24,25,26,27,28,29,30,31,32,33,34,35,36,37,38,39,40,41,42,43,44,45,46,47,48,49,50,51,52,53,54,55,56,57,58,59</v>
      </c>
    </row>
    <row r="8" ht="18.75" x14ac:dyDescent="0.25">
      <c r="A8" s="27"/>
      <c r="B8" s="27"/>
      <c r="C8" s="27"/>
      <c r="D8" s="27"/>
    </row>
    <row r="9" ht="18.75" x14ac:dyDescent="0.25">
      <c r="A9" s="27"/>
      <c r="B9" s="27"/>
      <c r="C9" s="27"/>
      <c r="D9" s="27"/>
      <c r="E9" s="28" t="s">
        <v>436</v>
      </c>
      <c r="F9" t="s">
        <v>437</v>
      </c>
      <c r="G9" t="s">
        <v>438</v>
      </c>
      <c r="H9" t="s">
        <v>439</v>
      </c>
      <c r="I9" t="s">
        <v>440</v>
      </c>
      <c r="J9" t="s">
        <v>441</v>
      </c>
      <c r="K9" t="s">
        <v>442</v>
      </c>
      <c r="L9" t="s">
        <v>443</v>
      </c>
      <c r="M9" t="s">
        <v>444</v>
      </c>
      <c r="N9" t="s">
        <v>445</v>
      </c>
      <c r="O9" t="s">
        <v>446</v>
      </c>
      <c r="P9" t="s">
        <v>447</v>
      </c>
      <c r="Q9" t="s">
        <v>448</v>
      </c>
      <c r="R9" t="s">
        <v>449</v>
      </c>
      <c r="S9" t="s">
        <v>450</v>
      </c>
      <c r="T9" t="s">
        <v>451</v>
      </c>
      <c r="U9" t="s">
        <v>452</v>
      </c>
      <c r="V9" t="s">
        <v>453</v>
      </c>
      <c r="W9" t="s">
        <v>454</v>
      </c>
      <c r="X9" t="s">
        <v>455</v>
      </c>
      <c r="Y9" t="s">
        <v>456</v>
      </c>
      <c r="Z9" t="s">
        <v>457</v>
      </c>
      <c r="AA9" t="s">
        <v>458</v>
      </c>
      <c r="AB9" t="s">
        <v>459</v>
      </c>
      <c r="AC9" t="s">
        <v>460</v>
      </c>
      <c r="AD9" t="s">
        <v>461</v>
      </c>
      <c r="AE9" t="s">
        <v>462</v>
      </c>
      <c r="AF9" t="s">
        <v>463</v>
      </c>
    </row>
    <row r="10" ht="18.75" x14ac:dyDescent="0.25">
      <c r="A10" s="27"/>
      <c r="B10" s="27"/>
      <c r="C10" s="27"/>
      <c r="D10" s="27"/>
    </row>
    <row r="12" x14ac:dyDescent="0.25">
      <c r="F12" t="s">
        <v>464</v>
      </c>
      <c r="G12" t="s">
        <v>465</v>
      </c>
      <c r="H12" t="s">
        <v>466</v>
      </c>
    </row>
    <row r="13" x14ac:dyDescent="0.25">
      <c r="E13" s="13" t="s">
        <v>111</v>
      </c>
      <c r="F13" t="s">
        <v>467</v>
      </c>
      <c r="G13" t="s">
        <v>468</v>
      </c>
      <c r="H13" t="s">
        <v>437</v>
      </c>
    </row>
    <row r="14" x14ac:dyDescent="0.25">
      <c r="E14" s="13" t="s">
        <v>69</v>
      </c>
      <c r="F14" t="s">
        <v>469</v>
      </c>
      <c r="G14" t="s">
        <v>470</v>
      </c>
      <c r="H14" t="s">
        <v>438</v>
      </c>
    </row>
    <row r="15" x14ac:dyDescent="0.25">
      <c r="E15" s="13" t="s">
        <v>92</v>
      </c>
      <c r="F15" t="s">
        <v>471</v>
      </c>
      <c r="G15" t="s">
        <v>472</v>
      </c>
      <c r="H15" t="s">
        <v>439</v>
      </c>
    </row>
    <row r="16" x14ac:dyDescent="0.25">
      <c r="E16" s="13" t="s">
        <v>62</v>
      </c>
      <c r="F16" t="s">
        <v>473</v>
      </c>
      <c r="G16" t="s">
        <v>474</v>
      </c>
      <c r="H16" t="s">
        <v>440</v>
      </c>
    </row>
    <row r="17" x14ac:dyDescent="0.25">
      <c r="E17" s="13" t="s">
        <v>73</v>
      </c>
      <c r="F17" t="s">
        <v>475</v>
      </c>
      <c r="G17" t="s">
        <v>476</v>
      </c>
      <c r="H17" t="s">
        <v>441</v>
      </c>
    </row>
    <row r="18" x14ac:dyDescent="0.25">
      <c r="E18" s="13" t="s">
        <v>112</v>
      </c>
      <c r="F18" t="s">
        <v>477</v>
      </c>
      <c r="G18" t="s">
        <v>478</v>
      </c>
      <c r="H18" t="s">
        <v>442</v>
      </c>
    </row>
    <row r="19" x14ac:dyDescent="0.25">
      <c r="E19" s="13" t="s">
        <v>77</v>
      </c>
      <c r="F19" t="s">
        <v>479</v>
      </c>
      <c r="G19" t="s">
        <v>480</v>
      </c>
      <c r="H19" t="s">
        <v>443</v>
      </c>
    </row>
    <row r="20" x14ac:dyDescent="0.25">
      <c r="E20" s="13" t="s">
        <v>113</v>
      </c>
      <c r="F20" t="s">
        <v>481</v>
      </c>
      <c r="G20" t="s">
        <v>482</v>
      </c>
      <c r="H20" t="s">
        <v>444</v>
      </c>
    </row>
    <row r="21" x14ac:dyDescent="0.25">
      <c r="E21" s="13" t="s">
        <v>114</v>
      </c>
      <c r="F21" t="s">
        <v>483</v>
      </c>
      <c r="G21" t="s">
        <v>444</v>
      </c>
      <c r="H21" t="s">
        <v>445</v>
      </c>
    </row>
    <row r="22" x14ac:dyDescent="0.25">
      <c r="E22" s="13" t="s">
        <v>88</v>
      </c>
      <c r="F22" t="s">
        <v>484</v>
      </c>
      <c r="G22" t="s">
        <v>485</v>
      </c>
      <c r="H22" t="s">
        <v>446</v>
      </c>
    </row>
    <row r="23" x14ac:dyDescent="0.25">
      <c r="E23" s="13" t="s">
        <v>99</v>
      </c>
      <c r="F23" t="s">
        <v>486</v>
      </c>
      <c r="G23" t="s">
        <v>487</v>
      </c>
      <c r="H23" t="s">
        <v>447</v>
      </c>
    </row>
    <row r="24" x14ac:dyDescent="0.25">
      <c r="E24" s="13" t="s">
        <v>63</v>
      </c>
      <c r="F24" t="s">
        <v>488</v>
      </c>
      <c r="G24" t="s">
        <v>489</v>
      </c>
      <c r="H24" t="s">
        <v>448</v>
      </c>
    </row>
    <row r="25" x14ac:dyDescent="0.25">
      <c r="E25" s="13" t="s">
        <v>115</v>
      </c>
      <c r="F25" t="s">
        <v>490</v>
      </c>
      <c r="G25" t="s">
        <v>491</v>
      </c>
      <c r="H25" t="s">
        <v>449</v>
      </c>
    </row>
    <row r="26" x14ac:dyDescent="0.25">
      <c r="E26" s="13" t="s">
        <v>95</v>
      </c>
      <c r="F26" t="s">
        <v>492</v>
      </c>
      <c r="G26" t="s">
        <v>493</v>
      </c>
      <c r="H26" t="s">
        <v>450</v>
      </c>
    </row>
    <row r="27" x14ac:dyDescent="0.25">
      <c r="E27" s="13" t="s">
        <v>116</v>
      </c>
      <c r="F27" t="s">
        <v>494</v>
      </c>
      <c r="G27" t="s">
        <v>495</v>
      </c>
      <c r="H27" t="s">
        <v>451</v>
      </c>
    </row>
    <row r="28" x14ac:dyDescent="0.25">
      <c r="E28" s="13" t="s">
        <v>117</v>
      </c>
      <c r="F28" t="s">
        <v>496</v>
      </c>
      <c r="G28" t="s">
        <v>451</v>
      </c>
      <c r="H28" t="s">
        <v>452</v>
      </c>
    </row>
    <row r="29" x14ac:dyDescent="0.25">
      <c r="E29" s="13" t="s">
        <v>96</v>
      </c>
      <c r="F29" t="s">
        <v>497</v>
      </c>
      <c r="G29" t="s">
        <v>498</v>
      </c>
      <c r="H29" t="s">
        <v>453</v>
      </c>
    </row>
    <row r="30" x14ac:dyDescent="0.25">
      <c r="E30" s="13" t="s">
        <v>104</v>
      </c>
      <c r="F30" t="s">
        <v>499</v>
      </c>
      <c r="G30" t="s">
        <v>500</v>
      </c>
      <c r="H30" t="s">
        <v>454</v>
      </c>
    </row>
    <row r="31" x14ac:dyDescent="0.25">
      <c r="E31" s="13" t="s">
        <v>100</v>
      </c>
      <c r="F31" t="s">
        <v>501</v>
      </c>
      <c r="G31" t="s">
        <v>502</v>
      </c>
      <c r="H31" t="s">
        <v>455</v>
      </c>
    </row>
    <row r="32" x14ac:dyDescent="0.25">
      <c r="E32" s="13" t="s">
        <v>118</v>
      </c>
      <c r="F32" t="s">
        <v>503</v>
      </c>
      <c r="G32" t="s">
        <v>504</v>
      </c>
      <c r="H32" t="s">
        <v>456</v>
      </c>
    </row>
    <row r="33" x14ac:dyDescent="0.25">
      <c r="E33" s="13" t="s">
        <v>119</v>
      </c>
      <c r="F33" t="s">
        <v>505</v>
      </c>
      <c r="G33" t="s">
        <v>506</v>
      </c>
      <c r="H33" t="s">
        <v>457</v>
      </c>
    </row>
    <row r="34" x14ac:dyDescent="0.25">
      <c r="E34" s="13" t="s">
        <v>120</v>
      </c>
      <c r="F34" t="s">
        <v>507</v>
      </c>
      <c r="G34" t="s">
        <v>457</v>
      </c>
      <c r="H34" t="s">
        <v>458</v>
      </c>
    </row>
    <row r="35" x14ac:dyDescent="0.25">
      <c r="E35" s="13" t="s">
        <v>105</v>
      </c>
      <c r="F35" t="s">
        <v>508</v>
      </c>
      <c r="G35" t="s">
        <v>509</v>
      </c>
      <c r="H35" t="s">
        <v>459</v>
      </c>
    </row>
    <row r="36" x14ac:dyDescent="0.25">
      <c r="E36" s="13" t="s">
        <v>109</v>
      </c>
      <c r="F36" t="s">
        <v>510</v>
      </c>
      <c r="G36" t="s">
        <v>511</v>
      </c>
      <c r="H36" t="s">
        <v>460</v>
      </c>
    </row>
    <row r="37" x14ac:dyDescent="0.25">
      <c r="E37" s="13" t="s">
        <v>121</v>
      </c>
      <c r="F37" t="s">
        <v>512</v>
      </c>
      <c r="G37" t="s">
        <v>513</v>
      </c>
      <c r="H37" t="s">
        <v>461</v>
      </c>
    </row>
    <row r="38" x14ac:dyDescent="0.25">
      <c r="E38" s="13" t="s">
        <v>101</v>
      </c>
      <c r="F38" t="s">
        <v>514</v>
      </c>
      <c r="G38" t="s">
        <v>515</v>
      </c>
      <c r="H38" t="s">
        <v>462</v>
      </c>
    </row>
    <row r="39" x14ac:dyDescent="0.25">
      <c r="E39" s="13" t="s">
        <v>122</v>
      </c>
      <c r="F39" t="s">
        <v>516</v>
      </c>
      <c r="G39" t="s">
        <v>517</v>
      </c>
      <c r="H39" t="s">
        <v>463</v>
      </c>
    </row>
    <row r="40" x14ac:dyDescent="0.25">
      <c r="E40" s="60" t="s">
        <v>588</v>
      </c>
      <c r="F40" t="s">
        <v>604</v>
      </c>
      <c r="G40" t="s">
        <v>606</v>
      </c>
      <c r="H40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Chem_Database</vt:lpstr>
      <vt:lpstr>Super Structure</vt:lpstr>
      <vt:lpstr>Outlet_Spec</vt:lpstr>
      <vt:lpstr>Chem_Props</vt:lpstr>
      <vt:lpstr>Sol_Props</vt:lpstr>
      <vt:lpstr>Solid_Props</vt:lpstr>
      <vt:lpstr>ConFac_Units</vt:lpstr>
      <vt:lpstr>mat_data</vt:lpstr>
      <vt:lpstr>ADS</vt:lpstr>
      <vt:lpstr>SDM</vt:lpstr>
      <vt:lpstr>PRC</vt:lpstr>
      <vt:lpstr>CNF</vt:lpstr>
      <vt:lpstr>DST</vt:lpstr>
      <vt:lpstr>FLT</vt:lpstr>
      <vt:lpstr>MF</vt:lpstr>
      <vt:lpstr>PVP</vt:lpstr>
      <vt:lpstr>UF</vt:lpstr>
      <vt:lpstr>NF</vt:lpstr>
      <vt:lpstr>Con_mat</vt:lpstr>
      <vt:lpstr>CMSTR_mat</vt:lpstr>
      <vt:lpstr>CMUNT_mat</vt:lpstr>
      <vt:lpstr>Lbr_data</vt:lpstr>
      <vt:lpstr>Index</vt:lpstr>
      <vt:lpstr>range_list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Austin Lehr</dc:creator>
  <cp:keywords/>
  <dc:description/>
  <cp:lastModifiedBy>Aboagye, Emmanuel Apau</cp:lastModifiedBy>
  <cp:revision/>
  <dcterms:created xsi:type="dcterms:W3CDTF">2020-06-03T16:26:02Z</dcterms:created>
  <dcterms:modified xsi:type="dcterms:W3CDTF">2022-09-19T16:02:06Z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0x010100CB928FEE279D9149B69205A4F6C81BE3</vt:lpwstr>
  </property>
  <property fmtid="{D5CDD505-2E9C-101B-9397-08002B2CF9AE}" pid="3" name="WorkbookGuid">
    <vt:lpwstr>d484b0ee-298e-4954-92a4-f9b1a440e5d5</vt:lpwstr>
  </property>
</Properties>
</file>