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gallagher203-my.sharepoint.com/personal/afzal_baharudin_gallagher_com/Documents/ChatGPT/"/>
    </mc:Choice>
  </mc:AlternateContent>
  <xr:revisionPtr revIDLastSave="1" documentId="8_{FC0DCBBA-DE9C-40C6-87DB-95EF7A8A375C}" xr6:coauthVersionLast="47" xr6:coauthVersionMax="47" xr10:uidLastSave="{1752239A-275C-4128-9A7E-81D7F5C87278}"/>
  <bookViews>
    <workbookView xWindow="28680" yWindow="-120" windowWidth="29040" windowHeight="15840" tabRatio="822" activeTab="8" xr2:uid="{B920160C-2CDC-440B-A192-A9A5A6EAA9C4}"/>
  </bookViews>
  <sheets>
    <sheet name="Contents Page" sheetId="33" r:id="rId1"/>
    <sheet name="Planning Accuracy" sheetId="32" r:id="rId2"/>
    <sheet name="AM Benches Data" sheetId="4" r:id="rId3"/>
    <sheet name="SEC Benches Data" sheetId="1" r:id="rId4"/>
    <sheet name="PCB Data" sheetId="5" r:id="rId5"/>
    <sheet name="XFMR Data" sheetId="6" r:id="rId6"/>
    <sheet name="HW" sheetId="31" r:id="rId7"/>
    <sheet name="Summary Page" sheetId="2" state="hidden" r:id="rId8"/>
    <sheet name="Growth Predic 52 Wk on Stretch" sheetId="29" r:id="rId9"/>
    <sheet name="Growth Prediction Exec Summary" sheetId="30" r:id="rId10"/>
  </sheets>
  <definedNames>
    <definedName name="_xlnm.Print_Area" localSheetId="7">'Summary Page'!$B$2:$BZ$131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P53" i="29" s="1"/>
  <c r="T4" i="4"/>
  <c r="O53" i="29" s="1"/>
  <c r="Z53" i="29" s="1"/>
  <c r="Z54" i="29" s="1"/>
  <c r="J4" i="4"/>
  <c r="N53" i="29" s="1"/>
  <c r="K4" i="4"/>
  <c r="R53" i="29" l="1"/>
  <c r="M53" i="29"/>
  <c r="W53" i="29" s="1"/>
  <c r="W54" i="29" s="1"/>
  <c r="AA53" i="29"/>
  <c r="AA54" i="29" s="1"/>
  <c r="AC53" i="29"/>
  <c r="AC54" i="29" s="1"/>
  <c r="X53" i="29" l="1"/>
  <c r="X54" i="29" s="1"/>
  <c r="AD53" i="29"/>
  <c r="AD54" i="29" s="1"/>
  <c r="AB53" i="29"/>
  <c r="AB54" i="29" s="1"/>
  <c r="Y53" i="29" l="1"/>
  <c r="Y54" i="29" s="1"/>
  <c r="AE53" i="29"/>
  <c r="AE54" i="29" s="1"/>
  <c r="AF53" i="29" l="1"/>
  <c r="AF54" i="29" s="1"/>
  <c r="AG53" i="29" l="1"/>
  <c r="AG54" i="29" s="1"/>
  <c r="AH53" i="29" l="1"/>
  <c r="AH54" i="29" s="1"/>
  <c r="Y66" i="6" l="1"/>
  <c r="X66" i="6"/>
  <c r="W66" i="6"/>
  <c r="U66" i="5"/>
  <c r="V66" i="5"/>
  <c r="Y66" i="5"/>
  <c r="W66" i="5"/>
  <c r="X66" i="5"/>
  <c r="Y65" i="5"/>
  <c r="T66" i="5"/>
  <c r="AV66" i="5"/>
  <c r="AP66" i="5"/>
  <c r="AT66" i="1"/>
  <c r="AS66" i="1"/>
  <c r="AR66" i="1"/>
  <c r="AG66" i="1"/>
  <c r="U66" i="1"/>
  <c r="I66" i="1"/>
  <c r="AL66" i="4"/>
  <c r="AK66" i="4"/>
  <c r="AJ66" i="4"/>
  <c r="Y66" i="4"/>
  <c r="O66" i="4"/>
  <c r="E66" i="4"/>
  <c r="T98" i="29" l="1"/>
  <c r="T74" i="29"/>
  <c r="T60" i="29"/>
  <c r="AG65" i="1"/>
  <c r="T46" i="29" l="1"/>
  <c r="Y65" i="4" l="1"/>
  <c r="Y65" i="6"/>
  <c r="X65" i="6"/>
  <c r="W65" i="6"/>
  <c r="W65" i="5"/>
  <c r="X65" i="5"/>
  <c r="V65" i="5"/>
  <c r="U65" i="5"/>
  <c r="T65" i="5"/>
  <c r="AV65" i="5"/>
  <c r="AP65" i="5"/>
  <c r="AS65" i="1"/>
  <c r="AT65" i="1"/>
  <c r="AR65" i="1"/>
  <c r="U65" i="1"/>
  <c r="I65" i="1"/>
  <c r="AL65" i="4"/>
  <c r="AK65" i="4"/>
  <c r="AJ65" i="4"/>
  <c r="O65" i="4"/>
  <c r="E65" i="4"/>
  <c r="E64" i="4"/>
  <c r="AS218" i="32" l="1"/>
  <c r="AX221" i="32"/>
  <c r="AZ211" i="32"/>
  <c r="BA211" i="32"/>
  <c r="AZ212" i="32"/>
  <c r="BA212" i="32"/>
  <c r="AZ213" i="32"/>
  <c r="BA213" i="32"/>
  <c r="AZ214" i="32"/>
  <c r="BA214" i="32"/>
  <c r="AZ215" i="32"/>
  <c r="BA215" i="32"/>
  <c r="AZ216" i="32"/>
  <c r="BA216" i="32"/>
  <c r="AZ217" i="32"/>
  <c r="BA217" i="32"/>
  <c r="AZ218" i="32"/>
  <c r="BA218" i="32"/>
  <c r="AZ219" i="32"/>
  <c r="BA219" i="32"/>
  <c r="AZ220" i="32"/>
  <c r="BA220" i="32"/>
  <c r="AZ221" i="32"/>
  <c r="BA221" i="32"/>
  <c r="AZ209" i="32"/>
  <c r="BA209" i="32"/>
  <c r="BA210" i="32"/>
  <c r="AZ210" i="32"/>
  <c r="AX219" i="32"/>
  <c r="AX220" i="32"/>
  <c r="AS209" i="32"/>
  <c r="AS211" i="32"/>
  <c r="AS212" i="32"/>
  <c r="AS213" i="32"/>
  <c r="AS214" i="32"/>
  <c r="AS215" i="32"/>
  <c r="AS216" i="32"/>
  <c r="AS217" i="32"/>
  <c r="AS219" i="32"/>
  <c r="AS220" i="32"/>
  <c r="AS221" i="32"/>
  <c r="AS210" i="32"/>
  <c r="AJ212" i="32"/>
  <c r="AJ213" i="32"/>
  <c r="AJ214" i="32"/>
  <c r="AJ215" i="32"/>
  <c r="AJ216" i="32"/>
  <c r="AJ217" i="32"/>
  <c r="AJ218" i="32"/>
  <c r="AJ219" i="32"/>
  <c r="AJ220" i="32"/>
  <c r="AJ221" i="32"/>
  <c r="AJ211" i="32"/>
  <c r="Z210" i="32"/>
  <c r="AD210" i="32"/>
  <c r="AE210" i="32"/>
  <c r="Z211" i="32"/>
  <c r="AD211" i="32"/>
  <c r="AE211" i="32"/>
  <c r="Z212" i="32"/>
  <c r="AD212" i="32"/>
  <c r="AE212" i="32"/>
  <c r="Z213" i="32"/>
  <c r="AD213" i="32"/>
  <c r="AE213" i="32"/>
  <c r="Z214" i="32"/>
  <c r="AD214" i="32"/>
  <c r="AE214" i="32"/>
  <c r="Z215" i="32"/>
  <c r="AD215" i="32"/>
  <c r="AE215" i="32"/>
  <c r="Z216" i="32"/>
  <c r="AD216" i="32"/>
  <c r="AE216" i="32"/>
  <c r="Z217" i="32"/>
  <c r="AD217" i="32"/>
  <c r="AE217" i="32"/>
  <c r="Z218" i="32"/>
  <c r="AD218" i="32"/>
  <c r="AE218" i="32"/>
  <c r="Z219" i="32"/>
  <c r="AD219" i="32"/>
  <c r="AE219" i="32"/>
  <c r="Z220" i="32"/>
  <c r="AD220" i="32"/>
  <c r="AE220" i="32"/>
  <c r="Z221" i="32"/>
  <c r="AD221" i="32"/>
  <c r="AE221" i="32"/>
  <c r="AE209" i="32"/>
  <c r="AD209" i="32"/>
  <c r="Z209" i="32"/>
  <c r="K221" i="32" l="1"/>
  <c r="K220" i="32"/>
  <c r="K219" i="32"/>
  <c r="B169" i="32" l="1"/>
  <c r="E169" i="32" s="1"/>
  <c r="C169" i="32"/>
  <c r="D169" i="32"/>
  <c r="G169" i="32"/>
  <c r="J169" i="32" s="1"/>
  <c r="H169" i="32"/>
  <c r="I169" i="32"/>
  <c r="B170" i="32"/>
  <c r="E170" i="32" s="1"/>
  <c r="C170" i="32"/>
  <c r="D170" i="32"/>
  <c r="G170" i="32"/>
  <c r="J170" i="32" s="1"/>
  <c r="H170" i="32"/>
  <c r="I170" i="32"/>
  <c r="B171" i="32"/>
  <c r="E171" i="32" s="1"/>
  <c r="C171" i="32"/>
  <c r="D171" i="32"/>
  <c r="G171" i="32"/>
  <c r="J171" i="32" s="1"/>
  <c r="H171" i="32"/>
  <c r="I171" i="32"/>
  <c r="B172" i="32"/>
  <c r="C172" i="32"/>
  <c r="D172" i="32"/>
  <c r="F178" i="32" s="1"/>
  <c r="E172" i="32"/>
  <c r="F172" i="32"/>
  <c r="G172" i="32"/>
  <c r="J172" i="32" s="1"/>
  <c r="H172" i="32"/>
  <c r="I172" i="32"/>
  <c r="B173" i="32"/>
  <c r="C173" i="32"/>
  <c r="D173" i="32"/>
  <c r="E173" i="32"/>
  <c r="F173" i="32"/>
  <c r="G173" i="32"/>
  <c r="H173" i="32"/>
  <c r="I173" i="32"/>
  <c r="B174" i="32"/>
  <c r="C174" i="32"/>
  <c r="D174" i="32"/>
  <c r="F180" i="32" s="1"/>
  <c r="G174" i="32"/>
  <c r="H174" i="32"/>
  <c r="I174" i="32"/>
  <c r="J174" i="32"/>
  <c r="B175" i="32"/>
  <c r="E175" i="32" s="1"/>
  <c r="C175" i="32"/>
  <c r="D175" i="32"/>
  <c r="G175" i="32"/>
  <c r="H175" i="32"/>
  <c r="I175" i="32"/>
  <c r="K181" i="32" s="1"/>
  <c r="J175" i="32"/>
  <c r="B176" i="32"/>
  <c r="E176" i="32" s="1"/>
  <c r="C176" i="32"/>
  <c r="D176" i="32"/>
  <c r="G176" i="32"/>
  <c r="H176" i="32"/>
  <c r="I176" i="32"/>
  <c r="J176" i="32"/>
  <c r="B177" i="32"/>
  <c r="E177" i="32" s="1"/>
  <c r="C177" i="32"/>
  <c r="D177" i="32"/>
  <c r="G177" i="32"/>
  <c r="J177" i="32" s="1"/>
  <c r="H177" i="32"/>
  <c r="I177" i="32"/>
  <c r="K183" i="32" s="1"/>
  <c r="B178" i="32"/>
  <c r="E178" i="32" s="1"/>
  <c r="C178" i="32"/>
  <c r="D178" i="32"/>
  <c r="G178" i="32"/>
  <c r="J178" i="32" s="1"/>
  <c r="H178" i="32"/>
  <c r="J181" i="32" s="1"/>
  <c r="I178" i="32"/>
  <c r="B179" i="32"/>
  <c r="C179" i="32"/>
  <c r="D179" i="32"/>
  <c r="E179" i="32"/>
  <c r="F179" i="32"/>
  <c r="G179" i="32"/>
  <c r="K179" i="32" s="1"/>
  <c r="H179" i="32"/>
  <c r="I179" i="32"/>
  <c r="B180" i="32"/>
  <c r="C180" i="32"/>
  <c r="D180" i="32"/>
  <c r="E180" i="32"/>
  <c r="G180" i="32"/>
  <c r="J180" i="32" s="1"/>
  <c r="H180" i="32"/>
  <c r="I180" i="32"/>
  <c r="B181" i="32"/>
  <c r="F181" i="32" s="1"/>
  <c r="C181" i="32"/>
  <c r="D181" i="32"/>
  <c r="E181" i="32"/>
  <c r="G181" i="32"/>
  <c r="H181" i="32"/>
  <c r="I181" i="32"/>
  <c r="B182" i="32"/>
  <c r="E182" i="32" s="1"/>
  <c r="C182" i="32"/>
  <c r="D182" i="32"/>
  <c r="G182" i="32"/>
  <c r="H182" i="32"/>
  <c r="I182" i="32"/>
  <c r="J182" i="32"/>
  <c r="B183" i="32"/>
  <c r="E183" i="32" s="1"/>
  <c r="C183" i="32"/>
  <c r="D183" i="32"/>
  <c r="G183" i="32"/>
  <c r="H183" i="32"/>
  <c r="I183" i="32"/>
  <c r="J183" i="32"/>
  <c r="B184" i="32"/>
  <c r="E184" i="32" s="1"/>
  <c r="C184" i="32"/>
  <c r="D184" i="32"/>
  <c r="G184" i="32"/>
  <c r="H184" i="32"/>
  <c r="I184" i="32"/>
  <c r="J184" i="32"/>
  <c r="B185" i="32"/>
  <c r="E185" i="32" s="1"/>
  <c r="C185" i="32"/>
  <c r="D185" i="32"/>
  <c r="G185" i="32"/>
  <c r="J185" i="32" s="1"/>
  <c r="H185" i="32"/>
  <c r="J188" i="32" s="1"/>
  <c r="I185" i="32"/>
  <c r="B186" i="32"/>
  <c r="E186" i="32" s="1"/>
  <c r="C186" i="32"/>
  <c r="D186" i="32"/>
  <c r="F186" i="32"/>
  <c r="G186" i="32"/>
  <c r="J186" i="32" s="1"/>
  <c r="H186" i="32"/>
  <c r="J189" i="32" s="1"/>
  <c r="I186" i="32"/>
  <c r="B187" i="32"/>
  <c r="C187" i="32"/>
  <c r="D187" i="32"/>
  <c r="E187" i="32"/>
  <c r="F187" i="32"/>
  <c r="G187" i="32"/>
  <c r="K187" i="32" s="1"/>
  <c r="H187" i="32"/>
  <c r="I187" i="32"/>
  <c r="B188" i="32"/>
  <c r="C188" i="32"/>
  <c r="D188" i="32"/>
  <c r="E188" i="32"/>
  <c r="F188" i="32"/>
  <c r="G188" i="32"/>
  <c r="H188" i="32"/>
  <c r="I188" i="32"/>
  <c r="B189" i="32"/>
  <c r="C189" i="32"/>
  <c r="D189" i="32"/>
  <c r="E189" i="32"/>
  <c r="F189" i="32"/>
  <c r="G189" i="32"/>
  <c r="H189" i="32"/>
  <c r="I189" i="32"/>
  <c r="B190" i="32"/>
  <c r="E190" i="32" s="1"/>
  <c r="C190" i="32"/>
  <c r="D190" i="32"/>
  <c r="G190" i="32"/>
  <c r="H190" i="32"/>
  <c r="I190" i="32"/>
  <c r="J190" i="32"/>
  <c r="B191" i="32"/>
  <c r="E191" i="32" s="1"/>
  <c r="C191" i="32"/>
  <c r="D191" i="32"/>
  <c r="G191" i="32"/>
  <c r="H191" i="32"/>
  <c r="I191" i="32"/>
  <c r="J191" i="32"/>
  <c r="B192" i="32"/>
  <c r="E192" i="32" s="1"/>
  <c r="C192" i="32"/>
  <c r="D192" i="32"/>
  <c r="G192" i="32"/>
  <c r="H192" i="32"/>
  <c r="I192" i="32"/>
  <c r="J192" i="32"/>
  <c r="B193" i="32"/>
  <c r="E193" i="32" s="1"/>
  <c r="C193" i="32"/>
  <c r="D193" i="32"/>
  <c r="G193" i="32"/>
  <c r="J193" i="32" s="1"/>
  <c r="H193" i="32"/>
  <c r="I193" i="32"/>
  <c r="B194" i="32"/>
  <c r="E194" i="32" s="1"/>
  <c r="C194" i="32"/>
  <c r="D194" i="32"/>
  <c r="F194" i="32"/>
  <c r="G194" i="32"/>
  <c r="J194" i="32" s="1"/>
  <c r="H194" i="32"/>
  <c r="I194" i="32"/>
  <c r="B195" i="32"/>
  <c r="C195" i="32"/>
  <c r="D195" i="32"/>
  <c r="E195" i="32"/>
  <c r="F195" i="32"/>
  <c r="G195" i="32"/>
  <c r="K195" i="32" s="1"/>
  <c r="H195" i="32"/>
  <c r="I195" i="32"/>
  <c r="B196" i="32"/>
  <c r="C196" i="32"/>
  <c r="D196" i="32"/>
  <c r="E196" i="32"/>
  <c r="F196" i="32"/>
  <c r="G196" i="32"/>
  <c r="J196" i="32" s="1"/>
  <c r="H196" i="32"/>
  <c r="I196" i="32"/>
  <c r="B197" i="32"/>
  <c r="C197" i="32"/>
  <c r="D197" i="32"/>
  <c r="E197" i="32"/>
  <c r="F197" i="32"/>
  <c r="G197" i="32"/>
  <c r="J197" i="32" s="1"/>
  <c r="H197" i="32"/>
  <c r="I197" i="32"/>
  <c r="B198" i="32"/>
  <c r="E198" i="32" s="1"/>
  <c r="C198" i="32"/>
  <c r="D198" i="32"/>
  <c r="G198" i="32"/>
  <c r="H198" i="32"/>
  <c r="I198" i="32"/>
  <c r="J198" i="32"/>
  <c r="B199" i="32"/>
  <c r="E199" i="32" s="1"/>
  <c r="C199" i="32"/>
  <c r="D199" i="32"/>
  <c r="G199" i="32"/>
  <c r="H199" i="32"/>
  <c r="I199" i="32"/>
  <c r="J199" i="32"/>
  <c r="B200" i="32"/>
  <c r="E200" i="32" s="1"/>
  <c r="C200" i="32"/>
  <c r="D200" i="32"/>
  <c r="G200" i="32"/>
  <c r="H200" i="32"/>
  <c r="I200" i="32"/>
  <c r="J200" i="32"/>
  <c r="B201" i="32"/>
  <c r="E201" i="32" s="1"/>
  <c r="C201" i="32"/>
  <c r="D201" i="32"/>
  <c r="G201" i="32"/>
  <c r="J201" i="32" s="1"/>
  <c r="H201" i="32"/>
  <c r="I201" i="32"/>
  <c r="B202" i="32"/>
  <c r="E202" i="32" s="1"/>
  <c r="C202" i="32"/>
  <c r="D202" i="32"/>
  <c r="F202" i="32"/>
  <c r="G202" i="32"/>
  <c r="J202" i="32" s="1"/>
  <c r="H202" i="32"/>
  <c r="I202" i="32"/>
  <c r="B203" i="32"/>
  <c r="C203" i="32"/>
  <c r="D203" i="32"/>
  <c r="E203" i="32"/>
  <c r="F203" i="32"/>
  <c r="G203" i="32"/>
  <c r="J203" i="32" s="1"/>
  <c r="H203" i="32"/>
  <c r="I203" i="32"/>
  <c r="B119" i="32"/>
  <c r="E119" i="32" s="1"/>
  <c r="C119" i="32"/>
  <c r="D119" i="32"/>
  <c r="G119" i="32"/>
  <c r="J119" i="32" s="1"/>
  <c r="H119" i="32"/>
  <c r="I119" i="32"/>
  <c r="B120" i="32"/>
  <c r="E120" i="32" s="1"/>
  <c r="C120" i="32"/>
  <c r="E123" i="32" s="1"/>
  <c r="D120" i="32"/>
  <c r="G120" i="32"/>
  <c r="J120" i="32" s="1"/>
  <c r="H120" i="32"/>
  <c r="J123" i="32" s="1"/>
  <c r="I120" i="32"/>
  <c r="B121" i="32"/>
  <c r="F121" i="32" s="1"/>
  <c r="C121" i="32"/>
  <c r="D121" i="32"/>
  <c r="G121" i="32"/>
  <c r="J121" i="32" s="1"/>
  <c r="H121" i="32"/>
  <c r="J124" i="32" s="1"/>
  <c r="I121" i="32"/>
  <c r="B122" i="32"/>
  <c r="E122" i="32" s="1"/>
  <c r="C122" i="32"/>
  <c r="E125" i="32" s="1"/>
  <c r="D122" i="32"/>
  <c r="F128" i="32" s="1"/>
  <c r="F122" i="32"/>
  <c r="G122" i="32"/>
  <c r="J122" i="32" s="1"/>
  <c r="H122" i="32"/>
  <c r="I122" i="32"/>
  <c r="B123" i="32"/>
  <c r="F123" i="32" s="1"/>
  <c r="C123" i="32"/>
  <c r="D123" i="32"/>
  <c r="G123" i="32"/>
  <c r="H123" i="32"/>
  <c r="I123" i="32"/>
  <c r="B124" i="32"/>
  <c r="C124" i="32"/>
  <c r="D124" i="32"/>
  <c r="G124" i="32"/>
  <c r="H124" i="32"/>
  <c r="I124" i="32"/>
  <c r="B125" i="32"/>
  <c r="C125" i="32"/>
  <c r="E128" i="32" s="1"/>
  <c r="D125" i="32"/>
  <c r="F125" i="32"/>
  <c r="G125" i="32"/>
  <c r="H125" i="32"/>
  <c r="J128" i="32" s="1"/>
  <c r="I125" i="32"/>
  <c r="K131" i="32" s="1"/>
  <c r="J125" i="32"/>
  <c r="B126" i="32"/>
  <c r="E126" i="32" s="1"/>
  <c r="C126" i="32"/>
  <c r="D126" i="32"/>
  <c r="G126" i="32"/>
  <c r="H126" i="32"/>
  <c r="I126" i="32"/>
  <c r="J126" i="32"/>
  <c r="B127" i="32"/>
  <c r="E127" i="32" s="1"/>
  <c r="C127" i="32"/>
  <c r="D127" i="32"/>
  <c r="G127" i="32"/>
  <c r="J127" i="32" s="1"/>
  <c r="H127" i="32"/>
  <c r="I127" i="32"/>
  <c r="K133" i="32" s="1"/>
  <c r="B128" i="32"/>
  <c r="C128" i="32"/>
  <c r="D128" i="32"/>
  <c r="G128" i="32"/>
  <c r="H128" i="32"/>
  <c r="J131" i="32" s="1"/>
  <c r="I128" i="32"/>
  <c r="B129" i="32"/>
  <c r="F129" i="32" s="1"/>
  <c r="C129" i="32"/>
  <c r="D129" i="32"/>
  <c r="E129" i="32"/>
  <c r="G129" i="32"/>
  <c r="J129" i="32" s="1"/>
  <c r="H129" i="32"/>
  <c r="I129" i="32"/>
  <c r="B130" i="32"/>
  <c r="C130" i="32"/>
  <c r="D130" i="32"/>
  <c r="E130" i="32"/>
  <c r="F130" i="32"/>
  <c r="G130" i="32"/>
  <c r="J130" i="32" s="1"/>
  <c r="H130" i="32"/>
  <c r="I130" i="32"/>
  <c r="B131" i="32"/>
  <c r="F131" i="32" s="1"/>
  <c r="C131" i="32"/>
  <c r="D131" i="32"/>
  <c r="E131" i="32"/>
  <c r="G131" i="32"/>
  <c r="H131" i="32"/>
  <c r="I131" i="32"/>
  <c r="B132" i="32"/>
  <c r="E132" i="32" s="1"/>
  <c r="C132" i="32"/>
  <c r="D132" i="32"/>
  <c r="G132" i="32"/>
  <c r="H132" i="32"/>
  <c r="I132" i="32"/>
  <c r="J132" i="32"/>
  <c r="B133" i="32"/>
  <c r="E133" i="32" s="1"/>
  <c r="C133" i="32"/>
  <c r="E136" i="32" s="1"/>
  <c r="D133" i="32"/>
  <c r="F133" i="32"/>
  <c r="G133" i="32"/>
  <c r="H133" i="32"/>
  <c r="I133" i="32"/>
  <c r="K139" i="32" s="1"/>
  <c r="J133" i="32"/>
  <c r="B134" i="32"/>
  <c r="E134" i="32" s="1"/>
  <c r="C134" i="32"/>
  <c r="D134" i="32"/>
  <c r="G134" i="32"/>
  <c r="H134" i="32"/>
  <c r="I134" i="32"/>
  <c r="J134" i="32"/>
  <c r="B135" i="32"/>
  <c r="E135" i="32" s="1"/>
  <c r="C135" i="32"/>
  <c r="D135" i="32"/>
  <c r="G135" i="32"/>
  <c r="J135" i="32" s="1"/>
  <c r="H135" i="32"/>
  <c r="I135" i="32"/>
  <c r="K141" i="32" s="1"/>
  <c r="B136" i="32"/>
  <c r="C136" i="32"/>
  <c r="D136" i="32"/>
  <c r="F136" i="32"/>
  <c r="G136" i="32"/>
  <c r="J136" i="32" s="1"/>
  <c r="H136" i="32"/>
  <c r="J139" i="32" s="1"/>
  <c r="I136" i="32"/>
  <c r="B137" i="32"/>
  <c r="F137" i="32" s="1"/>
  <c r="C137" i="32"/>
  <c r="D137" i="32"/>
  <c r="E137" i="32"/>
  <c r="G137" i="32"/>
  <c r="J137" i="32" s="1"/>
  <c r="H137" i="32"/>
  <c r="I137" i="32"/>
  <c r="B138" i="32"/>
  <c r="C138" i="32"/>
  <c r="D138" i="32"/>
  <c r="E138" i="32"/>
  <c r="F138" i="32"/>
  <c r="G138" i="32"/>
  <c r="J138" i="32" s="1"/>
  <c r="H138" i="32"/>
  <c r="I138" i="32"/>
  <c r="B139" i="32"/>
  <c r="F139" i="32" s="1"/>
  <c r="C139" i="32"/>
  <c r="D139" i="32"/>
  <c r="E139" i="32"/>
  <c r="G139" i="32"/>
  <c r="H139" i="32"/>
  <c r="I139" i="32"/>
  <c r="B140" i="32"/>
  <c r="E140" i="32" s="1"/>
  <c r="C140" i="32"/>
  <c r="D140" i="32"/>
  <c r="G140" i="32"/>
  <c r="H140" i="32"/>
  <c r="I140" i="32"/>
  <c r="J140" i="32"/>
  <c r="B141" i="32"/>
  <c r="E141" i="32" s="1"/>
  <c r="C141" i="32"/>
  <c r="E144" i="32" s="1"/>
  <c r="D141" i="32"/>
  <c r="F141" i="32"/>
  <c r="G141" i="32"/>
  <c r="H141" i="32"/>
  <c r="I141" i="32"/>
  <c r="K147" i="32" s="1"/>
  <c r="J141" i="32"/>
  <c r="B142" i="32"/>
  <c r="E142" i="32" s="1"/>
  <c r="C142" i="32"/>
  <c r="D142" i="32"/>
  <c r="G142" i="32"/>
  <c r="H142" i="32"/>
  <c r="I142" i="32"/>
  <c r="J142" i="32"/>
  <c r="B143" i="32"/>
  <c r="E143" i="32" s="1"/>
  <c r="C143" i="32"/>
  <c r="D143" i="32"/>
  <c r="G143" i="32"/>
  <c r="J143" i="32" s="1"/>
  <c r="H143" i="32"/>
  <c r="I143" i="32"/>
  <c r="K149" i="32" s="1"/>
  <c r="B144" i="32"/>
  <c r="C144" i="32"/>
  <c r="D144" i="32"/>
  <c r="F144" i="32"/>
  <c r="G144" i="32"/>
  <c r="J144" i="32" s="1"/>
  <c r="H144" i="32"/>
  <c r="J147" i="32" s="1"/>
  <c r="I144" i="32"/>
  <c r="B145" i="32"/>
  <c r="F145" i="32" s="1"/>
  <c r="C145" i="32"/>
  <c r="D145" i="32"/>
  <c r="E145" i="32"/>
  <c r="G145" i="32"/>
  <c r="J145" i="32" s="1"/>
  <c r="H145" i="32"/>
  <c r="I145" i="32"/>
  <c r="B146" i="32"/>
  <c r="C146" i="32"/>
  <c r="D146" i="32"/>
  <c r="E146" i="32"/>
  <c r="F146" i="32"/>
  <c r="G146" i="32"/>
  <c r="J146" i="32" s="1"/>
  <c r="H146" i="32"/>
  <c r="I146" i="32"/>
  <c r="B147" i="32"/>
  <c r="F147" i="32" s="1"/>
  <c r="C147" i="32"/>
  <c r="D147" i="32"/>
  <c r="E147" i="32"/>
  <c r="G147" i="32"/>
  <c r="H147" i="32"/>
  <c r="I147" i="32"/>
  <c r="B148" i="32"/>
  <c r="E148" i="32" s="1"/>
  <c r="C148" i="32"/>
  <c r="D148" i="32"/>
  <c r="G148" i="32"/>
  <c r="H148" i="32"/>
  <c r="I148" i="32"/>
  <c r="J148" i="32"/>
  <c r="B149" i="32"/>
  <c r="E149" i="32" s="1"/>
  <c r="C149" i="32"/>
  <c r="D149" i="32"/>
  <c r="G149" i="32"/>
  <c r="H149" i="32"/>
  <c r="I149" i="32"/>
  <c r="J149" i="32"/>
  <c r="B150" i="32"/>
  <c r="E150" i="32" s="1"/>
  <c r="C150" i="32"/>
  <c r="D150" i="32"/>
  <c r="G150" i="32"/>
  <c r="H150" i="32"/>
  <c r="I150" i="32"/>
  <c r="J150" i="32"/>
  <c r="B151" i="32"/>
  <c r="E151" i="32" s="1"/>
  <c r="C151" i="32"/>
  <c r="D151" i="32"/>
  <c r="G151" i="32"/>
  <c r="J151" i="32" s="1"/>
  <c r="H151" i="32"/>
  <c r="I151" i="32"/>
  <c r="B69" i="32"/>
  <c r="B221" i="32" s="1"/>
  <c r="C69" i="32"/>
  <c r="C221" i="32" s="1"/>
  <c r="D69" i="32"/>
  <c r="D221" i="32" s="1"/>
  <c r="G69" i="32"/>
  <c r="H69" i="32"/>
  <c r="I69" i="32"/>
  <c r="B70" i="32"/>
  <c r="C70" i="32"/>
  <c r="D70" i="32"/>
  <c r="D222" i="32" s="1"/>
  <c r="G70" i="32"/>
  <c r="H70" i="32"/>
  <c r="I70" i="32"/>
  <c r="B71" i="32"/>
  <c r="C71" i="32"/>
  <c r="D71" i="32"/>
  <c r="G71" i="32"/>
  <c r="H71" i="32"/>
  <c r="I71" i="32"/>
  <c r="B72" i="32"/>
  <c r="E72" i="32" s="1"/>
  <c r="C72" i="32"/>
  <c r="D72" i="32"/>
  <c r="G72" i="32"/>
  <c r="H72" i="32"/>
  <c r="I72" i="32"/>
  <c r="B73" i="32"/>
  <c r="C73" i="32"/>
  <c r="D73" i="32"/>
  <c r="G73" i="32"/>
  <c r="H73" i="32"/>
  <c r="I73" i="32"/>
  <c r="B74" i="32"/>
  <c r="C74" i="32"/>
  <c r="D74" i="32"/>
  <c r="G74" i="32"/>
  <c r="H74" i="32"/>
  <c r="I74" i="32"/>
  <c r="B75" i="32"/>
  <c r="C75" i="32"/>
  <c r="D75" i="32"/>
  <c r="G75" i="32"/>
  <c r="H75" i="32"/>
  <c r="I75" i="32"/>
  <c r="B76" i="32"/>
  <c r="C76" i="32"/>
  <c r="D76" i="32"/>
  <c r="G76" i="32"/>
  <c r="H76" i="32"/>
  <c r="I76" i="32"/>
  <c r="B77" i="32"/>
  <c r="E77" i="32" s="1"/>
  <c r="C77" i="32"/>
  <c r="D77" i="32"/>
  <c r="G77" i="32"/>
  <c r="K77" i="32" s="1"/>
  <c r="H77" i="32"/>
  <c r="I77" i="32"/>
  <c r="B78" i="32"/>
  <c r="C78" i="32"/>
  <c r="D78" i="32"/>
  <c r="G78" i="32"/>
  <c r="H78" i="32"/>
  <c r="I78" i="32"/>
  <c r="K84" i="32" s="1"/>
  <c r="B79" i="32"/>
  <c r="C79" i="32"/>
  <c r="D79" i="32"/>
  <c r="G79" i="32"/>
  <c r="H79" i="32"/>
  <c r="I79" i="32"/>
  <c r="B80" i="32"/>
  <c r="C80" i="32"/>
  <c r="D80" i="32"/>
  <c r="G80" i="32"/>
  <c r="J80" i="32" s="1"/>
  <c r="H80" i="32"/>
  <c r="I80" i="32"/>
  <c r="B81" i="32"/>
  <c r="C81" i="32"/>
  <c r="D81" i="32"/>
  <c r="F81" i="32"/>
  <c r="G81" i="32"/>
  <c r="H81" i="32"/>
  <c r="I81" i="32"/>
  <c r="B82" i="32"/>
  <c r="F82" i="32" s="1"/>
  <c r="C82" i="32"/>
  <c r="D82" i="32"/>
  <c r="G82" i="32"/>
  <c r="J82" i="32" s="1"/>
  <c r="H82" i="32"/>
  <c r="I82" i="32"/>
  <c r="B83" i="32"/>
  <c r="E83" i="32" s="1"/>
  <c r="C83" i="32"/>
  <c r="D83" i="32"/>
  <c r="G83" i="32"/>
  <c r="H83" i="32"/>
  <c r="I83" i="32"/>
  <c r="B84" i="32"/>
  <c r="E84" i="32" s="1"/>
  <c r="C84" i="32"/>
  <c r="D84" i="32"/>
  <c r="G84" i="32"/>
  <c r="J84" i="32" s="1"/>
  <c r="H84" i="32"/>
  <c r="I84" i="32"/>
  <c r="K90" i="32" s="1"/>
  <c r="B85" i="32"/>
  <c r="E85" i="32" s="1"/>
  <c r="C85" i="32"/>
  <c r="D85" i="32"/>
  <c r="G85" i="32"/>
  <c r="H85" i="32"/>
  <c r="I85" i="32"/>
  <c r="B86" i="32"/>
  <c r="C86" i="32"/>
  <c r="D86" i="32"/>
  <c r="G86" i="32"/>
  <c r="K86" i="32" s="1"/>
  <c r="H86" i="32"/>
  <c r="I86" i="32"/>
  <c r="B87" i="32"/>
  <c r="E87" i="32" s="1"/>
  <c r="C87" i="32"/>
  <c r="D87" i="32"/>
  <c r="G87" i="32"/>
  <c r="H87" i="32"/>
  <c r="I87" i="32"/>
  <c r="B88" i="32"/>
  <c r="C88" i="32"/>
  <c r="D88" i="32"/>
  <c r="F88" i="32"/>
  <c r="G88" i="32"/>
  <c r="H88" i="32"/>
  <c r="I88" i="32"/>
  <c r="B89" i="32"/>
  <c r="E89" i="32" s="1"/>
  <c r="C89" i="32"/>
  <c r="D89" i="32"/>
  <c r="G89" i="32"/>
  <c r="H89" i="32"/>
  <c r="I89" i="32"/>
  <c r="B90" i="32"/>
  <c r="F90" i="32" s="1"/>
  <c r="C90" i="32"/>
  <c r="D90" i="32"/>
  <c r="G90" i="32"/>
  <c r="H90" i="32"/>
  <c r="I90" i="32"/>
  <c r="B91" i="32"/>
  <c r="F91" i="32" s="1"/>
  <c r="C91" i="32"/>
  <c r="D91" i="32"/>
  <c r="E91" i="32"/>
  <c r="G91" i="32"/>
  <c r="H91" i="32"/>
  <c r="J94" i="32" s="1"/>
  <c r="I91" i="32"/>
  <c r="B92" i="32"/>
  <c r="E92" i="32" s="1"/>
  <c r="C92" i="32"/>
  <c r="D92" i="32"/>
  <c r="G92" i="32"/>
  <c r="J92" i="32" s="1"/>
  <c r="H92" i="32"/>
  <c r="I92" i="32"/>
  <c r="B93" i="32"/>
  <c r="E93" i="32" s="1"/>
  <c r="C93" i="32"/>
  <c r="D93" i="32"/>
  <c r="G93" i="32"/>
  <c r="H93" i="32"/>
  <c r="I93" i="32"/>
  <c r="B94" i="32"/>
  <c r="C94" i="32"/>
  <c r="D94" i="32"/>
  <c r="G94" i="32"/>
  <c r="H94" i="32"/>
  <c r="I94" i="32"/>
  <c r="B95" i="32"/>
  <c r="C95" i="32"/>
  <c r="D95" i="32"/>
  <c r="G95" i="32"/>
  <c r="H95" i="32"/>
  <c r="I95" i="32"/>
  <c r="B96" i="32"/>
  <c r="E96" i="32" s="1"/>
  <c r="C96" i="32"/>
  <c r="D96" i="32"/>
  <c r="G96" i="32"/>
  <c r="K96" i="32" s="1"/>
  <c r="H96" i="32"/>
  <c r="I96" i="32"/>
  <c r="B97" i="32"/>
  <c r="E97" i="32" s="1"/>
  <c r="C97" i="32"/>
  <c r="D97" i="32"/>
  <c r="G97" i="32"/>
  <c r="K97" i="32" s="1"/>
  <c r="H97" i="32"/>
  <c r="I97" i="32"/>
  <c r="B98" i="32"/>
  <c r="C98" i="32"/>
  <c r="D98" i="32"/>
  <c r="G98" i="32"/>
  <c r="H98" i="32"/>
  <c r="I98" i="32"/>
  <c r="B99" i="32"/>
  <c r="C99" i="32"/>
  <c r="D99" i="32"/>
  <c r="G99" i="32"/>
  <c r="H99" i="32"/>
  <c r="I99" i="32"/>
  <c r="B100" i="32"/>
  <c r="C100" i="32"/>
  <c r="D100" i="32"/>
  <c r="G100" i="32"/>
  <c r="J100" i="32" s="1"/>
  <c r="H100" i="32"/>
  <c r="I100" i="32"/>
  <c r="B101" i="32"/>
  <c r="C101" i="32"/>
  <c r="D101" i="32"/>
  <c r="G101" i="32"/>
  <c r="J101" i="32" s="1"/>
  <c r="H101" i="32"/>
  <c r="I101" i="32"/>
  <c r="B20" i="32"/>
  <c r="E20" i="32" s="1"/>
  <c r="C20" i="32"/>
  <c r="D20" i="32"/>
  <c r="B21" i="32"/>
  <c r="E21" i="32" s="1"/>
  <c r="C21" i="32"/>
  <c r="E24" i="32" s="1"/>
  <c r="D21" i="32"/>
  <c r="F27" i="32" s="1"/>
  <c r="B22" i="32"/>
  <c r="E22" i="32" s="1"/>
  <c r="C22" i="32"/>
  <c r="D22" i="32"/>
  <c r="B23" i="32"/>
  <c r="E23" i="32" s="1"/>
  <c r="C23" i="32"/>
  <c r="D23" i="32"/>
  <c r="B24" i="32"/>
  <c r="C24" i="32"/>
  <c r="D24" i="32"/>
  <c r="F24" i="32"/>
  <c r="B25" i="32"/>
  <c r="E25" i="32" s="1"/>
  <c r="C25" i="32"/>
  <c r="D25" i="32"/>
  <c r="B26" i="32"/>
  <c r="C26" i="32"/>
  <c r="E29" i="32" s="1"/>
  <c r="D26" i="32"/>
  <c r="E26" i="32"/>
  <c r="F26" i="32"/>
  <c r="B27" i="32"/>
  <c r="E27" i="32" s="1"/>
  <c r="C27" i="32"/>
  <c r="D27" i="32"/>
  <c r="B28" i="32"/>
  <c r="E28" i="32" s="1"/>
  <c r="C28" i="32"/>
  <c r="D28" i="32"/>
  <c r="B29" i="32"/>
  <c r="C29" i="32"/>
  <c r="D29" i="32"/>
  <c r="F29" i="32"/>
  <c r="B30" i="32"/>
  <c r="E30" i="32" s="1"/>
  <c r="C30" i="32"/>
  <c r="D30" i="32"/>
  <c r="B31" i="32"/>
  <c r="E31" i="32" s="1"/>
  <c r="C31" i="32"/>
  <c r="D31" i="32"/>
  <c r="B32" i="32"/>
  <c r="C32" i="32"/>
  <c r="D32" i="32"/>
  <c r="E32" i="32"/>
  <c r="F32" i="32"/>
  <c r="B33" i="32"/>
  <c r="E33" i="32" s="1"/>
  <c r="C33" i="32"/>
  <c r="D33" i="32"/>
  <c r="B34" i="32"/>
  <c r="C34" i="32"/>
  <c r="E37" i="32" s="1"/>
  <c r="D34" i="32"/>
  <c r="E34" i="32"/>
  <c r="F34" i="32"/>
  <c r="B35" i="32"/>
  <c r="E35" i="32" s="1"/>
  <c r="C35" i="32"/>
  <c r="D35" i="32"/>
  <c r="F35" i="32"/>
  <c r="B36" i="32"/>
  <c r="E36" i="32" s="1"/>
  <c r="C36" i="32"/>
  <c r="D36" i="32"/>
  <c r="B37" i="32"/>
  <c r="C37" i="32"/>
  <c r="D37" i="32"/>
  <c r="F37" i="32"/>
  <c r="B38" i="32"/>
  <c r="E38" i="32" s="1"/>
  <c r="C38" i="32"/>
  <c r="D38" i="32"/>
  <c r="B39" i="32"/>
  <c r="E39" i="32" s="1"/>
  <c r="C39" i="32"/>
  <c r="D39" i="32"/>
  <c r="B40" i="32"/>
  <c r="C40" i="32"/>
  <c r="D40" i="32"/>
  <c r="E40" i="32"/>
  <c r="F40" i="32"/>
  <c r="B41" i="32"/>
  <c r="E41" i="32" s="1"/>
  <c r="C41" i="32"/>
  <c r="D41" i="32"/>
  <c r="B42" i="32"/>
  <c r="C42" i="32"/>
  <c r="E45" i="32" s="1"/>
  <c r="D42" i="32"/>
  <c r="E42" i="32"/>
  <c r="F42" i="32"/>
  <c r="B43" i="32"/>
  <c r="E43" i="32" s="1"/>
  <c r="C43" i="32"/>
  <c r="D43" i="32"/>
  <c r="F43" i="32"/>
  <c r="B44" i="32"/>
  <c r="E44" i="32" s="1"/>
  <c r="C44" i="32"/>
  <c r="D44" i="32"/>
  <c r="B45" i="32"/>
  <c r="C45" i="32"/>
  <c r="D45" i="32"/>
  <c r="F51" i="32" s="1"/>
  <c r="F45" i="32"/>
  <c r="B46" i="32"/>
  <c r="E46" i="32" s="1"/>
  <c r="C46" i="32"/>
  <c r="D46" i="32"/>
  <c r="B47" i="32"/>
  <c r="E47" i="32" s="1"/>
  <c r="C47" i="32"/>
  <c r="D47" i="32"/>
  <c r="B48" i="32"/>
  <c r="C48" i="32"/>
  <c r="D48" i="32"/>
  <c r="E48" i="32"/>
  <c r="F48" i="32"/>
  <c r="B49" i="32"/>
  <c r="E49" i="32" s="1"/>
  <c r="C49" i="32"/>
  <c r="D49" i="32"/>
  <c r="B50" i="32"/>
  <c r="C50" i="32"/>
  <c r="D50" i="32"/>
  <c r="E50" i="32"/>
  <c r="F50" i="32"/>
  <c r="B51" i="32"/>
  <c r="E51" i="32" s="1"/>
  <c r="C51" i="32"/>
  <c r="D51" i="32"/>
  <c r="B52" i="32"/>
  <c r="E52" i="32" s="1"/>
  <c r="C52" i="32"/>
  <c r="D52" i="32"/>
  <c r="K169" i="32"/>
  <c r="L169" i="32"/>
  <c r="O169" i="32" s="1"/>
  <c r="M169" i="32"/>
  <c r="N169" i="32"/>
  <c r="P169" i="32"/>
  <c r="Q169" i="32"/>
  <c r="T169" i="32" s="1"/>
  <c r="R169" i="32"/>
  <c r="S169" i="32"/>
  <c r="V169" i="32"/>
  <c r="W169" i="32"/>
  <c r="X169" i="32"/>
  <c r="Y169" i="32"/>
  <c r="Z169" i="32"/>
  <c r="AA169" i="32"/>
  <c r="AD169" i="32" s="1"/>
  <c r="AB169" i="32"/>
  <c r="AC169" i="32"/>
  <c r="L170" i="32"/>
  <c r="O170" i="32" s="1"/>
  <c r="M170" i="32"/>
  <c r="N170" i="32"/>
  <c r="P176" i="32" s="1"/>
  <c r="Q170" i="32"/>
  <c r="R170" i="32"/>
  <c r="S170" i="32"/>
  <c r="U176" i="32" s="1"/>
  <c r="T170" i="32"/>
  <c r="U170" i="32"/>
  <c r="V170" i="32"/>
  <c r="Y170" i="32" s="1"/>
  <c r="W170" i="32"/>
  <c r="X170" i="32"/>
  <c r="AA170" i="32"/>
  <c r="AD170" i="32" s="1"/>
  <c r="AB170" i="32"/>
  <c r="AC170" i="32"/>
  <c r="L171" i="32"/>
  <c r="O171" i="32" s="1"/>
  <c r="M171" i="32"/>
  <c r="O174" i="32" s="1"/>
  <c r="N171" i="32"/>
  <c r="Q171" i="32"/>
  <c r="T171" i="32" s="1"/>
  <c r="R171" i="32"/>
  <c r="S171" i="32"/>
  <c r="V171" i="32"/>
  <c r="Y171" i="32" s="1"/>
  <c r="W171" i="32"/>
  <c r="Y174" i="32" s="1"/>
  <c r="X171" i="32"/>
  <c r="Z177" i="32" s="1"/>
  <c r="AA171" i="32"/>
  <c r="AB171" i="32"/>
  <c r="AC171" i="32"/>
  <c r="AD171" i="32"/>
  <c r="AE171" i="32"/>
  <c r="K172" i="32"/>
  <c r="L172" i="32"/>
  <c r="O172" i="32" s="1"/>
  <c r="M172" i="32"/>
  <c r="N172" i="32"/>
  <c r="Q172" i="32"/>
  <c r="T172" i="32" s="1"/>
  <c r="R172" i="32"/>
  <c r="S172" i="32"/>
  <c r="V172" i="32"/>
  <c r="W172" i="32"/>
  <c r="X172" i="32"/>
  <c r="Y172" i="32"/>
  <c r="Z172" i="32"/>
  <c r="AA172" i="32"/>
  <c r="AD172" i="32" s="1"/>
  <c r="AB172" i="32"/>
  <c r="AC172" i="32"/>
  <c r="K173" i="32"/>
  <c r="L173" i="32"/>
  <c r="O173" i="32" s="1"/>
  <c r="M173" i="32"/>
  <c r="N173" i="32"/>
  <c r="Q173" i="32"/>
  <c r="R173" i="32"/>
  <c r="S173" i="32"/>
  <c r="T173" i="32"/>
  <c r="U173" i="32"/>
  <c r="V173" i="32"/>
  <c r="Y173" i="32" s="1"/>
  <c r="W173" i="32"/>
  <c r="X173" i="32"/>
  <c r="AA173" i="32"/>
  <c r="AB173" i="32"/>
  <c r="AD176" i="32" s="1"/>
  <c r="AC173" i="32"/>
  <c r="AD173" i="32"/>
  <c r="AE173" i="32"/>
  <c r="K174" i="32"/>
  <c r="L174" i="32"/>
  <c r="M174" i="32"/>
  <c r="N174" i="32"/>
  <c r="P174" i="32"/>
  <c r="Q174" i="32"/>
  <c r="T174" i="32" s="1"/>
  <c r="R174" i="32"/>
  <c r="S174" i="32"/>
  <c r="V174" i="32"/>
  <c r="W174" i="32"/>
  <c r="Y177" i="32" s="1"/>
  <c r="X174" i="32"/>
  <c r="Z174" i="32"/>
  <c r="AA174" i="32"/>
  <c r="AD174" i="32" s="1"/>
  <c r="AB174" i="32"/>
  <c r="AC174" i="32"/>
  <c r="AE174" i="32"/>
  <c r="K175" i="32"/>
  <c r="L175" i="32"/>
  <c r="O175" i="32" s="1"/>
  <c r="M175" i="32"/>
  <c r="N175" i="32"/>
  <c r="Q175" i="32"/>
  <c r="R175" i="32"/>
  <c r="T178" i="32" s="1"/>
  <c r="S175" i="32"/>
  <c r="T175" i="32"/>
  <c r="U175" i="32"/>
  <c r="V175" i="32"/>
  <c r="Y175" i="32" s="1"/>
  <c r="W175" i="32"/>
  <c r="X175" i="32"/>
  <c r="Z175" i="32"/>
  <c r="AA175" i="32"/>
  <c r="AD175" i="32" s="1"/>
  <c r="AB175" i="32"/>
  <c r="AC175" i="32"/>
  <c r="K176" i="32"/>
  <c r="L176" i="32"/>
  <c r="M176" i="32"/>
  <c r="N176" i="32"/>
  <c r="O176" i="32"/>
  <c r="Q176" i="32"/>
  <c r="R176" i="32"/>
  <c r="S176" i="32"/>
  <c r="T176" i="32"/>
  <c r="V176" i="32"/>
  <c r="Y176" i="32" s="1"/>
  <c r="W176" i="32"/>
  <c r="X176" i="32"/>
  <c r="AA176" i="32"/>
  <c r="AB176" i="32"/>
  <c r="AC176" i="32"/>
  <c r="AE176" i="32"/>
  <c r="L177" i="32"/>
  <c r="M177" i="32"/>
  <c r="N177" i="32"/>
  <c r="O177" i="32"/>
  <c r="P177" i="32"/>
  <c r="Q177" i="32"/>
  <c r="T177" i="32" s="1"/>
  <c r="R177" i="32"/>
  <c r="S177" i="32"/>
  <c r="V177" i="32"/>
  <c r="W177" i="32"/>
  <c r="X177" i="32"/>
  <c r="AA177" i="32"/>
  <c r="AB177" i="32"/>
  <c r="AC177" i="32"/>
  <c r="AD177" i="32"/>
  <c r="L178" i="32"/>
  <c r="O178" i="32" s="1"/>
  <c r="M178" i="32"/>
  <c r="N178" i="32"/>
  <c r="Q178" i="32"/>
  <c r="R178" i="32"/>
  <c r="S178" i="32"/>
  <c r="U178" i="32"/>
  <c r="V178" i="32"/>
  <c r="Z178" i="32" s="1"/>
  <c r="W178" i="32"/>
  <c r="X178" i="32"/>
  <c r="Z184" i="32" s="1"/>
  <c r="Y178" i="32"/>
  <c r="AA178" i="32"/>
  <c r="AD178" i="32" s="1"/>
  <c r="AB178" i="32"/>
  <c r="AC178" i="32"/>
  <c r="L179" i="32"/>
  <c r="O179" i="32" s="1"/>
  <c r="M179" i="32"/>
  <c r="N179" i="32"/>
  <c r="P179" i="32"/>
  <c r="Q179" i="32"/>
  <c r="U179" i="32" s="1"/>
  <c r="R179" i="32"/>
  <c r="S179" i="32"/>
  <c r="T179" i="32"/>
  <c r="V179" i="32"/>
  <c r="Y179" i="32" s="1"/>
  <c r="W179" i="32"/>
  <c r="X179" i="32"/>
  <c r="AA179" i="32"/>
  <c r="AE179" i="32" s="1"/>
  <c r="AB179" i="32"/>
  <c r="AC179" i="32"/>
  <c r="AD179" i="32"/>
  <c r="K180" i="32"/>
  <c r="L180" i="32"/>
  <c r="P180" i="32" s="1"/>
  <c r="M180" i="32"/>
  <c r="N180" i="32"/>
  <c r="O180" i="32"/>
  <c r="Q180" i="32"/>
  <c r="T180" i="32" s="1"/>
  <c r="R180" i="32"/>
  <c r="S180" i="32"/>
  <c r="V180" i="32"/>
  <c r="Z180" i="32" s="1"/>
  <c r="W180" i="32"/>
  <c r="X180" i="32"/>
  <c r="Y180" i="32"/>
  <c r="AA180" i="32"/>
  <c r="AD180" i="32" s="1"/>
  <c r="AB180" i="32"/>
  <c r="AC180" i="32"/>
  <c r="L181" i="32"/>
  <c r="O181" i="32" s="1"/>
  <c r="M181" i="32"/>
  <c r="N181" i="32"/>
  <c r="Q181" i="32"/>
  <c r="U181" i="32" s="1"/>
  <c r="R181" i="32"/>
  <c r="S181" i="32"/>
  <c r="T181" i="32"/>
  <c r="V181" i="32"/>
  <c r="Y181" i="32" s="1"/>
  <c r="W181" i="32"/>
  <c r="X181" i="32"/>
  <c r="AA181" i="32"/>
  <c r="AE181" i="32" s="1"/>
  <c r="AB181" i="32"/>
  <c r="AD184" i="32" s="1"/>
  <c r="AC181" i="32"/>
  <c r="AD181" i="32"/>
  <c r="K182" i="32"/>
  <c r="L182" i="32"/>
  <c r="P182" i="32" s="1"/>
  <c r="M182" i="32"/>
  <c r="N182" i="32"/>
  <c r="O182" i="32"/>
  <c r="Q182" i="32"/>
  <c r="T182" i="32" s="1"/>
  <c r="R182" i="32"/>
  <c r="S182" i="32"/>
  <c r="V182" i="32"/>
  <c r="Z182" i="32" s="1"/>
  <c r="W182" i="32"/>
  <c r="Y185" i="32" s="1"/>
  <c r="X182" i="32"/>
  <c r="Y182" i="32"/>
  <c r="AA182" i="32"/>
  <c r="AB182" i="32"/>
  <c r="AC182" i="32"/>
  <c r="AD182" i="32"/>
  <c r="AE182" i="32"/>
  <c r="L183" i="32"/>
  <c r="O183" i="32" s="1"/>
  <c r="M183" i="32"/>
  <c r="N183" i="32"/>
  <c r="Q183" i="32"/>
  <c r="U183" i="32" s="1"/>
  <c r="R183" i="32"/>
  <c r="T186" i="32" s="1"/>
  <c r="S183" i="32"/>
  <c r="T183" i="32"/>
  <c r="V183" i="32"/>
  <c r="W183" i="32"/>
  <c r="X183" i="32"/>
  <c r="Y183" i="32"/>
  <c r="Z183" i="32"/>
  <c r="AA183" i="32"/>
  <c r="AB183" i="32"/>
  <c r="AC183" i="32"/>
  <c r="AD183" i="32"/>
  <c r="AE183" i="32"/>
  <c r="K184" i="32"/>
  <c r="L184" i="32"/>
  <c r="P184" i="32" s="1"/>
  <c r="M184" i="32"/>
  <c r="O187" i="32" s="1"/>
  <c r="N184" i="32"/>
  <c r="O184" i="32"/>
  <c r="Q184" i="32"/>
  <c r="R184" i="32"/>
  <c r="S184" i="32"/>
  <c r="T184" i="32"/>
  <c r="U184" i="32"/>
  <c r="V184" i="32"/>
  <c r="W184" i="32"/>
  <c r="X184" i="32"/>
  <c r="Y184" i="32"/>
  <c r="AA184" i="32"/>
  <c r="AB184" i="32"/>
  <c r="AC184" i="32"/>
  <c r="AE184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Z185" i="32"/>
  <c r="AA185" i="32"/>
  <c r="AD185" i="32" s="1"/>
  <c r="AB185" i="32"/>
  <c r="AC185" i="32"/>
  <c r="AE185" i="32"/>
  <c r="K186" i="32"/>
  <c r="L186" i="32"/>
  <c r="M186" i="32"/>
  <c r="N186" i="32"/>
  <c r="O186" i="32"/>
  <c r="P186" i="32"/>
  <c r="Q186" i="32"/>
  <c r="R186" i="32"/>
  <c r="S186" i="32"/>
  <c r="U186" i="32"/>
  <c r="V186" i="32"/>
  <c r="Y186" i="32" s="1"/>
  <c r="W186" i="32"/>
  <c r="X186" i="32"/>
  <c r="Z186" i="32"/>
  <c r="AA186" i="32"/>
  <c r="AD186" i="32" s="1"/>
  <c r="AB186" i="32"/>
  <c r="AC186" i="32"/>
  <c r="L187" i="32"/>
  <c r="M187" i="32"/>
  <c r="N187" i="32"/>
  <c r="P187" i="32"/>
  <c r="Q187" i="32"/>
  <c r="T187" i="32" s="1"/>
  <c r="R187" i="32"/>
  <c r="S187" i="32"/>
  <c r="U187" i="32"/>
  <c r="V187" i="32"/>
  <c r="Y187" i="32" s="1"/>
  <c r="W187" i="32"/>
  <c r="X187" i="32"/>
  <c r="AA187" i="32"/>
  <c r="AE187" i="32" s="1"/>
  <c r="AB187" i="32"/>
  <c r="AC187" i="32"/>
  <c r="AD187" i="32"/>
  <c r="K188" i="32"/>
  <c r="L188" i="32"/>
  <c r="O188" i="32" s="1"/>
  <c r="M188" i="32"/>
  <c r="N188" i="32"/>
  <c r="P188" i="32"/>
  <c r="Q188" i="32"/>
  <c r="T188" i="32" s="1"/>
  <c r="R188" i="32"/>
  <c r="S188" i="32"/>
  <c r="V188" i="32"/>
  <c r="Z188" i="32" s="1"/>
  <c r="W188" i="32"/>
  <c r="X188" i="32"/>
  <c r="Y188" i="32"/>
  <c r="AA188" i="32"/>
  <c r="AD188" i="32" s="1"/>
  <c r="AB188" i="32"/>
  <c r="AC188" i="32"/>
  <c r="K189" i="32"/>
  <c r="L189" i="32"/>
  <c r="O189" i="32" s="1"/>
  <c r="M189" i="32"/>
  <c r="N189" i="32"/>
  <c r="Q189" i="32"/>
  <c r="U189" i="32" s="1"/>
  <c r="R189" i="32"/>
  <c r="S189" i="32"/>
  <c r="T189" i="32"/>
  <c r="V189" i="32"/>
  <c r="Y189" i="32" s="1"/>
  <c r="W189" i="32"/>
  <c r="X189" i="32"/>
  <c r="AA189" i="32"/>
  <c r="AE189" i="32" s="1"/>
  <c r="AB189" i="32"/>
  <c r="AD192" i="32" s="1"/>
  <c r="AC189" i="32"/>
  <c r="AD189" i="32"/>
  <c r="K190" i="32"/>
  <c r="L190" i="32"/>
  <c r="P190" i="32" s="1"/>
  <c r="M190" i="32"/>
  <c r="N190" i="32"/>
  <c r="O190" i="32"/>
  <c r="Q190" i="32"/>
  <c r="T190" i="32" s="1"/>
  <c r="R190" i="32"/>
  <c r="S190" i="32"/>
  <c r="V190" i="32"/>
  <c r="Z190" i="32" s="1"/>
  <c r="W190" i="32"/>
  <c r="Y193" i="32" s="1"/>
  <c r="X190" i="32"/>
  <c r="Y190" i="32"/>
  <c r="AA190" i="32"/>
  <c r="AB190" i="32"/>
  <c r="AC190" i="32"/>
  <c r="AD190" i="32"/>
  <c r="AE190" i="32"/>
  <c r="K191" i="32"/>
  <c r="L191" i="32"/>
  <c r="O191" i="32" s="1"/>
  <c r="M191" i="32"/>
  <c r="N191" i="32"/>
  <c r="Q191" i="32"/>
  <c r="U191" i="32" s="1"/>
  <c r="R191" i="32"/>
  <c r="T194" i="32" s="1"/>
  <c r="S191" i="32"/>
  <c r="T191" i="32"/>
  <c r="V191" i="32"/>
  <c r="W191" i="32"/>
  <c r="X191" i="32"/>
  <c r="Y191" i="32"/>
  <c r="Z191" i="32"/>
  <c r="AA191" i="32"/>
  <c r="AB191" i="32"/>
  <c r="AC191" i="32"/>
  <c r="AD191" i="32"/>
  <c r="AE191" i="32"/>
  <c r="K192" i="32"/>
  <c r="L192" i="32"/>
  <c r="P192" i="32" s="1"/>
  <c r="M192" i="32"/>
  <c r="O195" i="32" s="1"/>
  <c r="N192" i="32"/>
  <c r="O192" i="32"/>
  <c r="Q192" i="32"/>
  <c r="R192" i="32"/>
  <c r="S192" i="32"/>
  <c r="T192" i="32"/>
  <c r="U192" i="32"/>
  <c r="V192" i="32"/>
  <c r="W192" i="32"/>
  <c r="X192" i="32"/>
  <c r="Y192" i="32"/>
  <c r="Z192" i="32"/>
  <c r="AA192" i="32"/>
  <c r="AB192" i="32"/>
  <c r="AC192" i="32"/>
  <c r="AE192" i="32"/>
  <c r="L193" i="32"/>
  <c r="M193" i="32"/>
  <c r="O196" i="32" s="1"/>
  <c r="N193" i="32"/>
  <c r="O193" i="32"/>
  <c r="P193" i="32"/>
  <c r="Q193" i="32"/>
  <c r="R193" i="32"/>
  <c r="S193" i="32"/>
  <c r="T193" i="32"/>
  <c r="U193" i="32"/>
  <c r="V193" i="32"/>
  <c r="W193" i="32"/>
  <c r="X193" i="32"/>
  <c r="Z193" i="32"/>
  <c r="AA193" i="32"/>
  <c r="AD193" i="32" s="1"/>
  <c r="AB193" i="32"/>
  <c r="AC193" i="32"/>
  <c r="AE193" i="32"/>
  <c r="K194" i="32"/>
  <c r="L194" i="32"/>
  <c r="M194" i="32"/>
  <c r="N194" i="32"/>
  <c r="O194" i="32"/>
  <c r="P194" i="32"/>
  <c r="Q194" i="32"/>
  <c r="R194" i="32"/>
  <c r="S194" i="32"/>
  <c r="U194" i="32"/>
  <c r="V194" i="32"/>
  <c r="Y194" i="32" s="1"/>
  <c r="W194" i="32"/>
  <c r="X194" i="32"/>
  <c r="Z194" i="32"/>
  <c r="AA194" i="32"/>
  <c r="AD194" i="32" s="1"/>
  <c r="AB194" i="32"/>
  <c r="AC194" i="32"/>
  <c r="L195" i="32"/>
  <c r="M195" i="32"/>
  <c r="N195" i="32"/>
  <c r="P195" i="32"/>
  <c r="Q195" i="32"/>
  <c r="T195" i="32" s="1"/>
  <c r="R195" i="32"/>
  <c r="S195" i="32"/>
  <c r="U195" i="32"/>
  <c r="V195" i="32"/>
  <c r="Y195" i="32" s="1"/>
  <c r="W195" i="32"/>
  <c r="X195" i="32"/>
  <c r="AA195" i="32"/>
  <c r="AE195" i="32" s="1"/>
  <c r="AB195" i="32"/>
  <c r="AC195" i="32"/>
  <c r="AD195" i="32"/>
  <c r="K196" i="32"/>
  <c r="L196" i="32"/>
  <c r="M196" i="32"/>
  <c r="N196" i="32"/>
  <c r="P196" i="32"/>
  <c r="Q196" i="32"/>
  <c r="T196" i="32" s="1"/>
  <c r="R196" i="32"/>
  <c r="S196" i="32"/>
  <c r="V196" i="32"/>
  <c r="Z196" i="32" s="1"/>
  <c r="W196" i="32"/>
  <c r="X196" i="32"/>
  <c r="Y196" i="32"/>
  <c r="AA196" i="32"/>
  <c r="AD196" i="32" s="1"/>
  <c r="AB196" i="32"/>
  <c r="AC196" i="32"/>
  <c r="K197" i="32"/>
  <c r="L197" i="32"/>
  <c r="O197" i="32" s="1"/>
  <c r="M197" i="32"/>
  <c r="N197" i="32"/>
  <c r="Q197" i="32"/>
  <c r="U197" i="32" s="1"/>
  <c r="R197" i="32"/>
  <c r="S197" i="32"/>
  <c r="T197" i="32"/>
  <c r="V197" i="32"/>
  <c r="Y197" i="32" s="1"/>
  <c r="W197" i="32"/>
  <c r="X197" i="32"/>
  <c r="AA197" i="32"/>
  <c r="AE197" i="32" s="1"/>
  <c r="AB197" i="32"/>
  <c r="AC197" i="32"/>
  <c r="AD197" i="32"/>
  <c r="K198" i="32"/>
  <c r="L198" i="32"/>
  <c r="P198" i="32" s="1"/>
  <c r="M198" i="32"/>
  <c r="N198" i="32"/>
  <c r="O198" i="32"/>
  <c r="Q198" i="32"/>
  <c r="T198" i="32" s="1"/>
  <c r="R198" i="32"/>
  <c r="S198" i="32"/>
  <c r="V198" i="32"/>
  <c r="Z198" i="32" s="1"/>
  <c r="W198" i="32"/>
  <c r="Y201" i="32" s="1"/>
  <c r="X198" i="32"/>
  <c r="Y198" i="32"/>
  <c r="AA198" i="32"/>
  <c r="AB198" i="32"/>
  <c r="AC198" i="32"/>
  <c r="AD198" i="32"/>
  <c r="AE198" i="32"/>
  <c r="K199" i="32"/>
  <c r="L199" i="32"/>
  <c r="O199" i="32" s="1"/>
  <c r="M199" i="32"/>
  <c r="N199" i="32"/>
  <c r="Q199" i="32"/>
  <c r="U199" i="32" s="1"/>
  <c r="R199" i="32"/>
  <c r="T202" i="32" s="1"/>
  <c r="S199" i="32"/>
  <c r="T199" i="32"/>
  <c r="V199" i="32"/>
  <c r="W199" i="32"/>
  <c r="X199" i="32"/>
  <c r="Y199" i="32"/>
  <c r="Z199" i="32"/>
  <c r="AA199" i="32"/>
  <c r="AB199" i="32"/>
  <c r="AC199" i="32"/>
  <c r="AD199" i="32"/>
  <c r="AE199" i="32"/>
  <c r="K200" i="32"/>
  <c r="L200" i="32"/>
  <c r="P200" i="32" s="1"/>
  <c r="M200" i="32"/>
  <c r="O203" i="32" s="1"/>
  <c r="N200" i="32"/>
  <c r="O200" i="32"/>
  <c r="Q200" i="32"/>
  <c r="R200" i="32"/>
  <c r="T203" i="32" s="1"/>
  <c r="S200" i="32"/>
  <c r="T200" i="32"/>
  <c r="U200" i="32"/>
  <c r="V200" i="32"/>
  <c r="W200" i="32"/>
  <c r="X200" i="32"/>
  <c r="Y200" i="32"/>
  <c r="Z200" i="32"/>
  <c r="AA200" i="32"/>
  <c r="AD200" i="32" s="1"/>
  <c r="AB200" i="32"/>
  <c r="AC200" i="32"/>
  <c r="AE200" i="32"/>
  <c r="L201" i="32"/>
  <c r="M201" i="32"/>
  <c r="N201" i="32"/>
  <c r="O201" i="32"/>
  <c r="P201" i="32"/>
  <c r="Q201" i="32"/>
  <c r="T201" i="32" s="1"/>
  <c r="R201" i="32"/>
  <c r="S201" i="32"/>
  <c r="U201" i="32"/>
  <c r="V201" i="32"/>
  <c r="W201" i="32"/>
  <c r="X201" i="32"/>
  <c r="Z201" i="32"/>
  <c r="AA201" i="32"/>
  <c r="AD201" i="32" s="1"/>
  <c r="AB201" i="32"/>
  <c r="AC201" i="32"/>
  <c r="AE201" i="32"/>
  <c r="K202" i="32"/>
  <c r="L202" i="32"/>
  <c r="O202" i="32" s="1"/>
  <c r="M202" i="32"/>
  <c r="N202" i="32"/>
  <c r="P202" i="32"/>
  <c r="Q202" i="32"/>
  <c r="R202" i="32"/>
  <c r="S202" i="32"/>
  <c r="U202" i="32"/>
  <c r="V202" i="32"/>
  <c r="Y202" i="32" s="1"/>
  <c r="W202" i="32"/>
  <c r="X202" i="32"/>
  <c r="Z202" i="32"/>
  <c r="AA202" i="32"/>
  <c r="AD202" i="32" s="1"/>
  <c r="AB202" i="32"/>
  <c r="AC202" i="32"/>
  <c r="L203" i="32"/>
  <c r="M203" i="32"/>
  <c r="N203" i="32"/>
  <c r="P203" i="32"/>
  <c r="Q203" i="32"/>
  <c r="R203" i="32"/>
  <c r="S203" i="32"/>
  <c r="U203" i="32"/>
  <c r="V203" i="32"/>
  <c r="Y203" i="32" s="1"/>
  <c r="W203" i="32"/>
  <c r="X203" i="32"/>
  <c r="AA203" i="32"/>
  <c r="AE203" i="32" s="1"/>
  <c r="AB203" i="32"/>
  <c r="AC203" i="32"/>
  <c r="AD203" i="32"/>
  <c r="L119" i="32"/>
  <c r="O119" i="32" s="1"/>
  <c r="M119" i="32"/>
  <c r="N119" i="32"/>
  <c r="P119" i="32"/>
  <c r="Q119" i="32"/>
  <c r="R119" i="32"/>
  <c r="T122" i="32" s="1"/>
  <c r="S119" i="32"/>
  <c r="T119" i="32"/>
  <c r="U119" i="32"/>
  <c r="V119" i="32"/>
  <c r="W119" i="32"/>
  <c r="X119" i="32"/>
  <c r="Y119" i="32"/>
  <c r="Z119" i="32"/>
  <c r="K120" i="32"/>
  <c r="L120" i="32"/>
  <c r="O120" i="32" s="1"/>
  <c r="M120" i="32"/>
  <c r="N120" i="32"/>
  <c r="P126" i="32" s="1"/>
  <c r="Q120" i="32"/>
  <c r="T120" i="32" s="1"/>
  <c r="R120" i="32"/>
  <c r="T123" i="32" s="1"/>
  <c r="S120" i="32"/>
  <c r="V120" i="32"/>
  <c r="Y120" i="32" s="1"/>
  <c r="W120" i="32"/>
  <c r="X120" i="32"/>
  <c r="Z126" i="32" s="1"/>
  <c r="L121" i="32"/>
  <c r="O121" i="32" s="1"/>
  <c r="M121" i="32"/>
  <c r="O124" i="32" s="1"/>
  <c r="N121" i="32"/>
  <c r="P127" i="32" s="1"/>
  <c r="Q121" i="32"/>
  <c r="T121" i="32" s="1"/>
  <c r="R121" i="32"/>
  <c r="T124" i="32" s="1"/>
  <c r="S121" i="32"/>
  <c r="U121" i="32"/>
  <c r="V121" i="32"/>
  <c r="Y121" i="32" s="1"/>
  <c r="W121" i="32"/>
  <c r="Y124" i="32" s="1"/>
  <c r="X121" i="32"/>
  <c r="Z127" i="32" s="1"/>
  <c r="K122" i="32"/>
  <c r="L122" i="32"/>
  <c r="M122" i="32"/>
  <c r="N122" i="32"/>
  <c r="O122" i="32"/>
  <c r="P122" i="32"/>
  <c r="Q122" i="32"/>
  <c r="R122" i="32"/>
  <c r="S122" i="32"/>
  <c r="U122" i="32"/>
  <c r="V122" i="32"/>
  <c r="W122" i="32"/>
  <c r="X122" i="32"/>
  <c r="Y122" i="32"/>
  <c r="Z122" i="32"/>
  <c r="K123" i="32"/>
  <c r="L123" i="32"/>
  <c r="M123" i="32"/>
  <c r="N123" i="32"/>
  <c r="P123" i="32"/>
  <c r="Q123" i="32"/>
  <c r="R123" i="32"/>
  <c r="S123" i="32"/>
  <c r="U123" i="32"/>
  <c r="V123" i="32"/>
  <c r="W123" i="32"/>
  <c r="X123" i="32"/>
  <c r="Z123" i="32"/>
  <c r="K124" i="32"/>
  <c r="L124" i="32"/>
  <c r="M124" i="32"/>
  <c r="N124" i="32"/>
  <c r="P124" i="32"/>
  <c r="Q124" i="32"/>
  <c r="R124" i="32"/>
  <c r="S124" i="32"/>
  <c r="U124" i="32"/>
  <c r="V124" i="32"/>
  <c r="W124" i="32"/>
  <c r="X124" i="32"/>
  <c r="Z124" i="32"/>
  <c r="K125" i="32"/>
  <c r="L125" i="32"/>
  <c r="M125" i="32"/>
  <c r="N125" i="32"/>
  <c r="O125" i="32"/>
  <c r="P125" i="32"/>
  <c r="Q125" i="32"/>
  <c r="T125" i="32" s="1"/>
  <c r="R125" i="32"/>
  <c r="T128" i="32" s="1"/>
  <c r="S125" i="32"/>
  <c r="V125" i="32"/>
  <c r="W125" i="32"/>
  <c r="X125" i="32"/>
  <c r="Y125" i="32"/>
  <c r="Z125" i="32"/>
  <c r="K126" i="32"/>
  <c r="L126" i="32"/>
  <c r="M126" i="32"/>
  <c r="N126" i="32"/>
  <c r="O126" i="32"/>
  <c r="Q126" i="32"/>
  <c r="T126" i="32" s="1"/>
  <c r="R126" i="32"/>
  <c r="T129" i="32" s="1"/>
  <c r="S126" i="32"/>
  <c r="V126" i="32"/>
  <c r="W126" i="32"/>
  <c r="X126" i="32"/>
  <c r="Y126" i="32"/>
  <c r="L127" i="32"/>
  <c r="M127" i="32"/>
  <c r="N127" i="32"/>
  <c r="O127" i="32"/>
  <c r="Q127" i="32"/>
  <c r="T127" i="32" s="1"/>
  <c r="R127" i="32"/>
  <c r="S127" i="32"/>
  <c r="V127" i="32"/>
  <c r="W127" i="32"/>
  <c r="X127" i="32"/>
  <c r="Y127" i="32"/>
  <c r="K128" i="32"/>
  <c r="L128" i="32"/>
  <c r="M128" i="32"/>
  <c r="N128" i="32"/>
  <c r="O128" i="32"/>
  <c r="P128" i="32"/>
  <c r="Q128" i="32"/>
  <c r="R128" i="32"/>
  <c r="S128" i="32"/>
  <c r="U128" i="32"/>
  <c r="V128" i="32"/>
  <c r="W128" i="32"/>
  <c r="X128" i="32"/>
  <c r="Y128" i="32"/>
  <c r="Z128" i="32"/>
  <c r="L129" i="32"/>
  <c r="O129" i="32" s="1"/>
  <c r="M129" i="32"/>
  <c r="N129" i="32"/>
  <c r="P129" i="32"/>
  <c r="Q129" i="32"/>
  <c r="R129" i="32"/>
  <c r="S129" i="32"/>
  <c r="U129" i="32"/>
  <c r="V129" i="32"/>
  <c r="W129" i="32"/>
  <c r="X129" i="32"/>
  <c r="Y129" i="32"/>
  <c r="Z129" i="32"/>
  <c r="K130" i="32"/>
  <c r="L130" i="32"/>
  <c r="O130" i="32" s="1"/>
  <c r="M130" i="32"/>
  <c r="N130" i="32"/>
  <c r="P130" i="32"/>
  <c r="Q130" i="32"/>
  <c r="T130" i="32" s="1"/>
  <c r="R130" i="32"/>
  <c r="S130" i="32"/>
  <c r="U130" i="32"/>
  <c r="V130" i="32"/>
  <c r="W130" i="32"/>
  <c r="X130" i="32"/>
  <c r="Y130" i="32"/>
  <c r="Z130" i="32"/>
  <c r="L131" i="32"/>
  <c r="M131" i="32"/>
  <c r="N131" i="32"/>
  <c r="O131" i="32"/>
  <c r="P131" i="32"/>
  <c r="Q131" i="32"/>
  <c r="T131" i="32" s="1"/>
  <c r="R131" i="32"/>
  <c r="S131" i="32"/>
  <c r="U131" i="32"/>
  <c r="V131" i="32"/>
  <c r="Y131" i="32" s="1"/>
  <c r="W131" i="32"/>
  <c r="X131" i="32"/>
  <c r="Z131" i="32"/>
  <c r="K132" i="32"/>
  <c r="L132" i="32"/>
  <c r="M132" i="32"/>
  <c r="N132" i="32"/>
  <c r="O132" i="32"/>
  <c r="P132" i="32"/>
  <c r="Q132" i="32"/>
  <c r="T132" i="32" s="1"/>
  <c r="R132" i="32"/>
  <c r="S132" i="32"/>
  <c r="V132" i="32"/>
  <c r="W132" i="32"/>
  <c r="X132" i="32"/>
  <c r="Y132" i="32"/>
  <c r="Z132" i="32"/>
  <c r="L133" i="32"/>
  <c r="M133" i="32"/>
  <c r="N133" i="32"/>
  <c r="O133" i="32"/>
  <c r="P133" i="32"/>
  <c r="Q133" i="32"/>
  <c r="T133" i="32" s="1"/>
  <c r="R133" i="32"/>
  <c r="T136" i="32" s="1"/>
  <c r="S133" i="32"/>
  <c r="U133" i="32"/>
  <c r="V133" i="32"/>
  <c r="W133" i="32"/>
  <c r="X133" i="32"/>
  <c r="Y133" i="32"/>
  <c r="Z133" i="32"/>
  <c r="K134" i="32"/>
  <c r="L134" i="32"/>
  <c r="M134" i="32"/>
  <c r="N134" i="32"/>
  <c r="O134" i="32"/>
  <c r="P134" i="32"/>
  <c r="Q134" i="32"/>
  <c r="T134" i="32" s="1"/>
  <c r="R134" i="32"/>
  <c r="S134" i="32"/>
  <c r="V134" i="32"/>
  <c r="W134" i="32"/>
  <c r="X134" i="32"/>
  <c r="Y134" i="32"/>
  <c r="Z134" i="32"/>
  <c r="L135" i="32"/>
  <c r="M135" i="32"/>
  <c r="N135" i="32"/>
  <c r="O135" i="32"/>
  <c r="P135" i="32"/>
  <c r="Q135" i="32"/>
  <c r="T135" i="32" s="1"/>
  <c r="R135" i="32"/>
  <c r="T138" i="32" s="1"/>
  <c r="S135" i="32"/>
  <c r="V135" i="32"/>
  <c r="Y135" i="32" s="1"/>
  <c r="W135" i="32"/>
  <c r="X135" i="32"/>
  <c r="Z135" i="32"/>
  <c r="K136" i="32"/>
  <c r="L136" i="32"/>
  <c r="M136" i="32"/>
  <c r="N136" i="32"/>
  <c r="O136" i="32"/>
  <c r="P136" i="32"/>
  <c r="Q136" i="32"/>
  <c r="R136" i="32"/>
  <c r="T139" i="32" s="1"/>
  <c r="S136" i="32"/>
  <c r="U136" i="32"/>
  <c r="V136" i="32"/>
  <c r="Y136" i="32" s="1"/>
  <c r="W136" i="32"/>
  <c r="X136" i="32"/>
  <c r="Z136" i="32"/>
  <c r="L137" i="32"/>
  <c r="M137" i="32"/>
  <c r="N137" i="32"/>
  <c r="O137" i="32"/>
  <c r="P137" i="32"/>
  <c r="Q137" i="32"/>
  <c r="T137" i="32" s="1"/>
  <c r="R137" i="32"/>
  <c r="S137" i="32"/>
  <c r="U137" i="32"/>
  <c r="V137" i="32"/>
  <c r="W137" i="32"/>
  <c r="X137" i="32"/>
  <c r="Y137" i="32"/>
  <c r="Z137" i="32"/>
  <c r="K138" i="32"/>
  <c r="L138" i="32"/>
  <c r="M138" i="32"/>
  <c r="N138" i="32"/>
  <c r="O138" i="32"/>
  <c r="P138" i="32"/>
  <c r="Q138" i="32"/>
  <c r="R138" i="32"/>
  <c r="S138" i="32"/>
  <c r="U138" i="32"/>
  <c r="V138" i="32"/>
  <c r="Y138" i="32" s="1"/>
  <c r="W138" i="32"/>
  <c r="X138" i="32"/>
  <c r="Z138" i="32"/>
  <c r="L139" i="32"/>
  <c r="M139" i="32"/>
  <c r="N139" i="32"/>
  <c r="O139" i="32"/>
  <c r="P139" i="32"/>
  <c r="Q139" i="32"/>
  <c r="R139" i="32"/>
  <c r="S139" i="32"/>
  <c r="U139" i="32"/>
  <c r="V139" i="32"/>
  <c r="W139" i="32"/>
  <c r="X139" i="32"/>
  <c r="Y139" i="32"/>
  <c r="Z139" i="32"/>
  <c r="K140" i="32"/>
  <c r="L140" i="32"/>
  <c r="M140" i="32"/>
  <c r="N140" i="32"/>
  <c r="O140" i="32"/>
  <c r="P140" i="32"/>
  <c r="Q140" i="32"/>
  <c r="T140" i="32" s="1"/>
  <c r="R140" i="32"/>
  <c r="S140" i="32"/>
  <c r="V140" i="32"/>
  <c r="W140" i="32"/>
  <c r="X140" i="32"/>
  <c r="Y140" i="32"/>
  <c r="Z140" i="32"/>
  <c r="L141" i="32"/>
  <c r="M141" i="32"/>
  <c r="N141" i="32"/>
  <c r="O141" i="32"/>
  <c r="P141" i="32"/>
  <c r="Q141" i="32"/>
  <c r="T141" i="32" s="1"/>
  <c r="R141" i="32"/>
  <c r="T144" i="32" s="1"/>
  <c r="S141" i="32"/>
  <c r="V141" i="32"/>
  <c r="W141" i="32"/>
  <c r="X141" i="32"/>
  <c r="Y141" i="32"/>
  <c r="Z141" i="32"/>
  <c r="K142" i="32"/>
  <c r="L142" i="32"/>
  <c r="M142" i="32"/>
  <c r="N142" i="32"/>
  <c r="O142" i="32"/>
  <c r="P142" i="32"/>
  <c r="Q142" i="32"/>
  <c r="T142" i="32" s="1"/>
  <c r="R142" i="32"/>
  <c r="T145" i="32" s="1"/>
  <c r="S142" i="32"/>
  <c r="V142" i="32"/>
  <c r="W142" i="32"/>
  <c r="X142" i="32"/>
  <c r="Y142" i="32"/>
  <c r="Z142" i="32"/>
  <c r="L143" i="32"/>
  <c r="M143" i="32"/>
  <c r="N143" i="32"/>
  <c r="O143" i="32"/>
  <c r="P143" i="32"/>
  <c r="Q143" i="32"/>
  <c r="T143" i="32" s="1"/>
  <c r="R143" i="32"/>
  <c r="S143" i="32"/>
  <c r="V143" i="32"/>
  <c r="W143" i="32"/>
  <c r="X143" i="32"/>
  <c r="Y143" i="32"/>
  <c r="Z143" i="32"/>
  <c r="K144" i="32"/>
  <c r="L144" i="32"/>
  <c r="O144" i="32" s="1"/>
  <c r="M144" i="32"/>
  <c r="N144" i="32"/>
  <c r="P144" i="32"/>
  <c r="Q144" i="32"/>
  <c r="R144" i="32"/>
  <c r="S144" i="32"/>
  <c r="U144" i="32"/>
  <c r="V144" i="32"/>
  <c r="Y144" i="32" s="1"/>
  <c r="W144" i="32"/>
  <c r="X144" i="32"/>
  <c r="Z144" i="32"/>
  <c r="K145" i="32"/>
  <c r="L145" i="32"/>
  <c r="O145" i="32" s="1"/>
  <c r="M145" i="32"/>
  <c r="N145" i="32"/>
  <c r="P145" i="32"/>
  <c r="Q145" i="32"/>
  <c r="R145" i="32"/>
  <c r="S145" i="32"/>
  <c r="U145" i="32"/>
  <c r="V145" i="32"/>
  <c r="W145" i="32"/>
  <c r="X145" i="32"/>
  <c r="Y145" i="32"/>
  <c r="Z145" i="32"/>
  <c r="K146" i="32"/>
  <c r="L146" i="32"/>
  <c r="M146" i="32"/>
  <c r="N146" i="32"/>
  <c r="O146" i="32"/>
  <c r="P146" i="32"/>
  <c r="Q146" i="32"/>
  <c r="T146" i="32" s="1"/>
  <c r="R146" i="32"/>
  <c r="T149" i="32" s="1"/>
  <c r="S146" i="32"/>
  <c r="V146" i="32"/>
  <c r="W146" i="32"/>
  <c r="X146" i="32"/>
  <c r="Y146" i="32"/>
  <c r="Z146" i="32"/>
  <c r="L147" i="32"/>
  <c r="M147" i="32"/>
  <c r="N147" i="32"/>
  <c r="O147" i="32"/>
  <c r="P147" i="32"/>
  <c r="Q147" i="32"/>
  <c r="T147" i="32" s="1"/>
  <c r="R147" i="32"/>
  <c r="T150" i="32" s="1"/>
  <c r="S147" i="32"/>
  <c r="V147" i="32"/>
  <c r="W147" i="32"/>
  <c r="X147" i="32"/>
  <c r="Y147" i="32"/>
  <c r="Z147" i="32"/>
  <c r="K148" i="32"/>
  <c r="L148" i="32"/>
  <c r="M148" i="32"/>
  <c r="N148" i="32"/>
  <c r="O148" i="32"/>
  <c r="P148" i="32"/>
  <c r="Q148" i="32"/>
  <c r="T148" i="32" s="1"/>
  <c r="R148" i="32"/>
  <c r="T151" i="32" s="1"/>
  <c r="S148" i="32"/>
  <c r="V148" i="32"/>
  <c r="Y148" i="32" s="1"/>
  <c r="W148" i="32"/>
  <c r="X148" i="32"/>
  <c r="Z148" i="32"/>
  <c r="L149" i="32"/>
  <c r="M149" i="32"/>
  <c r="N149" i="32"/>
  <c r="O149" i="32"/>
  <c r="P149" i="32"/>
  <c r="Q149" i="32"/>
  <c r="R149" i="32"/>
  <c r="S149" i="32"/>
  <c r="U149" i="32"/>
  <c r="V149" i="32"/>
  <c r="W149" i="32"/>
  <c r="X149" i="32"/>
  <c r="Y149" i="32"/>
  <c r="Z149" i="32"/>
  <c r="K150" i="32"/>
  <c r="L150" i="32"/>
  <c r="M150" i="32"/>
  <c r="N150" i="32"/>
  <c r="O150" i="32"/>
  <c r="P150" i="32"/>
  <c r="Q150" i="32"/>
  <c r="R150" i="32"/>
  <c r="S150" i="32"/>
  <c r="U150" i="32"/>
  <c r="V150" i="32"/>
  <c r="W150" i="32"/>
  <c r="X150" i="32"/>
  <c r="Y150" i="32"/>
  <c r="Z150" i="32"/>
  <c r="L151" i="32"/>
  <c r="M151" i="32"/>
  <c r="N151" i="32"/>
  <c r="O151" i="32"/>
  <c r="P151" i="32"/>
  <c r="Q151" i="32"/>
  <c r="R151" i="32"/>
  <c r="S151" i="32"/>
  <c r="U151" i="32"/>
  <c r="V151" i="32"/>
  <c r="W151" i="32"/>
  <c r="X151" i="32"/>
  <c r="Y151" i="32"/>
  <c r="Z151" i="32"/>
  <c r="L69" i="32"/>
  <c r="M69" i="32"/>
  <c r="N69" i="32"/>
  <c r="Q69" i="32"/>
  <c r="R69" i="32"/>
  <c r="S69" i="32"/>
  <c r="V69" i="32"/>
  <c r="W69" i="32"/>
  <c r="X69" i="32"/>
  <c r="AA69" i="32"/>
  <c r="AB69" i="32"/>
  <c r="AC69" i="32"/>
  <c r="AF69" i="32"/>
  <c r="AG69" i="32"/>
  <c r="AH69" i="32"/>
  <c r="L70" i="32"/>
  <c r="M70" i="32"/>
  <c r="N70" i="32"/>
  <c r="Q70" i="32"/>
  <c r="R70" i="32"/>
  <c r="S70" i="32"/>
  <c r="V70" i="32"/>
  <c r="W70" i="32"/>
  <c r="X70" i="32"/>
  <c r="AA70" i="32"/>
  <c r="AB70" i="32"/>
  <c r="AC70" i="32"/>
  <c r="AF70" i="32"/>
  <c r="AG70" i="32"/>
  <c r="AH70" i="32"/>
  <c r="L71" i="32"/>
  <c r="M71" i="32"/>
  <c r="N71" i="32"/>
  <c r="Q71" i="32"/>
  <c r="R71" i="32"/>
  <c r="S71" i="32"/>
  <c r="V71" i="32"/>
  <c r="W71" i="32"/>
  <c r="X71" i="32"/>
  <c r="AA71" i="32"/>
  <c r="AB71" i="32"/>
  <c r="AC71" i="32"/>
  <c r="AF71" i="32"/>
  <c r="AG71" i="32"/>
  <c r="AH71" i="32"/>
  <c r="L72" i="32"/>
  <c r="O72" i="32" s="1"/>
  <c r="M72" i="32"/>
  <c r="N72" i="32"/>
  <c r="Q72" i="32"/>
  <c r="R72" i="32"/>
  <c r="S72" i="32"/>
  <c r="V72" i="32"/>
  <c r="Y72" i="32" s="1"/>
  <c r="W72" i="32"/>
  <c r="X72" i="32"/>
  <c r="AA72" i="32"/>
  <c r="AB72" i="32"/>
  <c r="AC72" i="32"/>
  <c r="AF72" i="32"/>
  <c r="AI72" i="32" s="1"/>
  <c r="AG72" i="32"/>
  <c r="AH72" i="32"/>
  <c r="L73" i="32"/>
  <c r="M73" i="32"/>
  <c r="N73" i="32"/>
  <c r="Q73" i="32"/>
  <c r="R73" i="32"/>
  <c r="S73" i="32"/>
  <c r="V73" i="32"/>
  <c r="Y73" i="32" s="1"/>
  <c r="W73" i="32"/>
  <c r="X73" i="32"/>
  <c r="AA73" i="32"/>
  <c r="AB73" i="32"/>
  <c r="AC73" i="32"/>
  <c r="AF73" i="32"/>
  <c r="AG73" i="32"/>
  <c r="AH73" i="32"/>
  <c r="L74" i="32"/>
  <c r="M74" i="32"/>
  <c r="N74" i="32"/>
  <c r="Q74" i="32"/>
  <c r="R74" i="32"/>
  <c r="S74" i="32"/>
  <c r="V74" i="32"/>
  <c r="W74" i="32"/>
  <c r="X74" i="32"/>
  <c r="AA74" i="32"/>
  <c r="AB74" i="32"/>
  <c r="AC74" i="32"/>
  <c r="AF74" i="32"/>
  <c r="AG74" i="32"/>
  <c r="AH74" i="32"/>
  <c r="L75" i="32"/>
  <c r="O75" i="32" s="1"/>
  <c r="M75" i="32"/>
  <c r="N75" i="32"/>
  <c r="Q75" i="32"/>
  <c r="T75" i="32" s="1"/>
  <c r="R75" i="32"/>
  <c r="S75" i="32"/>
  <c r="V75" i="32"/>
  <c r="Y75" i="32" s="1"/>
  <c r="W75" i="32"/>
  <c r="X75" i="32"/>
  <c r="AA75" i="32"/>
  <c r="AD75" i="32" s="1"/>
  <c r="AB75" i="32"/>
  <c r="AC75" i="32"/>
  <c r="AF75" i="32"/>
  <c r="AG75" i="32"/>
  <c r="AH75" i="32"/>
  <c r="L76" i="32"/>
  <c r="M76" i="32"/>
  <c r="N76" i="32"/>
  <c r="Q76" i="32"/>
  <c r="R76" i="32"/>
  <c r="S76" i="32"/>
  <c r="V76" i="32"/>
  <c r="W76" i="32"/>
  <c r="X76" i="32"/>
  <c r="AA76" i="32"/>
  <c r="AD76" i="32" s="1"/>
  <c r="AB76" i="32"/>
  <c r="AC76" i="32"/>
  <c r="AF76" i="32"/>
  <c r="AI76" i="32" s="1"/>
  <c r="AG76" i="32"/>
  <c r="AH76" i="32"/>
  <c r="L77" i="32"/>
  <c r="O77" i="32" s="1"/>
  <c r="M77" i="32"/>
  <c r="N77" i="32"/>
  <c r="Q77" i="32"/>
  <c r="R77" i="32"/>
  <c r="S77" i="32"/>
  <c r="T77" i="32"/>
  <c r="V77" i="32"/>
  <c r="Z77" i="32" s="1"/>
  <c r="W77" i="32"/>
  <c r="X77" i="32"/>
  <c r="AA77" i="32"/>
  <c r="AD77" i="32" s="1"/>
  <c r="AB77" i="32"/>
  <c r="AC77" i="32"/>
  <c r="AF77" i="32"/>
  <c r="AG77" i="32"/>
  <c r="AH77" i="32"/>
  <c r="AI77" i="32"/>
  <c r="K78" i="32"/>
  <c r="L78" i="32"/>
  <c r="M78" i="32"/>
  <c r="N78" i="32"/>
  <c r="Q78" i="32"/>
  <c r="T78" i="32" s="1"/>
  <c r="R78" i="32"/>
  <c r="S78" i="32"/>
  <c r="V78" i="32"/>
  <c r="Z78" i="32" s="1"/>
  <c r="W78" i="32"/>
  <c r="X78" i="32"/>
  <c r="AA78" i="32"/>
  <c r="AD78" i="32" s="1"/>
  <c r="AB78" i="32"/>
  <c r="AC78" i="32"/>
  <c r="AF78" i="32"/>
  <c r="AI78" i="32" s="1"/>
  <c r="AG78" i="32"/>
  <c r="AH78" i="32"/>
  <c r="L79" i="32"/>
  <c r="M79" i="32"/>
  <c r="N79" i="32"/>
  <c r="Q79" i="32"/>
  <c r="R79" i="32"/>
  <c r="S79" i="32"/>
  <c r="V79" i="32"/>
  <c r="W79" i="32"/>
  <c r="Y82" i="32" s="1"/>
  <c r="X79" i="32"/>
  <c r="AA79" i="32"/>
  <c r="AB79" i="32"/>
  <c r="AC79" i="32"/>
  <c r="AF79" i="32"/>
  <c r="AI79" i="32" s="1"/>
  <c r="AG79" i="32"/>
  <c r="AH79" i="32"/>
  <c r="L80" i="32"/>
  <c r="M80" i="32"/>
  <c r="N80" i="32"/>
  <c r="Q80" i="32"/>
  <c r="T80" i="32" s="1"/>
  <c r="R80" i="32"/>
  <c r="S80" i="32"/>
  <c r="V80" i="32"/>
  <c r="W80" i="32"/>
  <c r="X80" i="32"/>
  <c r="AA80" i="32"/>
  <c r="AD80" i="32" s="1"/>
  <c r="AB80" i="32"/>
  <c r="AC80" i="32"/>
  <c r="AF80" i="32"/>
  <c r="AJ80" i="32" s="1"/>
  <c r="AG80" i="32"/>
  <c r="AH80" i="32"/>
  <c r="K81" i="32"/>
  <c r="L81" i="32"/>
  <c r="O81" i="32" s="1"/>
  <c r="M81" i="32"/>
  <c r="N81" i="32"/>
  <c r="Q81" i="32"/>
  <c r="T81" i="32" s="1"/>
  <c r="R81" i="32"/>
  <c r="S81" i="32"/>
  <c r="V81" i="32"/>
  <c r="Y81" i="32" s="1"/>
  <c r="W81" i="32"/>
  <c r="X81" i="32"/>
  <c r="AA81" i="32"/>
  <c r="AB81" i="32"/>
  <c r="AC81" i="32"/>
  <c r="AF81" i="32"/>
  <c r="AG81" i="32"/>
  <c r="AH81" i="32"/>
  <c r="L82" i="32"/>
  <c r="P82" i="32" s="1"/>
  <c r="M82" i="32"/>
  <c r="N82" i="32"/>
  <c r="P88" i="32" s="1"/>
  <c r="Q82" i="32"/>
  <c r="R82" i="32"/>
  <c r="S82" i="32"/>
  <c r="V82" i="32"/>
  <c r="W82" i="32"/>
  <c r="X82" i="32"/>
  <c r="Z82" i="32"/>
  <c r="AA82" i="32"/>
  <c r="AB82" i="32"/>
  <c r="AC82" i="32"/>
  <c r="AF82" i="32"/>
  <c r="AG82" i="32"/>
  <c r="AH82" i="32"/>
  <c r="AI82" i="32"/>
  <c r="L83" i="32"/>
  <c r="O83" i="32" s="1"/>
  <c r="M83" i="32"/>
  <c r="N83" i="32"/>
  <c r="Q83" i="32"/>
  <c r="T83" i="32" s="1"/>
  <c r="R83" i="32"/>
  <c r="S83" i="32"/>
  <c r="V83" i="32"/>
  <c r="Y83" i="32" s="1"/>
  <c r="W83" i="32"/>
  <c r="X83" i="32"/>
  <c r="AA83" i="32"/>
  <c r="AE83" i="32" s="1"/>
  <c r="AB83" i="32"/>
  <c r="AC83" i="32"/>
  <c r="AF83" i="32"/>
  <c r="AG83" i="32"/>
  <c r="AH83" i="32"/>
  <c r="L84" i="32"/>
  <c r="O84" i="32" s="1"/>
  <c r="M84" i="32"/>
  <c r="N84" i="32"/>
  <c r="Q84" i="32"/>
  <c r="R84" i="32"/>
  <c r="S84" i="32"/>
  <c r="V84" i="32"/>
  <c r="Y84" i="32" s="1"/>
  <c r="W84" i="32"/>
  <c r="X84" i="32"/>
  <c r="AA84" i="32"/>
  <c r="AD84" i="32" s="1"/>
  <c r="AB84" i="32"/>
  <c r="AC84" i="32"/>
  <c r="AF84" i="32"/>
  <c r="AG84" i="32"/>
  <c r="AH84" i="32"/>
  <c r="K85" i="32"/>
  <c r="L85" i="32"/>
  <c r="M85" i="32"/>
  <c r="N85" i="32"/>
  <c r="Q85" i="32"/>
  <c r="U85" i="32" s="1"/>
  <c r="R85" i="32"/>
  <c r="S85" i="32"/>
  <c r="V85" i="32"/>
  <c r="Y85" i="32" s="1"/>
  <c r="W85" i="32"/>
  <c r="X85" i="32"/>
  <c r="AA85" i="32"/>
  <c r="AD85" i="32" s="1"/>
  <c r="AB85" i="32"/>
  <c r="AC85" i="32"/>
  <c r="AF85" i="32"/>
  <c r="AG85" i="32"/>
  <c r="AH85" i="32"/>
  <c r="AI85" i="32"/>
  <c r="AJ85" i="32"/>
  <c r="L86" i="32"/>
  <c r="M86" i="32"/>
  <c r="N86" i="32"/>
  <c r="O86" i="32"/>
  <c r="Q86" i="32"/>
  <c r="R86" i="32"/>
  <c r="S86" i="32"/>
  <c r="V86" i="32"/>
  <c r="W86" i="32"/>
  <c r="X86" i="32"/>
  <c r="AA86" i="32"/>
  <c r="AB86" i="32"/>
  <c r="AC86" i="32"/>
  <c r="AF86" i="32"/>
  <c r="AJ86" i="32" s="1"/>
  <c r="AG86" i="32"/>
  <c r="AH86" i="32"/>
  <c r="K87" i="32"/>
  <c r="L87" i="32"/>
  <c r="O87" i="32" s="1"/>
  <c r="M87" i="32"/>
  <c r="N87" i="32"/>
  <c r="Q87" i="32"/>
  <c r="T87" i="32" s="1"/>
  <c r="R87" i="32"/>
  <c r="S87" i="32"/>
  <c r="V87" i="32"/>
  <c r="W87" i="32"/>
  <c r="X87" i="32"/>
  <c r="AA87" i="32"/>
  <c r="AD87" i="32" s="1"/>
  <c r="AB87" i="32"/>
  <c r="AC87" i="32"/>
  <c r="AF87" i="32"/>
  <c r="AG87" i="32"/>
  <c r="AH87" i="32"/>
  <c r="K88" i="32"/>
  <c r="L88" i="32"/>
  <c r="O88" i="32" s="1"/>
  <c r="M88" i="32"/>
  <c r="N88" i="32"/>
  <c r="Q88" i="32"/>
  <c r="T88" i="32" s="1"/>
  <c r="R88" i="32"/>
  <c r="S88" i="32"/>
  <c r="V88" i="32"/>
  <c r="W88" i="32"/>
  <c r="X88" i="32"/>
  <c r="AA88" i="32"/>
  <c r="AE88" i="32" s="1"/>
  <c r="AB88" i="32"/>
  <c r="AC88" i="32"/>
  <c r="AF88" i="32"/>
  <c r="AG88" i="32"/>
  <c r="AH88" i="32"/>
  <c r="L89" i="32"/>
  <c r="O89" i="32" s="1"/>
  <c r="M89" i="32"/>
  <c r="N89" i="32"/>
  <c r="Q89" i="32"/>
  <c r="T89" i="32" s="1"/>
  <c r="R89" i="32"/>
  <c r="S89" i="32"/>
  <c r="U89" i="32"/>
  <c r="V89" i="32"/>
  <c r="Y89" i="32" s="1"/>
  <c r="W89" i="32"/>
  <c r="X89" i="32"/>
  <c r="AA89" i="32"/>
  <c r="AB89" i="32"/>
  <c r="AC89" i="32"/>
  <c r="AF89" i="32"/>
  <c r="AI89" i="32" s="1"/>
  <c r="AG89" i="32"/>
  <c r="AH89" i="32"/>
  <c r="L90" i="32"/>
  <c r="M90" i="32"/>
  <c r="N90" i="32"/>
  <c r="Q90" i="32"/>
  <c r="T90" i="32" s="1"/>
  <c r="R90" i="32"/>
  <c r="S90" i="32"/>
  <c r="V90" i="32"/>
  <c r="W90" i="32"/>
  <c r="X90" i="32"/>
  <c r="AA90" i="32"/>
  <c r="AD90" i="32" s="1"/>
  <c r="AB90" i="32"/>
  <c r="AC90" i="32"/>
  <c r="AF90" i="32"/>
  <c r="AI90" i="32" s="1"/>
  <c r="AG90" i="32"/>
  <c r="AH90" i="32"/>
  <c r="L91" i="32"/>
  <c r="O91" i="32" s="1"/>
  <c r="M91" i="32"/>
  <c r="N91" i="32"/>
  <c r="Q91" i="32"/>
  <c r="T91" i="32" s="1"/>
  <c r="R91" i="32"/>
  <c r="S91" i="32"/>
  <c r="V91" i="32"/>
  <c r="Z91" i="32" s="1"/>
  <c r="W91" i="32"/>
  <c r="X91" i="32"/>
  <c r="AA91" i="32"/>
  <c r="AD91" i="32" s="1"/>
  <c r="AB91" i="32"/>
  <c r="AC91" i="32"/>
  <c r="AF91" i="32"/>
  <c r="AG91" i="32"/>
  <c r="AH91" i="32"/>
  <c r="L92" i="32"/>
  <c r="O92" i="32" s="1"/>
  <c r="M92" i="32"/>
  <c r="N92" i="32"/>
  <c r="Q92" i="32"/>
  <c r="R92" i="32"/>
  <c r="S92" i="32"/>
  <c r="V92" i="32"/>
  <c r="W92" i="32"/>
  <c r="X92" i="32"/>
  <c r="AA92" i="32"/>
  <c r="AE92" i="32" s="1"/>
  <c r="AB92" i="32"/>
  <c r="AC92" i="32"/>
  <c r="AF92" i="32"/>
  <c r="AG92" i="32"/>
  <c r="AH92" i="32"/>
  <c r="L93" i="32"/>
  <c r="M93" i="32"/>
  <c r="N93" i="32"/>
  <c r="Q93" i="32"/>
  <c r="R93" i="32"/>
  <c r="S93" i="32"/>
  <c r="T93" i="32"/>
  <c r="V93" i="32"/>
  <c r="W93" i="32"/>
  <c r="X93" i="32"/>
  <c r="AA93" i="32"/>
  <c r="AB93" i="32"/>
  <c r="AC93" i="32"/>
  <c r="AF93" i="32"/>
  <c r="AJ93" i="32" s="1"/>
  <c r="AG93" i="32"/>
  <c r="AH93" i="32"/>
  <c r="K94" i="32"/>
  <c r="L94" i="32"/>
  <c r="M94" i="32"/>
  <c r="N94" i="32"/>
  <c r="Q94" i="32"/>
  <c r="R94" i="32"/>
  <c r="S94" i="32"/>
  <c r="V94" i="32"/>
  <c r="Z94" i="32" s="1"/>
  <c r="W94" i="32"/>
  <c r="X94" i="32"/>
  <c r="Y94" i="32"/>
  <c r="AA94" i="32"/>
  <c r="AB94" i="32"/>
  <c r="AC94" i="32"/>
  <c r="AF94" i="32"/>
  <c r="AI94" i="32" s="1"/>
  <c r="AG94" i="32"/>
  <c r="AH94" i="32"/>
  <c r="AJ94" i="32"/>
  <c r="L95" i="32"/>
  <c r="M95" i="32"/>
  <c r="N95" i="32"/>
  <c r="P95" i="32"/>
  <c r="Q95" i="32"/>
  <c r="T95" i="32" s="1"/>
  <c r="R95" i="32"/>
  <c r="S95" i="32"/>
  <c r="V95" i="32"/>
  <c r="Z95" i="32" s="1"/>
  <c r="W95" i="32"/>
  <c r="X95" i="32"/>
  <c r="AA95" i="32"/>
  <c r="AD95" i="32" s="1"/>
  <c r="AB95" i="32"/>
  <c r="AC95" i="32"/>
  <c r="AF95" i="32"/>
  <c r="AG95" i="32"/>
  <c r="AH95" i="32"/>
  <c r="L96" i="32"/>
  <c r="O96" i="32" s="1"/>
  <c r="M96" i="32"/>
  <c r="N96" i="32"/>
  <c r="Q96" i="32"/>
  <c r="U96" i="32" s="1"/>
  <c r="R96" i="32"/>
  <c r="S96" i="32"/>
  <c r="V96" i="32"/>
  <c r="W96" i="32"/>
  <c r="X96" i="32"/>
  <c r="AA96" i="32"/>
  <c r="AE96" i="32" s="1"/>
  <c r="AB96" i="32"/>
  <c r="AC96" i="32"/>
  <c r="AF96" i="32"/>
  <c r="AI96" i="32" s="1"/>
  <c r="AG96" i="32"/>
  <c r="AH96" i="32"/>
  <c r="L97" i="32"/>
  <c r="M97" i="32"/>
  <c r="N97" i="32"/>
  <c r="Q97" i="32"/>
  <c r="T97" i="32" s="1"/>
  <c r="R97" i="32"/>
  <c r="S97" i="32"/>
  <c r="V97" i="32"/>
  <c r="W97" i="32"/>
  <c r="X97" i="32"/>
  <c r="AA97" i="32"/>
  <c r="AD97" i="32" s="1"/>
  <c r="AB97" i="32"/>
  <c r="AC97" i="32"/>
  <c r="AF97" i="32"/>
  <c r="AI97" i="32" s="1"/>
  <c r="AG97" i="32"/>
  <c r="AH97" i="32"/>
  <c r="K98" i="32"/>
  <c r="L98" i="32"/>
  <c r="O98" i="32" s="1"/>
  <c r="M98" i="32"/>
  <c r="N98" i="32"/>
  <c r="Q98" i="32"/>
  <c r="R98" i="32"/>
  <c r="S98" i="32"/>
  <c r="V98" i="32"/>
  <c r="Y98" i="32" s="1"/>
  <c r="W98" i="32"/>
  <c r="X98" i="32"/>
  <c r="AA98" i="32"/>
  <c r="AB98" i="32"/>
  <c r="AC98" i="32"/>
  <c r="AF98" i="32"/>
  <c r="AG98" i="32"/>
  <c r="AH98" i="32"/>
  <c r="L99" i="32"/>
  <c r="M99" i="32"/>
  <c r="N99" i="32"/>
  <c r="Q99" i="32"/>
  <c r="T99" i="32" s="1"/>
  <c r="R99" i="32"/>
  <c r="S99" i="32"/>
  <c r="V99" i="32"/>
  <c r="W99" i="32"/>
  <c r="X99" i="32"/>
  <c r="AA99" i="32"/>
  <c r="AB99" i="32"/>
  <c r="AC99" i="32"/>
  <c r="AF99" i="32"/>
  <c r="AG99" i="32"/>
  <c r="AH99" i="32"/>
  <c r="L100" i="32"/>
  <c r="O100" i="32" s="1"/>
  <c r="M100" i="32"/>
  <c r="N100" i="32"/>
  <c r="Q100" i="32"/>
  <c r="U100" i="32" s="1"/>
  <c r="R100" i="32"/>
  <c r="S100" i="32"/>
  <c r="V100" i="32"/>
  <c r="W100" i="32"/>
  <c r="X100" i="32"/>
  <c r="AA100" i="32"/>
  <c r="AB100" i="32"/>
  <c r="AC100" i="32"/>
  <c r="AE100" i="32"/>
  <c r="AF100" i="32"/>
  <c r="AI100" i="32" s="1"/>
  <c r="AG100" i="32"/>
  <c r="AH100" i="32"/>
  <c r="L101" i="32"/>
  <c r="M101" i="32"/>
  <c r="N101" i="32"/>
  <c r="Q101" i="32"/>
  <c r="T101" i="32" s="1"/>
  <c r="R101" i="32"/>
  <c r="S101" i="32"/>
  <c r="V101" i="32"/>
  <c r="Y101" i="32" s="1"/>
  <c r="W101" i="32"/>
  <c r="X101" i="32"/>
  <c r="AA101" i="32"/>
  <c r="AD101" i="32" s="1"/>
  <c r="AB101" i="32"/>
  <c r="AC101" i="32"/>
  <c r="AF101" i="32"/>
  <c r="AG101" i="32"/>
  <c r="AH101" i="32"/>
  <c r="K20" i="32"/>
  <c r="AL64" i="4"/>
  <c r="AK64" i="4"/>
  <c r="AJ64" i="4"/>
  <c r="AT64" i="1"/>
  <c r="AS64" i="1"/>
  <c r="AR64" i="1"/>
  <c r="Y64" i="5"/>
  <c r="X64" i="5"/>
  <c r="W64" i="5"/>
  <c r="V64" i="5"/>
  <c r="U64" i="5"/>
  <c r="T64" i="5"/>
  <c r="Y64" i="6"/>
  <c r="X64" i="6"/>
  <c r="W64" i="6"/>
  <c r="AV64" i="5"/>
  <c r="AP64" i="5"/>
  <c r="AA64" i="5"/>
  <c r="AG64" i="1"/>
  <c r="U64" i="1"/>
  <c r="I64" i="1"/>
  <c r="Y64" i="4"/>
  <c r="O64" i="4"/>
  <c r="AD99" i="32" l="1"/>
  <c r="Z98" i="32"/>
  <c r="O95" i="32"/>
  <c r="Y86" i="32"/>
  <c r="E99" i="32"/>
  <c r="E95" i="32"/>
  <c r="E88" i="32"/>
  <c r="J81" i="32"/>
  <c r="F75" i="32"/>
  <c r="J76" i="32"/>
  <c r="Y92" i="32"/>
  <c r="U88" i="32"/>
  <c r="AJ84" i="32"/>
  <c r="Y79" i="32"/>
  <c r="AJ97" i="32"/>
  <c r="O99" i="32"/>
  <c r="AI88" i="32"/>
  <c r="Z81" i="32"/>
  <c r="AI75" i="32"/>
  <c r="T74" i="32"/>
  <c r="AD72" i="32"/>
  <c r="J98" i="32"/>
  <c r="Z90" i="32"/>
  <c r="AI98" i="32"/>
  <c r="AD92" i="32"/>
  <c r="AI86" i="32"/>
  <c r="P86" i="32"/>
  <c r="AJ81" i="32"/>
  <c r="K89" i="32"/>
  <c r="E86" i="32"/>
  <c r="AI87" i="32"/>
  <c r="Z86" i="32"/>
  <c r="T76" i="32"/>
  <c r="J90" i="32"/>
  <c r="F89" i="32"/>
  <c r="E81" i="32"/>
  <c r="AE87" i="32"/>
  <c r="O78" i="32"/>
  <c r="E98" i="32"/>
  <c r="E94" i="32"/>
  <c r="E78" i="32"/>
  <c r="Y97" i="32"/>
  <c r="Y99" i="32"/>
  <c r="AJ98" i="32"/>
  <c r="Y95" i="32"/>
  <c r="Y90" i="32"/>
  <c r="P92" i="32"/>
  <c r="U84" i="32"/>
  <c r="J99" i="32"/>
  <c r="E90" i="32"/>
  <c r="K91" i="32"/>
  <c r="F83" i="32"/>
  <c r="E80" i="32"/>
  <c r="Y96" i="32"/>
  <c r="AJ90" i="32"/>
  <c r="Y87" i="32"/>
  <c r="AE84" i="32"/>
  <c r="Y78" i="32"/>
  <c r="P76" i="32"/>
  <c r="J77" i="32"/>
  <c r="AJ101" i="32"/>
  <c r="U93" i="32"/>
  <c r="AI83" i="32"/>
  <c r="AJ82" i="32"/>
  <c r="K99" i="32"/>
  <c r="J78" i="32"/>
  <c r="T84" i="32"/>
  <c r="O79" i="32"/>
  <c r="AE79" i="32"/>
  <c r="T73" i="32"/>
  <c r="AD100" i="32"/>
  <c r="AD96" i="32"/>
  <c r="T92" i="32"/>
  <c r="AE91" i="32"/>
  <c r="P83" i="32"/>
  <c r="U81" i="32"/>
  <c r="AJ78" i="32"/>
  <c r="AE75" i="32"/>
  <c r="K100" i="32"/>
  <c r="J93" i="32"/>
  <c r="J83" i="32"/>
  <c r="E75" i="32"/>
  <c r="Y100" i="32"/>
  <c r="AD93" i="32"/>
  <c r="P99" i="32"/>
  <c r="AI80" i="32"/>
  <c r="P80" i="32"/>
  <c r="O76" i="32"/>
  <c r="E82" i="32"/>
  <c r="AI101" i="32"/>
  <c r="O94" i="32"/>
  <c r="Z99" i="32"/>
  <c r="Z83" i="32"/>
  <c r="O80" i="32"/>
  <c r="AJ77" i="32"/>
  <c r="AI73" i="32"/>
  <c r="J86" i="32"/>
  <c r="J85" i="32"/>
  <c r="E79" i="32"/>
  <c r="J72" i="32"/>
  <c r="E74" i="32"/>
  <c r="AN221" i="32"/>
  <c r="AY221" i="32"/>
  <c r="AI221" i="32"/>
  <c r="U221" i="32"/>
  <c r="E73" i="32"/>
  <c r="C222" i="32"/>
  <c r="AI92" i="32"/>
  <c r="AD86" i="32"/>
  <c r="E100" i="32"/>
  <c r="B222" i="32"/>
  <c r="T86" i="32"/>
  <c r="U92" i="32"/>
  <c r="O90" i="32"/>
  <c r="Y88" i="32"/>
  <c r="Z85" i="32"/>
  <c r="O85" i="32"/>
  <c r="K82" i="32"/>
  <c r="AD81" i="32"/>
  <c r="Y74" i="32"/>
  <c r="E101" i="32"/>
  <c r="K83" i="32"/>
  <c r="K75" i="32"/>
  <c r="O101" i="32"/>
  <c r="K92" i="32"/>
  <c r="P91" i="32"/>
  <c r="F80" i="32"/>
  <c r="K76" i="32"/>
  <c r="U101" i="32"/>
  <c r="K101" i="32"/>
  <c r="P100" i="32"/>
  <c r="AI99" i="32"/>
  <c r="O97" i="32"/>
  <c r="T96" i="32"/>
  <c r="AI93" i="32"/>
  <c r="Y91" i="32"/>
  <c r="AJ89" i="32"/>
  <c r="AD88" i="32"/>
  <c r="Z87" i="32"/>
  <c r="P87" i="32"/>
  <c r="T85" i="32"/>
  <c r="AI84" i="32"/>
  <c r="P84" i="32"/>
  <c r="AI81" i="32"/>
  <c r="AE80" i="32"/>
  <c r="U80" i="32"/>
  <c r="AD79" i="32"/>
  <c r="T79" i="32"/>
  <c r="Y76" i="32"/>
  <c r="Z75" i="32"/>
  <c r="P75" i="32"/>
  <c r="O73" i="32"/>
  <c r="T72" i="32"/>
  <c r="AI74" i="32"/>
  <c r="U77" i="32"/>
  <c r="J97" i="32"/>
  <c r="J96" i="32"/>
  <c r="Y80" i="32"/>
  <c r="AE99" i="32"/>
  <c r="AD98" i="32"/>
  <c r="T98" i="32"/>
  <c r="U97" i="32"/>
  <c r="P96" i="32"/>
  <c r="AI95" i="32"/>
  <c r="Y93" i="32"/>
  <c r="O93" i="32"/>
  <c r="AD82" i="32"/>
  <c r="T82" i="32"/>
  <c r="K80" i="32"/>
  <c r="Z79" i="32"/>
  <c r="P79" i="32"/>
  <c r="P78" i="32"/>
  <c r="U76" i="32"/>
  <c r="AE76" i="32"/>
  <c r="F99" i="32"/>
  <c r="F98" i="32"/>
  <c r="F97" i="32"/>
  <c r="F96" i="32"/>
  <c r="J91" i="32"/>
  <c r="J87" i="32"/>
  <c r="AD83" i="32"/>
  <c r="T100" i="32"/>
  <c r="AD89" i="32"/>
  <c r="J95" i="32"/>
  <c r="AE95" i="32"/>
  <c r="AD94" i="32"/>
  <c r="T94" i="32"/>
  <c r="K93" i="32"/>
  <c r="AI91" i="32"/>
  <c r="O82" i="32"/>
  <c r="Y77" i="32"/>
  <c r="J89" i="32"/>
  <c r="J88" i="32"/>
  <c r="J79" i="32"/>
  <c r="E76" i="32"/>
  <c r="J75" i="32"/>
  <c r="E174" i="32"/>
  <c r="F171" i="32"/>
  <c r="AE177" i="32"/>
  <c r="P171" i="32"/>
  <c r="E124" i="32"/>
  <c r="E121" i="32"/>
  <c r="Z121" i="32"/>
  <c r="P121" i="32"/>
  <c r="AD74" i="32"/>
  <c r="O74" i="32"/>
  <c r="J74" i="32"/>
  <c r="F170" i="32"/>
  <c r="J173" i="32"/>
  <c r="K170" i="32"/>
  <c r="U120" i="32"/>
  <c r="F120" i="32"/>
  <c r="Y123" i="32"/>
  <c r="O123" i="32"/>
  <c r="Z120" i="32"/>
  <c r="P120" i="32"/>
  <c r="F21" i="32"/>
  <c r="AJ76" i="32"/>
  <c r="AD73" i="32"/>
  <c r="J73" i="32"/>
  <c r="K203" i="32"/>
  <c r="K201" i="32"/>
  <c r="K193" i="32"/>
  <c r="K185" i="32"/>
  <c r="K171" i="32"/>
  <c r="F201" i="32"/>
  <c r="F193" i="32"/>
  <c r="F185" i="32"/>
  <c r="F177" i="32"/>
  <c r="F169" i="32"/>
  <c r="F200" i="32"/>
  <c r="F192" i="32"/>
  <c r="F184" i="32"/>
  <c r="F176" i="32"/>
  <c r="K178" i="32"/>
  <c r="F199" i="32"/>
  <c r="J195" i="32"/>
  <c r="F191" i="32"/>
  <c r="J187" i="32"/>
  <c r="F183" i="32"/>
  <c r="J179" i="32"/>
  <c r="F175" i="32"/>
  <c r="K177" i="32"/>
  <c r="F198" i="32"/>
  <c r="F190" i="32"/>
  <c r="F182" i="32"/>
  <c r="F174" i="32"/>
  <c r="K137" i="32"/>
  <c r="K129" i="32"/>
  <c r="K151" i="32"/>
  <c r="F151" i="32"/>
  <c r="F143" i="32"/>
  <c r="F135" i="32"/>
  <c r="F127" i="32"/>
  <c r="F119" i="32"/>
  <c r="K143" i="32"/>
  <c r="K135" i="32"/>
  <c r="K119" i="32"/>
  <c r="F150" i="32"/>
  <c r="F142" i="32"/>
  <c r="F134" i="32"/>
  <c r="F126" i="32"/>
  <c r="K121" i="32"/>
  <c r="F149" i="32"/>
  <c r="K127" i="32"/>
  <c r="F148" i="32"/>
  <c r="F140" i="32"/>
  <c r="F132" i="32"/>
  <c r="F124" i="32"/>
  <c r="F95" i="32"/>
  <c r="F87" i="32"/>
  <c r="F79" i="32"/>
  <c r="K79" i="32"/>
  <c r="F94" i="32"/>
  <c r="F86" i="32"/>
  <c r="F78" i="32"/>
  <c r="F101" i="32"/>
  <c r="F93" i="32"/>
  <c r="F85" i="32"/>
  <c r="F77" i="32"/>
  <c r="K95" i="32"/>
  <c r="F100" i="32"/>
  <c r="F92" i="32"/>
  <c r="F84" i="32"/>
  <c r="F76" i="32"/>
  <c r="F46" i="32"/>
  <c r="F38" i="32"/>
  <c r="F30" i="32"/>
  <c r="F22" i="32"/>
  <c r="F49" i="32"/>
  <c r="F41" i="32"/>
  <c r="F33" i="32"/>
  <c r="F25" i="32"/>
  <c r="F52" i="32"/>
  <c r="F44" i="32"/>
  <c r="F36" i="32"/>
  <c r="F28" i="32"/>
  <c r="F20" i="32"/>
  <c r="F47" i="32"/>
  <c r="F39" i="32"/>
  <c r="F31" i="32"/>
  <c r="F23" i="32"/>
  <c r="P172" i="32"/>
  <c r="U171" i="32"/>
  <c r="Z170" i="32"/>
  <c r="AE169" i="32"/>
  <c r="P199" i="32"/>
  <c r="U198" i="32"/>
  <c r="Z197" i="32"/>
  <c r="AE196" i="32"/>
  <c r="P191" i="32"/>
  <c r="U190" i="32"/>
  <c r="Z189" i="32"/>
  <c r="AE188" i="32"/>
  <c r="P183" i="32"/>
  <c r="U182" i="32"/>
  <c r="Z181" i="32"/>
  <c r="AE180" i="32"/>
  <c r="P175" i="32"/>
  <c r="U174" i="32"/>
  <c r="Z173" i="32"/>
  <c r="AE172" i="32"/>
  <c r="P178" i="32"/>
  <c r="U177" i="32"/>
  <c r="Z176" i="32"/>
  <c r="AE175" i="32"/>
  <c r="P170" i="32"/>
  <c r="U169" i="32"/>
  <c r="Z203" i="32"/>
  <c r="AE202" i="32"/>
  <c r="P197" i="32"/>
  <c r="U196" i="32"/>
  <c r="Z195" i="32"/>
  <c r="AE194" i="32"/>
  <c r="P189" i="32"/>
  <c r="U188" i="32"/>
  <c r="Z187" i="32"/>
  <c r="AE186" i="32"/>
  <c r="P181" i="32"/>
  <c r="U180" i="32"/>
  <c r="Z179" i="32"/>
  <c r="AE178" i="32"/>
  <c r="P173" i="32"/>
  <c r="U172" i="32"/>
  <c r="Z171" i="32"/>
  <c r="AE170" i="32"/>
  <c r="U148" i="32"/>
  <c r="U147" i="32"/>
  <c r="U146" i="32"/>
  <c r="U143" i="32"/>
  <c r="U142" i="32"/>
  <c r="U141" i="32"/>
  <c r="U140" i="32"/>
  <c r="U135" i="32"/>
  <c r="U134" i="32"/>
  <c r="U132" i="32"/>
  <c r="U127" i="32"/>
  <c r="U126" i="32"/>
  <c r="U125" i="32"/>
  <c r="Z101" i="32"/>
  <c r="AJ100" i="32"/>
  <c r="P98" i="32"/>
  <c r="Z97" i="32"/>
  <c r="AJ96" i="32"/>
  <c r="P94" i="32"/>
  <c r="Z93" i="32"/>
  <c r="AJ92" i="32"/>
  <c r="P90" i="32"/>
  <c r="Z89" i="32"/>
  <c r="AJ88" i="32"/>
  <c r="U99" i="32"/>
  <c r="AE98" i="32"/>
  <c r="U95" i="32"/>
  <c r="AE94" i="32"/>
  <c r="U91" i="32"/>
  <c r="AE90" i="32"/>
  <c r="U87" i="32"/>
  <c r="AE86" i="32"/>
  <c r="U83" i="32"/>
  <c r="AE82" i="32"/>
  <c r="U79" i="32"/>
  <c r="AE78" i="32"/>
  <c r="U75" i="32"/>
  <c r="P101" i="32"/>
  <c r="Z100" i="32"/>
  <c r="AJ99" i="32"/>
  <c r="P97" i="32"/>
  <c r="Z96" i="32"/>
  <c r="AJ95" i="32"/>
  <c r="P93" i="32"/>
  <c r="Z92" i="32"/>
  <c r="AJ91" i="32"/>
  <c r="P89" i="32"/>
  <c r="Z88" i="32"/>
  <c r="AJ87" i="32"/>
  <c r="P85" i="32"/>
  <c r="Z84" i="32"/>
  <c r="AJ83" i="32"/>
  <c r="P81" i="32"/>
  <c r="Z80" i="32"/>
  <c r="AJ79" i="32"/>
  <c r="P77" i="32"/>
  <c r="Z76" i="32"/>
  <c r="AJ75" i="32"/>
  <c r="AE101" i="32"/>
  <c r="U98" i="32"/>
  <c r="AE97" i="32"/>
  <c r="U94" i="32"/>
  <c r="AE93" i="32"/>
  <c r="U90" i="32"/>
  <c r="AE89" i="32"/>
  <c r="U86" i="32"/>
  <c r="AE85" i="32"/>
  <c r="U82" i="32"/>
  <c r="AE81" i="32"/>
  <c r="U78" i="32"/>
  <c r="AE77" i="32"/>
  <c r="B65" i="29" l="1"/>
  <c r="Y52" i="5"/>
  <c r="Y53" i="5"/>
  <c r="Y54" i="5"/>
  <c r="Y55" i="5"/>
  <c r="Y56" i="5"/>
  <c r="Y57" i="5"/>
  <c r="Y58" i="5"/>
  <c r="Y59" i="5"/>
  <c r="Y60" i="5"/>
  <c r="Y61" i="5"/>
  <c r="Y62" i="5"/>
  <c r="X52" i="5"/>
  <c r="X53" i="5"/>
  <c r="X54" i="5"/>
  <c r="X55" i="5"/>
  <c r="X56" i="5"/>
  <c r="X57" i="5"/>
  <c r="X58" i="5"/>
  <c r="X59" i="5"/>
  <c r="X60" i="5"/>
  <c r="X61" i="5"/>
  <c r="X62" i="5"/>
  <c r="Y63" i="5"/>
  <c r="X63" i="5"/>
  <c r="C220" i="32" l="1"/>
  <c r="B168" i="32"/>
  <c r="F168" i="32" s="1"/>
  <c r="C168" i="32"/>
  <c r="D168" i="32"/>
  <c r="G168" i="32"/>
  <c r="J168" i="32" s="1"/>
  <c r="H168" i="32"/>
  <c r="I168" i="32"/>
  <c r="L168" i="32"/>
  <c r="M168" i="32"/>
  <c r="N168" i="32"/>
  <c r="O168" i="32"/>
  <c r="P168" i="32"/>
  <c r="Q168" i="32"/>
  <c r="U168" i="32" s="1"/>
  <c r="R168" i="32"/>
  <c r="S168" i="32"/>
  <c r="V168" i="32"/>
  <c r="W168" i="32"/>
  <c r="X168" i="32"/>
  <c r="Y168" i="32"/>
  <c r="Z168" i="32"/>
  <c r="AA168" i="32"/>
  <c r="AD168" i="32" s="1"/>
  <c r="AB168" i="32"/>
  <c r="AC168" i="32"/>
  <c r="AE168" i="32"/>
  <c r="B118" i="32"/>
  <c r="E118" i="32" s="1"/>
  <c r="C118" i="32"/>
  <c r="D118" i="32"/>
  <c r="G118" i="32"/>
  <c r="J118" i="32" s="1"/>
  <c r="H118" i="32"/>
  <c r="I118" i="32"/>
  <c r="L118" i="32"/>
  <c r="O118" i="32" s="1"/>
  <c r="M118" i="32"/>
  <c r="N118" i="32"/>
  <c r="Q118" i="32"/>
  <c r="U118" i="32" s="1"/>
  <c r="R118" i="32"/>
  <c r="S118" i="32"/>
  <c r="T118" i="32"/>
  <c r="V118" i="32"/>
  <c r="W118" i="32"/>
  <c r="X118" i="32"/>
  <c r="Y118" i="32"/>
  <c r="Z118" i="32"/>
  <c r="B68" i="32"/>
  <c r="C68" i="32"/>
  <c r="E71" i="32" s="1"/>
  <c r="D68" i="32"/>
  <c r="F74" i="32" s="1"/>
  <c r="G68" i="32"/>
  <c r="H68" i="32"/>
  <c r="J71" i="32" s="1"/>
  <c r="I68" i="32"/>
  <c r="K74" i="32" s="1"/>
  <c r="B19" i="32"/>
  <c r="E19" i="32" s="1"/>
  <c r="C19" i="32"/>
  <c r="D19" i="32"/>
  <c r="L68" i="32"/>
  <c r="M68" i="32"/>
  <c r="O71" i="32" s="1"/>
  <c r="N68" i="32"/>
  <c r="P74" i="32" s="1"/>
  <c r="Q68" i="32"/>
  <c r="R68" i="32"/>
  <c r="T71" i="32" s="1"/>
  <c r="S68" i="32"/>
  <c r="U74" i="32" s="1"/>
  <c r="V68" i="32"/>
  <c r="W68" i="32"/>
  <c r="Y71" i="32" s="1"/>
  <c r="X68" i="32"/>
  <c r="Z74" i="32" s="1"/>
  <c r="AA68" i="32"/>
  <c r="AB68" i="32"/>
  <c r="AD71" i="32" s="1"/>
  <c r="AC68" i="32"/>
  <c r="AE74" i="32" s="1"/>
  <c r="AF68" i="32"/>
  <c r="AG68" i="32"/>
  <c r="AI71" i="32" s="1"/>
  <c r="AH68" i="32"/>
  <c r="AJ74" i="32" s="1"/>
  <c r="P96" i="29"/>
  <c r="O96" i="29"/>
  <c r="Y63" i="6"/>
  <c r="X63" i="6"/>
  <c r="W63" i="6"/>
  <c r="P221" i="32" l="1"/>
  <c r="K118" i="32"/>
  <c r="D220" i="32"/>
  <c r="E168" i="32"/>
  <c r="B220" i="32"/>
  <c r="T168" i="32"/>
  <c r="K168" i="32"/>
  <c r="P118" i="32"/>
  <c r="F118" i="32"/>
  <c r="F19" i="32"/>
  <c r="V63" i="5"/>
  <c r="U63" i="5"/>
  <c r="T63" i="5"/>
  <c r="AV63" i="5"/>
  <c r="AP63" i="5"/>
  <c r="AA63" i="5"/>
  <c r="W63" i="5"/>
  <c r="AT63" i="1"/>
  <c r="AS63" i="1"/>
  <c r="AR63" i="1"/>
  <c r="AG63" i="1"/>
  <c r="U63" i="1"/>
  <c r="I63" i="1"/>
  <c r="AL63" i="4"/>
  <c r="AK63" i="4"/>
  <c r="AJ63" i="4"/>
  <c r="Y63" i="4"/>
  <c r="Y62" i="4"/>
  <c r="O63" i="4"/>
  <c r="E63" i="4"/>
  <c r="T221" i="32" l="1"/>
  <c r="AN220" i="32"/>
  <c r="AI220" i="32"/>
  <c r="AY220" i="32"/>
  <c r="U220" i="32"/>
  <c r="O221" i="32"/>
  <c r="B167" i="32" l="1"/>
  <c r="E167" i="32" s="1"/>
  <c r="C167" i="32"/>
  <c r="D167" i="32"/>
  <c r="G167" i="32"/>
  <c r="H167" i="32"/>
  <c r="I167" i="32"/>
  <c r="J167" i="32"/>
  <c r="K167" i="32"/>
  <c r="L167" i="32"/>
  <c r="O167" i="32" s="1"/>
  <c r="M167" i="32"/>
  <c r="N167" i="32"/>
  <c r="Q167" i="32"/>
  <c r="T167" i="32" s="1"/>
  <c r="R167" i="32"/>
  <c r="S167" i="32"/>
  <c r="V167" i="32"/>
  <c r="W167" i="32"/>
  <c r="X167" i="32"/>
  <c r="Y167" i="32"/>
  <c r="Z167" i="32"/>
  <c r="AA167" i="32"/>
  <c r="AB167" i="32"/>
  <c r="AC167" i="32"/>
  <c r="AD167" i="32"/>
  <c r="AE167" i="32"/>
  <c r="B117" i="32"/>
  <c r="E117" i="32" s="1"/>
  <c r="C117" i="32"/>
  <c r="D117" i="32"/>
  <c r="G117" i="32"/>
  <c r="H117" i="32"/>
  <c r="I117" i="32"/>
  <c r="J117" i="32"/>
  <c r="K117" i="32"/>
  <c r="L117" i="32"/>
  <c r="O117" i="32" s="1"/>
  <c r="M117" i="32"/>
  <c r="N117" i="32"/>
  <c r="P117" i="32"/>
  <c r="Q117" i="32"/>
  <c r="U117" i="32" s="1"/>
  <c r="R117" i="32"/>
  <c r="S117" i="32"/>
  <c r="T117" i="32"/>
  <c r="V117" i="32"/>
  <c r="W117" i="32"/>
  <c r="X117" i="32"/>
  <c r="Y117" i="32"/>
  <c r="Z117" i="32"/>
  <c r="G67" i="32"/>
  <c r="H67" i="32"/>
  <c r="J70" i="32" s="1"/>
  <c r="I67" i="32"/>
  <c r="K73" i="32" s="1"/>
  <c r="L67" i="32"/>
  <c r="M67" i="32"/>
  <c r="O70" i="32" s="1"/>
  <c r="N67" i="32"/>
  <c r="P73" i="32" s="1"/>
  <c r="Q67" i="32"/>
  <c r="R67" i="32"/>
  <c r="T70" i="32" s="1"/>
  <c r="S67" i="32"/>
  <c r="U73" i="32" s="1"/>
  <c r="V67" i="32"/>
  <c r="W67" i="32"/>
  <c r="Y70" i="32" s="1"/>
  <c r="X67" i="32"/>
  <c r="Z73" i="32" s="1"/>
  <c r="AA67" i="32"/>
  <c r="AB67" i="32"/>
  <c r="AD70" i="32" s="1"/>
  <c r="AC67" i="32"/>
  <c r="AE73" i="32" s="1"/>
  <c r="AF67" i="32"/>
  <c r="AG67" i="32"/>
  <c r="AI70" i="32" s="1"/>
  <c r="AH67" i="32"/>
  <c r="AJ73" i="32" s="1"/>
  <c r="B67" i="32"/>
  <c r="C67" i="32"/>
  <c r="E70" i="32" s="1"/>
  <c r="D67" i="32"/>
  <c r="F73" i="32" s="1"/>
  <c r="B18" i="32"/>
  <c r="E18" i="32" s="1"/>
  <c r="C18" i="32"/>
  <c r="D18" i="32"/>
  <c r="N37" i="29"/>
  <c r="AW4" i="4"/>
  <c r="AV4" i="4"/>
  <c r="AU4" i="4"/>
  <c r="AT4" i="4"/>
  <c r="AS4" i="4"/>
  <c r="AR4" i="4"/>
  <c r="AQ4" i="4"/>
  <c r="AP4" i="4"/>
  <c r="AO4" i="4"/>
  <c r="AN4" i="4"/>
  <c r="AM4" i="4"/>
  <c r="AL4" i="4"/>
  <c r="P57" i="29" s="1"/>
  <c r="P60" i="29" s="1"/>
  <c r="AK4" i="4"/>
  <c r="O57" i="29" s="1"/>
  <c r="O60" i="29" s="1"/>
  <c r="AJ4" i="4"/>
  <c r="N57" i="29" s="1"/>
  <c r="N60" i="29" s="1"/>
  <c r="AI4" i="4"/>
  <c r="P58" i="29" s="1"/>
  <c r="AH4" i="4"/>
  <c r="O58" i="29" s="1"/>
  <c r="AG4" i="4"/>
  <c r="AF4" i="4"/>
  <c r="AE4" i="4"/>
  <c r="AD4" i="4"/>
  <c r="AC4" i="4"/>
  <c r="P49" i="29" s="1"/>
  <c r="AA4" i="4"/>
  <c r="P55" i="29" s="1"/>
  <c r="Z4" i="4"/>
  <c r="Y4" i="4"/>
  <c r="P51" i="29" s="1"/>
  <c r="X4" i="4"/>
  <c r="W4" i="4"/>
  <c r="V4" i="4"/>
  <c r="U4" i="4"/>
  <c r="O49" i="29" s="1"/>
  <c r="S4" i="4"/>
  <c r="O55" i="29" s="1"/>
  <c r="R4" i="4"/>
  <c r="Q4" i="4"/>
  <c r="P4" i="4"/>
  <c r="O4" i="4"/>
  <c r="O51" i="29" s="1"/>
  <c r="N4" i="4"/>
  <c r="M4" i="4"/>
  <c r="L4" i="4"/>
  <c r="N49" i="29"/>
  <c r="I4" i="4"/>
  <c r="N55" i="29" s="1"/>
  <c r="H4" i="4"/>
  <c r="G4" i="4"/>
  <c r="F4" i="4"/>
  <c r="E4" i="4"/>
  <c r="N51" i="29" s="1"/>
  <c r="D4" i="4"/>
  <c r="C4" i="4"/>
  <c r="B4" i="4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P93" i="29" s="1"/>
  <c r="O4" i="6"/>
  <c r="P87" i="29" s="1"/>
  <c r="N4" i="6"/>
  <c r="P85" i="29" s="1"/>
  <c r="M4" i="6"/>
  <c r="P81" i="29" s="1"/>
  <c r="L4" i="6"/>
  <c r="P77" i="29" s="1"/>
  <c r="K4" i="6"/>
  <c r="O93" i="29" s="1"/>
  <c r="J4" i="6"/>
  <c r="O87" i="29" s="1"/>
  <c r="I4" i="6"/>
  <c r="O85" i="29" s="1"/>
  <c r="H4" i="6"/>
  <c r="O81" i="29" s="1"/>
  <c r="G4" i="6"/>
  <c r="O77" i="29" s="1"/>
  <c r="F4" i="6"/>
  <c r="N93" i="29" s="1"/>
  <c r="E4" i="6"/>
  <c r="N87" i="29" s="1"/>
  <c r="D4" i="6"/>
  <c r="N85" i="29" s="1"/>
  <c r="C4" i="6"/>
  <c r="N81" i="29" s="1"/>
  <c r="B4" i="6"/>
  <c r="N77" i="29" s="1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P72" i="29" s="1"/>
  <c r="R4" i="5"/>
  <c r="O72" i="29" s="1"/>
  <c r="Q4" i="5"/>
  <c r="P4" i="5"/>
  <c r="O4" i="5"/>
  <c r="N4" i="5"/>
  <c r="M4" i="5"/>
  <c r="P69" i="29" s="1"/>
  <c r="L4" i="5"/>
  <c r="P65" i="29" s="1"/>
  <c r="K4" i="5"/>
  <c r="P67" i="29" s="1"/>
  <c r="J4" i="5"/>
  <c r="P63" i="29" s="1"/>
  <c r="I4" i="5"/>
  <c r="O69" i="29" s="1"/>
  <c r="H4" i="5"/>
  <c r="O65" i="29" s="1"/>
  <c r="G4" i="5"/>
  <c r="O67" i="29" s="1"/>
  <c r="F4" i="5"/>
  <c r="O63" i="29" s="1"/>
  <c r="E4" i="5"/>
  <c r="N69" i="29" s="1"/>
  <c r="D4" i="5"/>
  <c r="N65" i="29" s="1"/>
  <c r="C4" i="5"/>
  <c r="N67" i="29" s="1"/>
  <c r="B4" i="5"/>
  <c r="N63" i="29" s="1"/>
  <c r="AO4" i="1"/>
  <c r="AP4" i="1"/>
  <c r="O44" i="29" s="1"/>
  <c r="AQ4" i="1"/>
  <c r="P44" i="29" s="1"/>
  <c r="AR4" i="1"/>
  <c r="N43" i="29" s="1"/>
  <c r="N46" i="29" s="1"/>
  <c r="AS4" i="1"/>
  <c r="O43" i="29" s="1"/>
  <c r="AT4" i="1"/>
  <c r="P43" i="29" s="1"/>
  <c r="P46" i="29" s="1"/>
  <c r="Z4" i="1"/>
  <c r="P35" i="29" s="1"/>
  <c r="AA4" i="1"/>
  <c r="P41" i="29" s="1"/>
  <c r="AB4" i="1"/>
  <c r="AC4" i="1"/>
  <c r="AD4" i="1"/>
  <c r="AE4" i="1"/>
  <c r="AF4" i="1"/>
  <c r="AG4" i="1"/>
  <c r="P39" i="29" s="1"/>
  <c r="AH4" i="1"/>
  <c r="AI4" i="1"/>
  <c r="AJ4" i="1"/>
  <c r="AK4" i="1"/>
  <c r="P37" i="29" s="1"/>
  <c r="AL4" i="1"/>
  <c r="AM4" i="1"/>
  <c r="AN4" i="1"/>
  <c r="C4" i="1"/>
  <c r="N41" i="29" s="1"/>
  <c r="D4" i="1"/>
  <c r="E4" i="1"/>
  <c r="F4" i="1"/>
  <c r="G4" i="1"/>
  <c r="H4" i="1"/>
  <c r="I4" i="1"/>
  <c r="N39" i="29" s="1"/>
  <c r="J4" i="1"/>
  <c r="K4" i="1"/>
  <c r="L4" i="1"/>
  <c r="M4" i="1"/>
  <c r="N4" i="1"/>
  <c r="O35" i="29" s="1"/>
  <c r="O4" i="1"/>
  <c r="O41" i="29" s="1"/>
  <c r="P4" i="1"/>
  <c r="Q4" i="1"/>
  <c r="R4" i="1"/>
  <c r="S4" i="1"/>
  <c r="T4" i="1"/>
  <c r="U4" i="1"/>
  <c r="O39" i="29" s="1"/>
  <c r="V4" i="1"/>
  <c r="W4" i="1"/>
  <c r="X4" i="1"/>
  <c r="Y4" i="1"/>
  <c r="O37" i="29" s="1"/>
  <c r="B4" i="1"/>
  <c r="N35" i="29" s="1"/>
  <c r="Y62" i="6"/>
  <c r="X62" i="6"/>
  <c r="W62" i="6"/>
  <c r="W52" i="5"/>
  <c r="W53" i="5"/>
  <c r="W54" i="5"/>
  <c r="W55" i="5"/>
  <c r="W56" i="5"/>
  <c r="W57" i="5"/>
  <c r="W58" i="5"/>
  <c r="W59" i="5"/>
  <c r="W60" i="5"/>
  <c r="W61" i="5"/>
  <c r="W62" i="5"/>
  <c r="V62" i="5"/>
  <c r="U62" i="5"/>
  <c r="T62" i="5"/>
  <c r="AA62" i="5"/>
  <c r="AV62" i="5"/>
  <c r="AP62" i="5"/>
  <c r="AG62" i="1"/>
  <c r="U62" i="1"/>
  <c r="I62" i="1"/>
  <c r="AT62" i="1"/>
  <c r="AS62" i="1"/>
  <c r="AR62" i="1"/>
  <c r="AL62" i="4"/>
  <c r="AK62" i="4"/>
  <c r="AJ62" i="4"/>
  <c r="Y61" i="4"/>
  <c r="O62" i="4"/>
  <c r="E62" i="4"/>
  <c r="D219" i="32" l="1"/>
  <c r="C219" i="32"/>
  <c r="B219" i="32"/>
  <c r="Z57" i="29"/>
  <c r="Z58" i="29" s="1"/>
  <c r="AC57" i="29"/>
  <c r="AC58" i="29" s="1"/>
  <c r="Z43" i="29"/>
  <c r="Z44" i="29" s="1"/>
  <c r="O46" i="29"/>
  <c r="M57" i="29"/>
  <c r="W57" i="29" s="1"/>
  <c r="W58" i="29" s="1"/>
  <c r="V58" i="29"/>
  <c r="N96" i="29"/>
  <c r="N97" i="29"/>
  <c r="N73" i="29"/>
  <c r="N72" i="29"/>
  <c r="N59" i="29"/>
  <c r="N58" i="29"/>
  <c r="N44" i="29"/>
  <c r="N45" i="29"/>
  <c r="R77" i="29"/>
  <c r="N95" i="29"/>
  <c r="N123" i="29"/>
  <c r="V124" i="29" s="1"/>
  <c r="P123" i="29"/>
  <c r="AC123" i="29" s="1"/>
  <c r="P95" i="29"/>
  <c r="O123" i="29"/>
  <c r="Z123" i="29" s="1"/>
  <c r="Z124" i="29" s="1"/>
  <c r="O95" i="29"/>
  <c r="N71" i="29"/>
  <c r="P71" i="29"/>
  <c r="P74" i="29" s="1"/>
  <c r="O71" i="29"/>
  <c r="M43" i="29"/>
  <c r="W43" i="29" s="1"/>
  <c r="W44" i="29" s="1"/>
  <c r="V44" i="29"/>
  <c r="P167" i="32"/>
  <c r="F167" i="32"/>
  <c r="U167" i="32"/>
  <c r="F117" i="32"/>
  <c r="R43" i="29"/>
  <c r="R57" i="29"/>
  <c r="AC43" i="29"/>
  <c r="E222" i="32" l="1"/>
  <c r="P220" i="32"/>
  <c r="T220" i="32"/>
  <c r="AN219" i="32"/>
  <c r="AI219" i="32"/>
  <c r="AY219" i="32"/>
  <c r="U219" i="32"/>
  <c r="O220" i="32"/>
  <c r="AC95" i="29"/>
  <c r="AC96" i="29" s="1"/>
  <c r="P98" i="29"/>
  <c r="Z95" i="29"/>
  <c r="Z96" i="29" s="1"/>
  <c r="O98" i="29"/>
  <c r="M95" i="29"/>
  <c r="W95" i="29" s="1"/>
  <c r="W96" i="29" s="1"/>
  <c r="N98" i="29"/>
  <c r="AA43" i="29"/>
  <c r="AB43" i="29" s="1"/>
  <c r="AB44" i="29" s="1"/>
  <c r="AA57" i="29"/>
  <c r="AA58" i="29" s="1"/>
  <c r="Z71" i="29"/>
  <c r="Z72" i="29" s="1"/>
  <c r="O74" i="29"/>
  <c r="V72" i="29"/>
  <c r="N74" i="29"/>
  <c r="AD57" i="29"/>
  <c r="AD58" i="29" s="1"/>
  <c r="X57" i="29"/>
  <c r="X58" i="29" s="1"/>
  <c r="M123" i="29"/>
  <c r="W123" i="29" s="1"/>
  <c r="X123" i="29" s="1"/>
  <c r="V96" i="29"/>
  <c r="R123" i="29"/>
  <c r="AA123" i="29"/>
  <c r="AB123" i="29" s="1"/>
  <c r="AB124" i="29" s="1"/>
  <c r="R71" i="29"/>
  <c r="M71" i="29"/>
  <c r="W71" i="29" s="1"/>
  <c r="W72" i="29" s="1"/>
  <c r="AC71" i="29"/>
  <c r="AC72" i="29" s="1"/>
  <c r="X43" i="29"/>
  <c r="Y43" i="29" s="1"/>
  <c r="Y44" i="29" s="1"/>
  <c r="AC44" i="29"/>
  <c r="AD43" i="29"/>
  <c r="AC124" i="29"/>
  <c r="AD123" i="29"/>
  <c r="AA71" i="29" l="1"/>
  <c r="AA72" i="29" s="1"/>
  <c r="V7" i="29"/>
  <c r="AA44" i="29"/>
  <c r="AE57" i="29"/>
  <c r="AF57" i="29" s="1"/>
  <c r="AB57" i="29"/>
  <c r="AB58" i="29" s="1"/>
  <c r="W124" i="29"/>
  <c r="Y57" i="29"/>
  <c r="Y58" i="29" s="1"/>
  <c r="AA124" i="29"/>
  <c r="AD71" i="29"/>
  <c r="AD72" i="29" s="1"/>
  <c r="X71" i="29"/>
  <c r="Y71" i="29" s="1"/>
  <c r="Y72" i="29" s="1"/>
  <c r="X44" i="29"/>
  <c r="AE43" i="29"/>
  <c r="AD44" i="29"/>
  <c r="X124" i="29"/>
  <c r="Y123" i="29"/>
  <c r="Y124" i="29" s="1"/>
  <c r="AD124" i="29"/>
  <c r="AE123" i="29"/>
  <c r="AB71" i="29" l="1"/>
  <c r="AB72" i="29" s="1"/>
  <c r="AE58" i="29"/>
  <c r="AE71" i="29"/>
  <c r="AE72" i="29" s="1"/>
  <c r="X72" i="29"/>
  <c r="AE44" i="29"/>
  <c r="AF43" i="29"/>
  <c r="AF58" i="29"/>
  <c r="AG57" i="29"/>
  <c r="AF123" i="29"/>
  <c r="AE124" i="29"/>
  <c r="AF71" i="29" l="1"/>
  <c r="AG71" i="29" s="1"/>
  <c r="AF44" i="29"/>
  <c r="AG43" i="29"/>
  <c r="AH57" i="29"/>
  <c r="AG58" i="29"/>
  <c r="AF124" i="29"/>
  <c r="AG123" i="29"/>
  <c r="AF72" i="29" l="1"/>
  <c r="AG44" i="29"/>
  <c r="AH43" i="29"/>
  <c r="AH58" i="29"/>
  <c r="AG72" i="29"/>
  <c r="AH71" i="29"/>
  <c r="AG124" i="29"/>
  <c r="AH123" i="29"/>
  <c r="AH44" i="29" l="1"/>
  <c r="AH72" i="29"/>
  <c r="AH124" i="29"/>
  <c r="AX211" i="32" l="1"/>
  <c r="AX212" i="32"/>
  <c r="AX213" i="32"/>
  <c r="AX214" i="32"/>
  <c r="AX215" i="32"/>
  <c r="AX216" i="32"/>
  <c r="AX217" i="32"/>
  <c r="AX218" i="32"/>
  <c r="AX210" i="32"/>
  <c r="K218" i="32" l="1"/>
  <c r="K217" i="32"/>
  <c r="AJ61" i="4" l="1"/>
  <c r="B166" i="32"/>
  <c r="C166" i="32"/>
  <c r="D166" i="32"/>
  <c r="D218" i="32" s="1"/>
  <c r="T219" i="32" s="1"/>
  <c r="G166" i="32"/>
  <c r="H166" i="32"/>
  <c r="I166" i="32"/>
  <c r="L166" i="32"/>
  <c r="M166" i="32"/>
  <c r="N166" i="32"/>
  <c r="Q166" i="32"/>
  <c r="R166" i="32"/>
  <c r="S166" i="32"/>
  <c r="V166" i="32"/>
  <c r="W166" i="32"/>
  <c r="X166" i="32"/>
  <c r="AA166" i="32"/>
  <c r="AB166" i="32"/>
  <c r="AC166" i="32"/>
  <c r="B116" i="32"/>
  <c r="C116" i="32"/>
  <c r="D116" i="32"/>
  <c r="G116" i="32"/>
  <c r="H116" i="32"/>
  <c r="I116" i="32"/>
  <c r="L116" i="32"/>
  <c r="M116" i="32"/>
  <c r="N116" i="32"/>
  <c r="Q116" i="32"/>
  <c r="R116" i="32"/>
  <c r="S116" i="32"/>
  <c r="V116" i="32"/>
  <c r="W116" i="32"/>
  <c r="X116" i="32"/>
  <c r="B66" i="32"/>
  <c r="C66" i="32"/>
  <c r="E69" i="32" s="1"/>
  <c r="D66" i="32"/>
  <c r="F72" i="32" s="1"/>
  <c r="G66" i="32"/>
  <c r="H66" i="32"/>
  <c r="J69" i="32" s="1"/>
  <c r="I66" i="32"/>
  <c r="K72" i="32" s="1"/>
  <c r="L66" i="32"/>
  <c r="M66" i="32"/>
  <c r="O69" i="32" s="1"/>
  <c r="N66" i="32"/>
  <c r="P72" i="32" s="1"/>
  <c r="Q66" i="32"/>
  <c r="R66" i="32"/>
  <c r="T69" i="32" s="1"/>
  <c r="S66" i="32"/>
  <c r="U72" i="32" s="1"/>
  <c r="V66" i="32"/>
  <c r="W66" i="32"/>
  <c r="Y69" i="32" s="1"/>
  <c r="X66" i="32"/>
  <c r="Z72" i="32" s="1"/>
  <c r="AA66" i="32"/>
  <c r="AB66" i="32"/>
  <c r="AD69" i="32" s="1"/>
  <c r="AC66" i="32"/>
  <c r="AE72" i="32" s="1"/>
  <c r="AF66" i="32"/>
  <c r="AG66" i="32"/>
  <c r="AI69" i="32" s="1"/>
  <c r="AH66" i="32"/>
  <c r="AJ72" i="32" s="1"/>
  <c r="B17" i="32"/>
  <c r="C17" i="32"/>
  <c r="D17" i="32"/>
  <c r="AQ12" i="31"/>
  <c r="AP12" i="31"/>
  <c r="AO12" i="31"/>
  <c r="AQ11" i="31"/>
  <c r="AP11" i="31"/>
  <c r="AO11" i="31"/>
  <c r="AQ10" i="31"/>
  <c r="AP10" i="31"/>
  <c r="AO10" i="31"/>
  <c r="AQ9" i="31"/>
  <c r="AP9" i="31"/>
  <c r="AO9" i="31"/>
  <c r="AQ8" i="31"/>
  <c r="AP8" i="31"/>
  <c r="AO8" i="31"/>
  <c r="AQ7" i="31"/>
  <c r="AP7" i="31"/>
  <c r="AO7" i="31"/>
  <c r="AQ6" i="31"/>
  <c r="AP6" i="31"/>
  <c r="AO6" i="31"/>
  <c r="AQ5" i="31"/>
  <c r="AP5" i="31"/>
  <c r="AO5" i="31"/>
  <c r="AQ4" i="31"/>
  <c r="AP4" i="31"/>
  <c r="AO4" i="31"/>
  <c r="AQ3" i="31"/>
  <c r="AP3" i="31"/>
  <c r="AO3" i="31"/>
  <c r="Y61" i="6"/>
  <c r="X61" i="6"/>
  <c r="W61" i="6"/>
  <c r="Y60" i="6"/>
  <c r="X60" i="6"/>
  <c r="W60" i="6"/>
  <c r="Y59" i="6"/>
  <c r="X59" i="6"/>
  <c r="W59" i="6"/>
  <c r="Y58" i="6"/>
  <c r="X58" i="6"/>
  <c r="W58" i="6"/>
  <c r="Y57" i="6"/>
  <c r="X57" i="6"/>
  <c r="W57" i="6"/>
  <c r="Y56" i="6"/>
  <c r="X56" i="6"/>
  <c r="W56" i="6"/>
  <c r="Y55" i="6"/>
  <c r="X55" i="6"/>
  <c r="W55" i="6"/>
  <c r="Y54" i="6"/>
  <c r="X54" i="6"/>
  <c r="W54" i="6"/>
  <c r="Y53" i="6"/>
  <c r="X53" i="6"/>
  <c r="W53" i="6"/>
  <c r="Y52" i="6"/>
  <c r="X52" i="6"/>
  <c r="W52" i="6"/>
  <c r="AL61" i="4"/>
  <c r="AK61" i="4"/>
  <c r="AL60" i="4"/>
  <c r="AK60" i="4"/>
  <c r="AJ60" i="4"/>
  <c r="AL59" i="4"/>
  <c r="AK59" i="4"/>
  <c r="AJ59" i="4"/>
  <c r="AL58" i="4"/>
  <c r="AK58" i="4"/>
  <c r="AJ58" i="4"/>
  <c r="AL57" i="4"/>
  <c r="AK57" i="4"/>
  <c r="AJ57" i="4"/>
  <c r="AL56" i="4"/>
  <c r="AK56" i="4"/>
  <c r="AJ56" i="4"/>
  <c r="AL55" i="4"/>
  <c r="AK55" i="4"/>
  <c r="AJ55" i="4"/>
  <c r="AL54" i="4"/>
  <c r="AK54" i="4"/>
  <c r="AJ54" i="4"/>
  <c r="AL53" i="4"/>
  <c r="AK53" i="4"/>
  <c r="AJ53" i="4"/>
  <c r="AL52" i="4"/>
  <c r="AK52" i="4"/>
  <c r="AJ52" i="4"/>
  <c r="V61" i="5"/>
  <c r="U61" i="5"/>
  <c r="T61" i="5"/>
  <c r="V60" i="5"/>
  <c r="U60" i="5"/>
  <c r="T60" i="5"/>
  <c r="V59" i="5"/>
  <c r="U59" i="5"/>
  <c r="T59" i="5"/>
  <c r="V58" i="5"/>
  <c r="U58" i="5"/>
  <c r="T58" i="5"/>
  <c r="V57" i="5"/>
  <c r="U57" i="5"/>
  <c r="T57" i="5"/>
  <c r="V56" i="5"/>
  <c r="U56" i="5"/>
  <c r="T56" i="5"/>
  <c r="V55" i="5"/>
  <c r="U55" i="5"/>
  <c r="T55" i="5"/>
  <c r="V54" i="5"/>
  <c r="U54" i="5"/>
  <c r="T54" i="5"/>
  <c r="V53" i="5"/>
  <c r="U53" i="5"/>
  <c r="T53" i="5"/>
  <c r="V52" i="5"/>
  <c r="U52" i="5"/>
  <c r="T52" i="5"/>
  <c r="AT61" i="1"/>
  <c r="AS61" i="1"/>
  <c r="AR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V61" i="5"/>
  <c r="AP61" i="5"/>
  <c r="AA61" i="5"/>
  <c r="AG61" i="1"/>
  <c r="U61" i="1"/>
  <c r="I61" i="1"/>
  <c r="O61" i="4"/>
  <c r="E61" i="4"/>
  <c r="C218" i="32" l="1"/>
  <c r="B218" i="32"/>
  <c r="AY218" i="32" l="1"/>
  <c r="AN218" i="32"/>
  <c r="AI218" i="32"/>
  <c r="O219" i="32"/>
  <c r="E221" i="32"/>
  <c r="P219" i="32"/>
  <c r="U218" i="32"/>
  <c r="K211" i="32"/>
  <c r="K212" i="32"/>
  <c r="K213" i="32"/>
  <c r="K214" i="32"/>
  <c r="K215" i="32"/>
  <c r="K216" i="32"/>
  <c r="K210" i="32"/>
  <c r="A215" i="32"/>
  <c r="A216" i="32"/>
  <c r="A217" i="32"/>
  <c r="B158" i="32"/>
  <c r="C158" i="32"/>
  <c r="D158" i="32"/>
  <c r="B159" i="32"/>
  <c r="C159" i="32"/>
  <c r="D159" i="32"/>
  <c r="B160" i="32"/>
  <c r="C160" i="32"/>
  <c r="D160" i="32"/>
  <c r="F166" i="32" s="1"/>
  <c r="B161" i="32"/>
  <c r="C161" i="32"/>
  <c r="D161" i="32"/>
  <c r="B162" i="32"/>
  <c r="E162" i="32" s="1"/>
  <c r="C162" i="32"/>
  <c r="D162" i="32"/>
  <c r="B163" i="32"/>
  <c r="C163" i="32"/>
  <c r="E166" i="32" s="1"/>
  <c r="D163" i="32"/>
  <c r="B164" i="32"/>
  <c r="F164" i="32" s="1"/>
  <c r="C164" i="32"/>
  <c r="D164" i="32"/>
  <c r="B165" i="32"/>
  <c r="F165" i="32" s="1"/>
  <c r="C165" i="32"/>
  <c r="D165" i="32"/>
  <c r="C157" i="32"/>
  <c r="D157" i="32"/>
  <c r="B157" i="32"/>
  <c r="B108" i="32"/>
  <c r="C108" i="32"/>
  <c r="D108" i="32"/>
  <c r="B109" i="32"/>
  <c r="C109" i="32"/>
  <c r="D109" i="32"/>
  <c r="B110" i="32"/>
  <c r="C110" i="32"/>
  <c r="D110" i="32"/>
  <c r="B111" i="32"/>
  <c r="C111" i="32"/>
  <c r="D111" i="32"/>
  <c r="B112" i="32"/>
  <c r="E112" i="32" s="1"/>
  <c r="C112" i="32"/>
  <c r="D112" i="32"/>
  <c r="B113" i="32"/>
  <c r="C113" i="32"/>
  <c r="D113" i="32"/>
  <c r="B114" i="32"/>
  <c r="F114" i="32" s="1"/>
  <c r="C114" i="32"/>
  <c r="D114" i="32"/>
  <c r="B115" i="32"/>
  <c r="C115" i="32"/>
  <c r="D115" i="32"/>
  <c r="C107" i="32"/>
  <c r="D107" i="32"/>
  <c r="B107" i="32"/>
  <c r="B58" i="32"/>
  <c r="C58" i="32"/>
  <c r="D58" i="32"/>
  <c r="B59" i="32"/>
  <c r="C59" i="32"/>
  <c r="D59" i="32"/>
  <c r="B60" i="32"/>
  <c r="C60" i="32"/>
  <c r="D60" i="32"/>
  <c r="F66" i="32" s="1"/>
  <c r="B61" i="32"/>
  <c r="C61" i="32"/>
  <c r="D61" i="32"/>
  <c r="F67" i="32" s="1"/>
  <c r="B62" i="32"/>
  <c r="E62" i="32" s="1"/>
  <c r="C62" i="32"/>
  <c r="D62" i="32"/>
  <c r="F68" i="32" s="1"/>
  <c r="B63" i="32"/>
  <c r="C63" i="32"/>
  <c r="E66" i="32" s="1"/>
  <c r="D63" i="32"/>
  <c r="F69" i="32" s="1"/>
  <c r="B64" i="32"/>
  <c r="C64" i="32"/>
  <c r="E67" i="32" s="1"/>
  <c r="D64" i="32"/>
  <c r="F70" i="32" s="1"/>
  <c r="B65" i="32"/>
  <c r="E65" i="32" s="1"/>
  <c r="C65" i="32"/>
  <c r="E68" i="32" s="1"/>
  <c r="D65" i="32"/>
  <c r="F71" i="32" s="1"/>
  <c r="C57" i="32"/>
  <c r="D57" i="32"/>
  <c r="B57" i="32"/>
  <c r="B9" i="32"/>
  <c r="C9" i="32"/>
  <c r="D9" i="32"/>
  <c r="B10" i="32"/>
  <c r="C10" i="32"/>
  <c r="D10" i="32"/>
  <c r="B11" i="32"/>
  <c r="C11" i="32"/>
  <c r="D11" i="32"/>
  <c r="F17" i="32" s="1"/>
  <c r="B12" i="32"/>
  <c r="E12" i="32" s="1"/>
  <c r="C12" i="32"/>
  <c r="D12" i="32"/>
  <c r="F18" i="32" s="1"/>
  <c r="B13" i="32"/>
  <c r="E13" i="32" s="1"/>
  <c r="C13" i="32"/>
  <c r="D13" i="32"/>
  <c r="B14" i="32"/>
  <c r="F14" i="32" s="1"/>
  <c r="C14" i="32"/>
  <c r="E17" i="32" s="1"/>
  <c r="D14" i="32"/>
  <c r="B15" i="32"/>
  <c r="F15" i="32" s="1"/>
  <c r="C15" i="32"/>
  <c r="D15" i="32"/>
  <c r="B16" i="32"/>
  <c r="E16" i="32" s="1"/>
  <c r="C16" i="32"/>
  <c r="D16" i="32"/>
  <c r="C8" i="32"/>
  <c r="D8" i="32"/>
  <c r="B8" i="32"/>
  <c r="E60" i="32" l="1"/>
  <c r="E61" i="32"/>
  <c r="F63" i="32"/>
  <c r="F65" i="32"/>
  <c r="F163" i="32"/>
  <c r="E11" i="32"/>
  <c r="E14" i="32"/>
  <c r="C209" i="32"/>
  <c r="B210" i="32"/>
  <c r="E15" i="32"/>
  <c r="F16" i="32"/>
  <c r="E160" i="32"/>
  <c r="E165" i="32"/>
  <c r="F113" i="32"/>
  <c r="E111" i="32"/>
  <c r="E110" i="32"/>
  <c r="D215" i="32"/>
  <c r="F221" i="32" s="1"/>
  <c r="C215" i="32"/>
  <c r="E218" i="32" s="1"/>
  <c r="E116" i="32"/>
  <c r="D212" i="32"/>
  <c r="F218" i="32" s="1"/>
  <c r="F116" i="32"/>
  <c r="E113" i="32"/>
  <c r="B213" i="32"/>
  <c r="C213" i="32"/>
  <c r="D210" i="32"/>
  <c r="B216" i="32"/>
  <c r="B209" i="32"/>
  <c r="AN209" i="32" s="1"/>
  <c r="E161" i="32"/>
  <c r="E163" i="32"/>
  <c r="C210" i="32"/>
  <c r="D209" i="32"/>
  <c r="E164" i="32"/>
  <c r="D217" i="32"/>
  <c r="T218" i="32" s="1"/>
  <c r="B215" i="32"/>
  <c r="C212" i="32"/>
  <c r="E63" i="32"/>
  <c r="C217" i="32"/>
  <c r="D214" i="32"/>
  <c r="F220" i="32" s="1"/>
  <c r="B217" i="32"/>
  <c r="C214" i="32"/>
  <c r="D211" i="32"/>
  <c r="E64" i="32"/>
  <c r="D216" i="32"/>
  <c r="F222" i="32" s="1"/>
  <c r="C211" i="32"/>
  <c r="F64" i="32"/>
  <c r="C216" i="32"/>
  <c r="E219" i="32" s="1"/>
  <c r="D213" i="32"/>
  <c r="F219" i="32" s="1"/>
  <c r="B211" i="32"/>
  <c r="E114" i="32"/>
  <c r="E115" i="32"/>
  <c r="B212" i="32"/>
  <c r="F115" i="32"/>
  <c r="B214" i="32"/>
  <c r="AY213" i="32" l="1"/>
  <c r="AN213" i="32"/>
  <c r="AI213" i="32"/>
  <c r="AY214" i="32"/>
  <c r="AN214" i="32"/>
  <c r="AI214" i="32"/>
  <c r="P218" i="32"/>
  <c r="E220" i="32"/>
  <c r="AN211" i="32"/>
  <c r="AI211" i="32"/>
  <c r="AY212" i="32"/>
  <c r="AN212" i="32"/>
  <c r="AI212" i="32"/>
  <c r="AN217" i="32"/>
  <c r="AI217" i="32"/>
  <c r="AN215" i="32"/>
  <c r="AI215" i="32"/>
  <c r="AN216" i="32"/>
  <c r="AI216" i="32"/>
  <c r="AY210" i="32"/>
  <c r="AN210" i="32"/>
  <c r="U210" i="32"/>
  <c r="T216" i="32"/>
  <c r="O210" i="32"/>
  <c r="P216" i="32"/>
  <c r="P210" i="32"/>
  <c r="U216" i="32"/>
  <c r="P214" i="32"/>
  <c r="P211" i="32"/>
  <c r="P213" i="32"/>
  <c r="T213" i="32"/>
  <c r="E213" i="32"/>
  <c r="U213" i="32"/>
  <c r="F216" i="32"/>
  <c r="E216" i="32"/>
  <c r="AY211" i="32"/>
  <c r="O217" i="32"/>
  <c r="AY217" i="32"/>
  <c r="O218" i="32"/>
  <c r="T210" i="32"/>
  <c r="T211" i="32"/>
  <c r="AY209" i="32"/>
  <c r="U209" i="32"/>
  <c r="E217" i="32"/>
  <c r="F215" i="32"/>
  <c r="AY215" i="32"/>
  <c r="AY216" i="32"/>
  <c r="F217" i="32"/>
  <c r="P217" i="32"/>
  <c r="O216" i="32"/>
  <c r="U217" i="32"/>
  <c r="U215" i="32"/>
  <c r="O211" i="32"/>
  <c r="T212" i="32"/>
  <c r="E215" i="32"/>
  <c r="U211" i="32"/>
  <c r="T214" i="32"/>
  <c r="O215" i="32"/>
  <c r="P212" i="32"/>
  <c r="T215" i="32"/>
  <c r="T217" i="32"/>
  <c r="P215" i="32"/>
  <c r="O214" i="32"/>
  <c r="U214" i="32"/>
  <c r="E214" i="32"/>
  <c r="U212" i="32"/>
  <c r="O212" i="32"/>
  <c r="E212" i="32"/>
  <c r="O213" i="32"/>
  <c r="G16" i="32" l="1"/>
  <c r="H16" i="32"/>
  <c r="I16" i="32"/>
  <c r="L16" i="32"/>
  <c r="M16" i="32"/>
  <c r="N16" i="32"/>
  <c r="Q16" i="32"/>
  <c r="R16" i="32"/>
  <c r="S16" i="32"/>
  <c r="V16" i="32"/>
  <c r="W16" i="32"/>
  <c r="X16" i="32"/>
  <c r="AA16" i="32"/>
  <c r="AB16" i="32"/>
  <c r="AC16" i="32"/>
  <c r="AF16" i="32"/>
  <c r="AG16" i="32"/>
  <c r="AH16" i="32"/>
  <c r="AK16" i="32"/>
  <c r="AL16" i="32"/>
  <c r="AM16" i="32"/>
  <c r="AP16" i="32"/>
  <c r="AQ16" i="32"/>
  <c r="AR16" i="32"/>
  <c r="AU16" i="32"/>
  <c r="AV16" i="32"/>
  <c r="AW16" i="32"/>
  <c r="G17" i="32"/>
  <c r="H17" i="32"/>
  <c r="I17" i="32"/>
  <c r="L17" i="32"/>
  <c r="M17" i="32"/>
  <c r="N17" i="32"/>
  <c r="Q17" i="32"/>
  <c r="R17" i="32"/>
  <c r="S17" i="32"/>
  <c r="V17" i="32"/>
  <c r="W17" i="32"/>
  <c r="X17" i="32"/>
  <c r="AA17" i="32"/>
  <c r="AB17" i="32"/>
  <c r="AC17" i="32"/>
  <c r="AF17" i="32"/>
  <c r="AG17" i="32"/>
  <c r="AH17" i="32"/>
  <c r="AK17" i="32"/>
  <c r="AL17" i="32"/>
  <c r="AM17" i="32"/>
  <c r="AP17" i="32"/>
  <c r="AQ17" i="32"/>
  <c r="AR17" i="32"/>
  <c r="AU17" i="32"/>
  <c r="AV17" i="32"/>
  <c r="AW17" i="32"/>
  <c r="G18" i="32"/>
  <c r="H18" i="32"/>
  <c r="I18" i="32"/>
  <c r="L18" i="32"/>
  <c r="M18" i="32"/>
  <c r="N18" i="32"/>
  <c r="Q18" i="32"/>
  <c r="R18" i="32"/>
  <c r="S18" i="32"/>
  <c r="V18" i="32"/>
  <c r="W18" i="32"/>
  <c r="X18" i="32"/>
  <c r="AA18" i="32"/>
  <c r="AB18" i="32"/>
  <c r="AC18" i="32"/>
  <c r="AF18" i="32"/>
  <c r="AG18" i="32"/>
  <c r="AH18" i="32"/>
  <c r="AJ24" i="32" s="1"/>
  <c r="AK18" i="32"/>
  <c r="AL18" i="32"/>
  <c r="AM18" i="32"/>
  <c r="AP18" i="32"/>
  <c r="AQ18" i="32"/>
  <c r="AR18" i="32"/>
  <c r="AT24" i="32" s="1"/>
  <c r="AU18" i="32"/>
  <c r="AV18" i="32"/>
  <c r="AW18" i="32"/>
  <c r="G19" i="32"/>
  <c r="H19" i="32"/>
  <c r="I19" i="32"/>
  <c r="L19" i="32"/>
  <c r="M19" i="32"/>
  <c r="N19" i="32"/>
  <c r="Q19" i="32"/>
  <c r="T19" i="32" s="1"/>
  <c r="R19" i="32"/>
  <c r="S19" i="32"/>
  <c r="V19" i="32"/>
  <c r="Y19" i="32" s="1"/>
  <c r="W19" i="32"/>
  <c r="X19" i="32"/>
  <c r="AA19" i="32"/>
  <c r="AB19" i="32"/>
  <c r="AC19" i="32"/>
  <c r="AF19" i="32"/>
  <c r="AG19" i="32"/>
  <c r="AH19" i="32"/>
  <c r="AK19" i="32"/>
  <c r="AL19" i="32"/>
  <c r="AM19" i="32"/>
  <c r="AP19" i="32"/>
  <c r="AS19" i="32" s="1"/>
  <c r="AQ19" i="32"/>
  <c r="AR19" i="32"/>
  <c r="AU19" i="32"/>
  <c r="AX19" i="32" s="1"/>
  <c r="AV19" i="32"/>
  <c r="AW19" i="32"/>
  <c r="G20" i="32"/>
  <c r="H20" i="32"/>
  <c r="I20" i="32"/>
  <c r="L20" i="32"/>
  <c r="M20" i="32"/>
  <c r="N20" i="32"/>
  <c r="Q20" i="32"/>
  <c r="R20" i="32"/>
  <c r="S20" i="32"/>
  <c r="V20" i="32"/>
  <c r="W20" i="32"/>
  <c r="X20" i="32"/>
  <c r="AA20" i="32"/>
  <c r="AB20" i="32"/>
  <c r="AC20" i="32"/>
  <c r="AF20" i="32"/>
  <c r="AG20" i="32"/>
  <c r="AH20" i="32"/>
  <c r="AK20" i="32"/>
  <c r="AL20" i="32"/>
  <c r="AM20" i="32"/>
  <c r="AP20" i="32"/>
  <c r="AQ20" i="32"/>
  <c r="AR20" i="32"/>
  <c r="AU20" i="32"/>
  <c r="AV20" i="32"/>
  <c r="AW20" i="32"/>
  <c r="G21" i="32"/>
  <c r="H21" i="32"/>
  <c r="I21" i="32"/>
  <c r="L21" i="32"/>
  <c r="M21" i="32"/>
  <c r="N21" i="32"/>
  <c r="Q21" i="32"/>
  <c r="T21" i="32" s="1"/>
  <c r="R21" i="32"/>
  <c r="S21" i="32"/>
  <c r="V21" i="32"/>
  <c r="W21" i="32"/>
  <c r="X21" i="32"/>
  <c r="AA21" i="32"/>
  <c r="AB21" i="32"/>
  <c r="AC21" i="32"/>
  <c r="AF21" i="32"/>
  <c r="AI21" i="32" s="1"/>
  <c r="AG21" i="32"/>
  <c r="AH21" i="32"/>
  <c r="AK21" i="32"/>
  <c r="AL21" i="32"/>
  <c r="AM21" i="32"/>
  <c r="AP21" i="32"/>
  <c r="AQ21" i="32"/>
  <c r="AS24" i="32" s="1"/>
  <c r="AR21" i="32"/>
  <c r="AU21" i="32"/>
  <c r="AV21" i="32"/>
  <c r="AW21" i="32"/>
  <c r="G22" i="32"/>
  <c r="H22" i="32"/>
  <c r="I22" i="32"/>
  <c r="L22" i="32"/>
  <c r="M22" i="32"/>
  <c r="N22" i="32"/>
  <c r="Q22" i="32"/>
  <c r="T22" i="32" s="1"/>
  <c r="R22" i="32"/>
  <c r="S22" i="32"/>
  <c r="V22" i="32"/>
  <c r="Y22" i="32" s="1"/>
  <c r="W22" i="32"/>
  <c r="X22" i="32"/>
  <c r="Z28" i="32" s="1"/>
  <c r="AA22" i="32"/>
  <c r="AB22" i="32"/>
  <c r="AC22" i="32"/>
  <c r="AF22" i="32"/>
  <c r="AG22" i="32"/>
  <c r="AH22" i="32"/>
  <c r="AK22" i="32"/>
  <c r="AO22" i="32" s="1"/>
  <c r="AL22" i="32"/>
  <c r="AM22" i="32"/>
  <c r="AP22" i="32"/>
  <c r="AT22" i="32" s="1"/>
  <c r="AQ22" i="32"/>
  <c r="AR22" i="32"/>
  <c r="AU22" i="32"/>
  <c r="AX22" i="32" s="1"/>
  <c r="AV22" i="32"/>
  <c r="AW22" i="32"/>
  <c r="G23" i="32"/>
  <c r="H23" i="32"/>
  <c r="I23" i="32"/>
  <c r="L23" i="32"/>
  <c r="M23" i="32"/>
  <c r="N23" i="32"/>
  <c r="Q23" i="32"/>
  <c r="T23" i="32" s="1"/>
  <c r="R23" i="32"/>
  <c r="S23" i="32"/>
  <c r="V23" i="32"/>
  <c r="W23" i="32"/>
  <c r="X23" i="32"/>
  <c r="AA23" i="32"/>
  <c r="AD23" i="32" s="1"/>
  <c r="AB23" i="32"/>
  <c r="AC23" i="32"/>
  <c r="AF23" i="32"/>
  <c r="AJ23" i="32" s="1"/>
  <c r="AG23" i="32"/>
  <c r="AH23" i="32"/>
  <c r="AK23" i="32"/>
  <c r="AL23" i="32"/>
  <c r="AM23" i="32"/>
  <c r="AP23" i="32"/>
  <c r="AQ23" i="32"/>
  <c r="AR23" i="32"/>
  <c r="AU23" i="32"/>
  <c r="AV23" i="32"/>
  <c r="AW23" i="32"/>
  <c r="G24" i="32"/>
  <c r="J24" i="32" s="1"/>
  <c r="H24" i="32"/>
  <c r="I24" i="32"/>
  <c r="L24" i="32"/>
  <c r="O24" i="32" s="1"/>
  <c r="M24" i="32"/>
  <c r="N24" i="32"/>
  <c r="Q24" i="32"/>
  <c r="R24" i="32"/>
  <c r="S24" i="32"/>
  <c r="V24" i="32"/>
  <c r="Y24" i="32" s="1"/>
  <c r="W24" i="32"/>
  <c r="X24" i="32"/>
  <c r="AA24" i="32"/>
  <c r="AE24" i="32" s="1"/>
  <c r="AB24" i="32"/>
  <c r="AC24" i="32"/>
  <c r="AF24" i="32"/>
  <c r="AG24" i="32"/>
  <c r="AH24" i="32"/>
  <c r="AK24" i="32"/>
  <c r="AL24" i="32"/>
  <c r="AM24" i="32"/>
  <c r="AP24" i="32"/>
  <c r="AQ24" i="32"/>
  <c r="AR24" i="32"/>
  <c r="AU24" i="32"/>
  <c r="AX24" i="32" s="1"/>
  <c r="AV24" i="32"/>
  <c r="AW24" i="32"/>
  <c r="G25" i="32"/>
  <c r="H25" i="32"/>
  <c r="I25" i="32"/>
  <c r="L25" i="32"/>
  <c r="O25" i="32" s="1"/>
  <c r="M25" i="32"/>
  <c r="N25" i="32"/>
  <c r="Q25" i="32"/>
  <c r="R25" i="32"/>
  <c r="S25" i="32"/>
  <c r="V25" i="32"/>
  <c r="W25" i="32"/>
  <c r="Y28" i="32" s="1"/>
  <c r="X25" i="32"/>
  <c r="AA25" i="32"/>
  <c r="AB25" i="32"/>
  <c r="AC25" i="32"/>
  <c r="AF25" i="32"/>
  <c r="AJ25" i="32" s="1"/>
  <c r="AG25" i="32"/>
  <c r="AH25" i="32"/>
  <c r="AK25" i="32"/>
  <c r="AL25" i="32"/>
  <c r="AM25" i="32"/>
  <c r="AP25" i="32"/>
  <c r="AQ25" i="32"/>
  <c r="AR25" i="32"/>
  <c r="AU25" i="32"/>
  <c r="AX25" i="32" s="1"/>
  <c r="AV25" i="32"/>
  <c r="AW25" i="32"/>
  <c r="G26" i="32"/>
  <c r="H26" i="32"/>
  <c r="I26" i="32"/>
  <c r="L26" i="32"/>
  <c r="M26" i="32"/>
  <c r="N26" i="32"/>
  <c r="Q26" i="32"/>
  <c r="R26" i="32"/>
  <c r="T29" i="32" s="1"/>
  <c r="S26" i="32"/>
  <c r="V26" i="32"/>
  <c r="W26" i="32"/>
  <c r="X26" i="32"/>
  <c r="Y26" i="32"/>
  <c r="AA26" i="32"/>
  <c r="AB26" i="32"/>
  <c r="AC26" i="32"/>
  <c r="AF26" i="32"/>
  <c r="AG26" i="32"/>
  <c r="AH26" i="32"/>
  <c r="AK26" i="32"/>
  <c r="AO26" i="32" s="1"/>
  <c r="AL26" i="32"/>
  <c r="AM26" i="32"/>
  <c r="AP26" i="32"/>
  <c r="AQ26" i="32"/>
  <c r="AR26" i="32"/>
  <c r="AU26" i="32"/>
  <c r="AV26" i="32"/>
  <c r="AW26" i="32"/>
  <c r="G27" i="32"/>
  <c r="H27" i="32"/>
  <c r="I27" i="32"/>
  <c r="L27" i="32"/>
  <c r="P27" i="32" s="1"/>
  <c r="M27" i="32"/>
  <c r="N27" i="32"/>
  <c r="Q27" i="32"/>
  <c r="R27" i="32"/>
  <c r="S27" i="32"/>
  <c r="V27" i="32"/>
  <c r="W27" i="32"/>
  <c r="X27" i="32"/>
  <c r="AA27" i="32"/>
  <c r="AB27" i="32"/>
  <c r="AC27" i="32"/>
  <c r="AF27" i="32"/>
  <c r="AG27" i="32"/>
  <c r="AH27" i="32"/>
  <c r="AK27" i="32"/>
  <c r="AL27" i="32"/>
  <c r="AM27" i="32"/>
  <c r="AP27" i="32"/>
  <c r="AQ27" i="32"/>
  <c r="AR27" i="32"/>
  <c r="AU27" i="32"/>
  <c r="AX27" i="32" s="1"/>
  <c r="AV27" i="32"/>
  <c r="AW27" i="32"/>
  <c r="G28" i="32"/>
  <c r="H28" i="32"/>
  <c r="I28" i="32"/>
  <c r="L28" i="32"/>
  <c r="O28" i="32" s="1"/>
  <c r="M28" i="32"/>
  <c r="N28" i="32"/>
  <c r="Q28" i="32"/>
  <c r="R28" i="32"/>
  <c r="S28" i="32"/>
  <c r="V28" i="32"/>
  <c r="W28" i="32"/>
  <c r="X28" i="32"/>
  <c r="AA28" i="32"/>
  <c r="AE28" i="32" s="1"/>
  <c r="AB28" i="32"/>
  <c r="AC28" i="32"/>
  <c r="AF28" i="32"/>
  <c r="AG28" i="32"/>
  <c r="AH28" i="32"/>
  <c r="AK28" i="32"/>
  <c r="AO28" i="32" s="1"/>
  <c r="AL28" i="32"/>
  <c r="AM28" i="32"/>
  <c r="AP28" i="32"/>
  <c r="AQ28" i="32"/>
  <c r="AR28" i="32"/>
  <c r="AU28" i="32"/>
  <c r="AV28" i="32"/>
  <c r="AW28" i="32"/>
  <c r="G29" i="32"/>
  <c r="J29" i="32" s="1"/>
  <c r="H29" i="32"/>
  <c r="I29" i="32"/>
  <c r="L29" i="32"/>
  <c r="M29" i="32"/>
  <c r="N29" i="32"/>
  <c r="Q29" i="32"/>
  <c r="U29" i="32" s="1"/>
  <c r="R29" i="32"/>
  <c r="S29" i="32"/>
  <c r="V29" i="32"/>
  <c r="Y29" i="32" s="1"/>
  <c r="W29" i="32"/>
  <c r="X29" i="32"/>
  <c r="AA29" i="32"/>
  <c r="AB29" i="32"/>
  <c r="AC29" i="32"/>
  <c r="AF29" i="32"/>
  <c r="AI29" i="32" s="1"/>
  <c r="AG29" i="32"/>
  <c r="AH29" i="32"/>
  <c r="AK29" i="32"/>
  <c r="AL29" i="32"/>
  <c r="AM29" i="32"/>
  <c r="AP29" i="32"/>
  <c r="AQ29" i="32"/>
  <c r="AR29" i="32"/>
  <c r="AU29" i="32"/>
  <c r="AV29" i="32"/>
  <c r="AW29" i="32"/>
  <c r="AX29" i="32"/>
  <c r="G30" i="32"/>
  <c r="K30" i="32" s="1"/>
  <c r="H30" i="32"/>
  <c r="I30" i="32"/>
  <c r="L30" i="32"/>
  <c r="M30" i="32"/>
  <c r="N30" i="32"/>
  <c r="P30" i="32"/>
  <c r="Q30" i="32"/>
  <c r="R30" i="32"/>
  <c r="S30" i="32"/>
  <c r="V30" i="32"/>
  <c r="W30" i="32"/>
  <c r="X30" i="32"/>
  <c r="AA30" i="32"/>
  <c r="AB30" i="32"/>
  <c r="AC30" i="32"/>
  <c r="AF30" i="32"/>
  <c r="AG30" i="32"/>
  <c r="AH30" i="32"/>
  <c r="AK30" i="32"/>
  <c r="AL30" i="32"/>
  <c r="AM30" i="32"/>
  <c r="AP30" i="32"/>
  <c r="AQ30" i="32"/>
  <c r="AR30" i="32"/>
  <c r="AU30" i="32"/>
  <c r="AV30" i="32"/>
  <c r="AW30" i="32"/>
  <c r="G31" i="32"/>
  <c r="H31" i="32"/>
  <c r="I31" i="32"/>
  <c r="L31" i="32"/>
  <c r="O31" i="32" s="1"/>
  <c r="M31" i="32"/>
  <c r="N31" i="32"/>
  <c r="Q31" i="32"/>
  <c r="R31" i="32"/>
  <c r="S31" i="32"/>
  <c r="V31" i="32"/>
  <c r="W31" i="32"/>
  <c r="X31" i="32"/>
  <c r="Z37" i="32" s="1"/>
  <c r="AA31" i="32"/>
  <c r="AD31" i="32" s="1"/>
  <c r="AB31" i="32"/>
  <c r="AC31" i="32"/>
  <c r="AF31" i="32"/>
  <c r="AG31" i="32"/>
  <c r="AH31" i="32"/>
  <c r="AK31" i="32"/>
  <c r="AN31" i="32" s="1"/>
  <c r="AL31" i="32"/>
  <c r="AM31" i="32"/>
  <c r="AP31" i="32"/>
  <c r="AQ31" i="32"/>
  <c r="AR31" i="32"/>
  <c r="AU31" i="32"/>
  <c r="AY31" i="32" s="1"/>
  <c r="AV31" i="32"/>
  <c r="AW31" i="32"/>
  <c r="G32" i="32"/>
  <c r="K32" i="32" s="1"/>
  <c r="H32" i="32"/>
  <c r="I32" i="32"/>
  <c r="L32" i="32"/>
  <c r="M32" i="32"/>
  <c r="N32" i="32"/>
  <c r="Q32" i="32"/>
  <c r="U32" i="32" s="1"/>
  <c r="R32" i="32"/>
  <c r="S32" i="32"/>
  <c r="V32" i="32"/>
  <c r="W32" i="32"/>
  <c r="X32" i="32"/>
  <c r="AA32" i="32"/>
  <c r="AB32" i="32"/>
  <c r="AC32" i="32"/>
  <c r="AF32" i="32"/>
  <c r="AI32" i="32" s="1"/>
  <c r="AG32" i="32"/>
  <c r="AH32" i="32"/>
  <c r="AK32" i="32"/>
  <c r="AL32" i="32"/>
  <c r="AM32" i="32"/>
  <c r="AP32" i="32"/>
  <c r="AT32" i="32" s="1"/>
  <c r="AQ32" i="32"/>
  <c r="AR32" i="32"/>
  <c r="AU32" i="32"/>
  <c r="AX32" i="32" s="1"/>
  <c r="AV32" i="32"/>
  <c r="AW32" i="32"/>
  <c r="G33" i="32"/>
  <c r="H33" i="32"/>
  <c r="I33" i="32"/>
  <c r="L33" i="32"/>
  <c r="O33" i="32" s="1"/>
  <c r="M33" i="32"/>
  <c r="N33" i="32"/>
  <c r="P39" i="32" s="1"/>
  <c r="Q33" i="32"/>
  <c r="R33" i="32"/>
  <c r="S33" i="32"/>
  <c r="V33" i="32"/>
  <c r="Z33" i="32" s="1"/>
  <c r="W33" i="32"/>
  <c r="X33" i="32"/>
  <c r="AA33" i="32"/>
  <c r="AB33" i="32"/>
  <c r="AC33" i="32"/>
  <c r="AD33" i="32"/>
  <c r="AF33" i="32"/>
  <c r="AG33" i="32"/>
  <c r="AH33" i="32"/>
  <c r="AK33" i="32"/>
  <c r="AL33" i="32"/>
  <c r="AM33" i="32"/>
  <c r="AO33" i="32"/>
  <c r="AP33" i="32"/>
  <c r="AQ33" i="32"/>
  <c r="AR33" i="32"/>
  <c r="AU33" i="32"/>
  <c r="AV33" i="32"/>
  <c r="AW33" i="32"/>
  <c r="G34" i="32"/>
  <c r="H34" i="32"/>
  <c r="I34" i="32"/>
  <c r="L34" i="32"/>
  <c r="M34" i="32"/>
  <c r="N34" i="32"/>
  <c r="Q34" i="32"/>
  <c r="R34" i="32"/>
  <c r="S34" i="32"/>
  <c r="V34" i="32"/>
  <c r="W34" i="32"/>
  <c r="X34" i="32"/>
  <c r="AA34" i="32"/>
  <c r="AE34" i="32" s="1"/>
  <c r="AB34" i="32"/>
  <c r="AC34" i="32"/>
  <c r="AF34" i="32"/>
  <c r="AG34" i="32"/>
  <c r="AH34" i="32"/>
  <c r="AK34" i="32"/>
  <c r="AL34" i="32"/>
  <c r="AM34" i="32"/>
  <c r="AP34" i="32"/>
  <c r="AS34" i="32" s="1"/>
  <c r="AQ34" i="32"/>
  <c r="AR34" i="32"/>
  <c r="AT40" i="32" s="1"/>
  <c r="AU34" i="32"/>
  <c r="AV34" i="32"/>
  <c r="AW34" i="32"/>
  <c r="G35" i="32"/>
  <c r="J35" i="32" s="1"/>
  <c r="H35" i="32"/>
  <c r="I35" i="32"/>
  <c r="L35" i="32"/>
  <c r="M35" i="32"/>
  <c r="N35" i="32"/>
  <c r="Q35" i="32"/>
  <c r="T35" i="32" s="1"/>
  <c r="R35" i="32"/>
  <c r="S35" i="32"/>
  <c r="V35" i="32"/>
  <c r="W35" i="32"/>
  <c r="X35" i="32"/>
  <c r="AA35" i="32"/>
  <c r="AE35" i="32" s="1"/>
  <c r="AB35" i="32"/>
  <c r="AC35" i="32"/>
  <c r="AF35" i="32"/>
  <c r="AJ35" i="32" s="1"/>
  <c r="AG35" i="32"/>
  <c r="AH35" i="32"/>
  <c r="AK35" i="32"/>
  <c r="AL35" i="32"/>
  <c r="AM35" i="32"/>
  <c r="AP35" i="32"/>
  <c r="AQ35" i="32"/>
  <c r="AR35" i="32"/>
  <c r="AU35" i="32"/>
  <c r="AV35" i="32"/>
  <c r="AW35" i="32"/>
  <c r="G36" i="32"/>
  <c r="H36" i="32"/>
  <c r="I36" i="32"/>
  <c r="L36" i="32"/>
  <c r="O36" i="32" s="1"/>
  <c r="M36" i="32"/>
  <c r="N36" i="32"/>
  <c r="Q36" i="32"/>
  <c r="R36" i="32"/>
  <c r="S36" i="32"/>
  <c r="V36" i="32"/>
  <c r="W36" i="32"/>
  <c r="X36" i="32"/>
  <c r="AA36" i="32"/>
  <c r="AD36" i="32" s="1"/>
  <c r="AB36" i="32"/>
  <c r="AC36" i="32"/>
  <c r="AF36" i="32"/>
  <c r="AG36" i="32"/>
  <c r="AH36" i="32"/>
  <c r="AK36" i="32"/>
  <c r="AN36" i="32" s="1"/>
  <c r="AL36" i="32"/>
  <c r="AM36" i="32"/>
  <c r="AP36" i="32"/>
  <c r="AQ36" i="32"/>
  <c r="AR36" i="32"/>
  <c r="AU36" i="32"/>
  <c r="AV36" i="32"/>
  <c r="AW36" i="32"/>
  <c r="G37" i="32"/>
  <c r="K37" i="32" s="1"/>
  <c r="H37" i="32"/>
  <c r="I37" i="32"/>
  <c r="L37" i="32"/>
  <c r="P37" i="32" s="1"/>
  <c r="M37" i="32"/>
  <c r="N37" i="32"/>
  <c r="Q37" i="32"/>
  <c r="T37" i="32" s="1"/>
  <c r="R37" i="32"/>
  <c r="S37" i="32"/>
  <c r="V37" i="32"/>
  <c r="W37" i="32"/>
  <c r="X37" i="32"/>
  <c r="AA37" i="32"/>
  <c r="AD37" i="32" s="1"/>
  <c r="AB37" i="32"/>
  <c r="AC37" i="32"/>
  <c r="AF37" i="32"/>
  <c r="AJ37" i="32" s="1"/>
  <c r="AG37" i="32"/>
  <c r="AH37" i="32"/>
  <c r="AK37" i="32"/>
  <c r="AL37" i="32"/>
  <c r="AM37" i="32"/>
  <c r="AP37" i="32"/>
  <c r="AT37" i="32" s="1"/>
  <c r="AQ37" i="32"/>
  <c r="AR37" i="32"/>
  <c r="AU37" i="32"/>
  <c r="AV37" i="32"/>
  <c r="AW37" i="32"/>
  <c r="G38" i="32"/>
  <c r="K38" i="32" s="1"/>
  <c r="H38" i="32"/>
  <c r="I38" i="32"/>
  <c r="L38" i="32"/>
  <c r="O38" i="32" s="1"/>
  <c r="M38" i="32"/>
  <c r="N38" i="32"/>
  <c r="Q38" i="32"/>
  <c r="R38" i="32"/>
  <c r="S38" i="32"/>
  <c r="V38" i="32"/>
  <c r="Y38" i="32" s="1"/>
  <c r="W38" i="32"/>
  <c r="X38" i="32"/>
  <c r="AA38" i="32"/>
  <c r="AD38" i="32" s="1"/>
  <c r="AB38" i="32"/>
  <c r="AC38" i="32"/>
  <c r="AF38" i="32"/>
  <c r="AG38" i="32"/>
  <c r="AH38" i="32"/>
  <c r="AK38" i="32"/>
  <c r="AO38" i="32" s="1"/>
  <c r="AL38" i="32"/>
  <c r="AM38" i="32"/>
  <c r="AP38" i="32"/>
  <c r="AQ38" i="32"/>
  <c r="AR38" i="32"/>
  <c r="AU38" i="32"/>
  <c r="AV38" i="32"/>
  <c r="AW38" i="32"/>
  <c r="G39" i="32"/>
  <c r="H39" i="32"/>
  <c r="I39" i="32"/>
  <c r="L39" i="32"/>
  <c r="M39" i="32"/>
  <c r="N39" i="32"/>
  <c r="Q39" i="32"/>
  <c r="R39" i="32"/>
  <c r="S39" i="32"/>
  <c r="V39" i="32"/>
  <c r="Z39" i="32" s="1"/>
  <c r="W39" i="32"/>
  <c r="X39" i="32"/>
  <c r="AA39" i="32"/>
  <c r="AB39" i="32"/>
  <c r="AC39" i="32"/>
  <c r="AF39" i="32"/>
  <c r="AJ39" i="32" s="1"/>
  <c r="AG39" i="32"/>
  <c r="AH39" i="32"/>
  <c r="AK39" i="32"/>
  <c r="AL39" i="32"/>
  <c r="AM39" i="32"/>
  <c r="AO39" i="32"/>
  <c r="AP39" i="32"/>
  <c r="AQ39" i="32"/>
  <c r="AR39" i="32"/>
  <c r="AU39" i="32"/>
  <c r="AV39" i="32"/>
  <c r="AX42" i="32" s="1"/>
  <c r="AW39" i="32"/>
  <c r="G40" i="32"/>
  <c r="H40" i="32"/>
  <c r="I40" i="32"/>
  <c r="L40" i="32"/>
  <c r="M40" i="32"/>
  <c r="N40" i="32"/>
  <c r="Q40" i="32"/>
  <c r="R40" i="32"/>
  <c r="S40" i="32"/>
  <c r="V40" i="32"/>
  <c r="W40" i="32"/>
  <c r="Y43" i="32" s="1"/>
  <c r="X40" i="32"/>
  <c r="AA40" i="32"/>
  <c r="AE40" i="32" s="1"/>
  <c r="AB40" i="32"/>
  <c r="AC40" i="32"/>
  <c r="AF40" i="32"/>
  <c r="AJ40" i="32" s="1"/>
  <c r="AG40" i="32"/>
  <c r="AH40" i="32"/>
  <c r="AK40" i="32"/>
  <c r="AL40" i="32"/>
  <c r="AM40" i="32"/>
  <c r="AP40" i="32"/>
  <c r="AQ40" i="32"/>
  <c r="AR40" i="32"/>
  <c r="AU40" i="32"/>
  <c r="AV40" i="32"/>
  <c r="AW40" i="32"/>
  <c r="G41" i="32"/>
  <c r="J41" i="32" s="1"/>
  <c r="H41" i="32"/>
  <c r="I41" i="32"/>
  <c r="L41" i="32"/>
  <c r="M41" i="32"/>
  <c r="N41" i="32"/>
  <c r="Q41" i="32"/>
  <c r="R41" i="32"/>
  <c r="S41" i="32"/>
  <c r="V41" i="32"/>
  <c r="W41" i="32"/>
  <c r="X41" i="32"/>
  <c r="AA41" i="32"/>
  <c r="AB41" i="32"/>
  <c r="AC41" i="32"/>
  <c r="AF41" i="32"/>
  <c r="AJ41" i="32" s="1"/>
  <c r="AG41" i="32"/>
  <c r="AH41" i="32"/>
  <c r="AK41" i="32"/>
  <c r="AL41" i="32"/>
  <c r="AM41" i="32"/>
  <c r="AP41" i="32"/>
  <c r="AS41" i="32" s="1"/>
  <c r="AQ41" i="32"/>
  <c r="AR41" i="32"/>
  <c r="AU41" i="32"/>
  <c r="AV41" i="32"/>
  <c r="AW41" i="32"/>
  <c r="G42" i="32"/>
  <c r="H42" i="32"/>
  <c r="I42" i="32"/>
  <c r="K48" i="32" s="1"/>
  <c r="L42" i="32"/>
  <c r="M42" i="32"/>
  <c r="N42" i="32"/>
  <c r="Q42" i="32"/>
  <c r="U42" i="32" s="1"/>
  <c r="R42" i="32"/>
  <c r="S42" i="32"/>
  <c r="V42" i="32"/>
  <c r="Y42" i="32" s="1"/>
  <c r="W42" i="32"/>
  <c r="X42" i="32"/>
  <c r="AA42" i="32"/>
  <c r="AE42" i="32" s="1"/>
  <c r="AB42" i="32"/>
  <c r="AC42" i="32"/>
  <c r="AF42" i="32"/>
  <c r="AJ42" i="32" s="1"/>
  <c r="AG42" i="32"/>
  <c r="AH42" i="32"/>
  <c r="AK42" i="32"/>
  <c r="AO42" i="32" s="1"/>
  <c r="AL42" i="32"/>
  <c r="AM42" i="32"/>
  <c r="AP42" i="32"/>
  <c r="AQ42" i="32"/>
  <c r="AR42" i="32"/>
  <c r="AU42" i="32"/>
  <c r="AV42" i="32"/>
  <c r="AW42" i="32"/>
  <c r="AY42" i="32"/>
  <c r="G43" i="32"/>
  <c r="H43" i="32"/>
  <c r="I43" i="32"/>
  <c r="L43" i="32"/>
  <c r="P43" i="32" s="1"/>
  <c r="M43" i="32"/>
  <c r="N43" i="32"/>
  <c r="Q43" i="32"/>
  <c r="T43" i="32" s="1"/>
  <c r="R43" i="32"/>
  <c r="S43" i="32"/>
  <c r="V43" i="32"/>
  <c r="W43" i="32"/>
  <c r="X43" i="32"/>
  <c r="AA43" i="32"/>
  <c r="AB43" i="32"/>
  <c r="AD46" i="32" s="1"/>
  <c r="AC43" i="32"/>
  <c r="AF43" i="32"/>
  <c r="AG43" i="32"/>
  <c r="AH43" i="32"/>
  <c r="AK43" i="32"/>
  <c r="AL43" i="32"/>
  <c r="AM43" i="32"/>
  <c r="AP43" i="32"/>
  <c r="AS43" i="32" s="1"/>
  <c r="AQ43" i="32"/>
  <c r="AR43" i="32"/>
  <c r="AU43" i="32"/>
  <c r="AV43" i="32"/>
  <c r="AW43" i="32"/>
  <c r="G44" i="32"/>
  <c r="H44" i="32"/>
  <c r="I44" i="32"/>
  <c r="L44" i="32"/>
  <c r="P44" i="32" s="1"/>
  <c r="M44" i="32"/>
  <c r="N44" i="32"/>
  <c r="Q44" i="32"/>
  <c r="U44" i="32" s="1"/>
  <c r="R44" i="32"/>
  <c r="S44" i="32"/>
  <c r="V44" i="32"/>
  <c r="W44" i="32"/>
  <c r="X44" i="32"/>
  <c r="AA44" i="32"/>
  <c r="AB44" i="32"/>
  <c r="AC44" i="32"/>
  <c r="AF44" i="32"/>
  <c r="AI44" i="32" s="1"/>
  <c r="AG44" i="32"/>
  <c r="AH44" i="32"/>
  <c r="AK44" i="32"/>
  <c r="AL44" i="32"/>
  <c r="AM44" i="32"/>
  <c r="AP44" i="32"/>
  <c r="AQ44" i="32"/>
  <c r="AR44" i="32"/>
  <c r="AU44" i="32"/>
  <c r="AV44" i="32"/>
  <c r="AW44" i="32"/>
  <c r="G45" i="32"/>
  <c r="J45" i="32" s="1"/>
  <c r="H45" i="32"/>
  <c r="I45" i="32"/>
  <c r="L45" i="32"/>
  <c r="M45" i="32"/>
  <c r="N45" i="32"/>
  <c r="Q45" i="32"/>
  <c r="R45" i="32"/>
  <c r="S45" i="32"/>
  <c r="V45" i="32"/>
  <c r="Y45" i="32" s="1"/>
  <c r="W45" i="32"/>
  <c r="X45" i="32"/>
  <c r="AA45" i="32"/>
  <c r="AB45" i="32"/>
  <c r="AC45" i="32"/>
  <c r="AF45" i="32"/>
  <c r="AI45" i="32" s="1"/>
  <c r="AG45" i="32"/>
  <c r="AH45" i="32"/>
  <c r="AK45" i="32"/>
  <c r="AL45" i="32"/>
  <c r="AM45" i="32"/>
  <c r="AP45" i="32"/>
  <c r="AT45" i="32" s="1"/>
  <c r="AQ45" i="32"/>
  <c r="AR45" i="32"/>
  <c r="AU45" i="32"/>
  <c r="AX45" i="32" s="1"/>
  <c r="AV45" i="32"/>
  <c r="AW45" i="32"/>
  <c r="G46" i="32"/>
  <c r="H46" i="32"/>
  <c r="I46" i="32"/>
  <c r="L46" i="32"/>
  <c r="P46" i="32" s="1"/>
  <c r="M46" i="32"/>
  <c r="N46" i="32"/>
  <c r="Q46" i="32"/>
  <c r="U46" i="32" s="1"/>
  <c r="R46" i="32"/>
  <c r="S46" i="32"/>
  <c r="V46" i="32"/>
  <c r="W46" i="32"/>
  <c r="X46" i="32"/>
  <c r="AA46" i="32"/>
  <c r="AE46" i="32" s="1"/>
  <c r="AB46" i="32"/>
  <c r="AC46" i="32"/>
  <c r="AF46" i="32"/>
  <c r="AG46" i="32"/>
  <c r="AH46" i="32"/>
  <c r="AK46" i="32"/>
  <c r="AO46" i="32" s="1"/>
  <c r="AL46" i="32"/>
  <c r="AM46" i="32"/>
  <c r="AP46" i="32"/>
  <c r="AQ46" i="32"/>
  <c r="AR46" i="32"/>
  <c r="AU46" i="32"/>
  <c r="AV46" i="32"/>
  <c r="AW46" i="32"/>
  <c r="G47" i="32"/>
  <c r="H47" i="32"/>
  <c r="I47" i="32"/>
  <c r="L47" i="32"/>
  <c r="M47" i="32"/>
  <c r="N47" i="32"/>
  <c r="Q47" i="32"/>
  <c r="R47" i="32"/>
  <c r="S47" i="32"/>
  <c r="V47" i="32"/>
  <c r="W47" i="32"/>
  <c r="X47" i="32"/>
  <c r="AA47" i="32"/>
  <c r="AD47" i="32" s="1"/>
  <c r="AB47" i="32"/>
  <c r="AC47" i="32"/>
  <c r="AF47" i="32"/>
  <c r="AJ47" i="32" s="1"/>
  <c r="AG47" i="32"/>
  <c r="AH47" i="32"/>
  <c r="AK47" i="32"/>
  <c r="AO47" i="32" s="1"/>
  <c r="AL47" i="32"/>
  <c r="AM47" i="32"/>
  <c r="AP47" i="32"/>
  <c r="AQ47" i="32"/>
  <c r="AR47" i="32"/>
  <c r="AU47" i="32"/>
  <c r="AX47" i="32" s="1"/>
  <c r="AV47" i="32"/>
  <c r="AW47" i="32"/>
  <c r="G48" i="32"/>
  <c r="H48" i="32"/>
  <c r="I48" i="32"/>
  <c r="L48" i="32"/>
  <c r="O48" i="32" s="1"/>
  <c r="M48" i="32"/>
  <c r="N48" i="32"/>
  <c r="Q48" i="32"/>
  <c r="R48" i="32"/>
  <c r="S48" i="32"/>
  <c r="V48" i="32"/>
  <c r="W48" i="32"/>
  <c r="X48" i="32"/>
  <c r="AA48" i="32"/>
  <c r="AE48" i="32" s="1"/>
  <c r="AB48" i="32"/>
  <c r="AC48" i="32"/>
  <c r="AF48" i="32"/>
  <c r="AG48" i="32"/>
  <c r="AH48" i="32"/>
  <c r="AK48" i="32"/>
  <c r="AL48" i="32"/>
  <c r="AM48" i="32"/>
  <c r="AP48" i="32"/>
  <c r="AS48" i="32" s="1"/>
  <c r="AQ48" i="32"/>
  <c r="AR48" i="32"/>
  <c r="AU48" i="32"/>
  <c r="AV48" i="32"/>
  <c r="AW48" i="32"/>
  <c r="G49" i="32"/>
  <c r="J49" i="32" s="1"/>
  <c r="H49" i="32"/>
  <c r="I49" i="32"/>
  <c r="L49" i="32"/>
  <c r="M49" i="32"/>
  <c r="N49" i="32"/>
  <c r="Q49" i="32"/>
  <c r="R49" i="32"/>
  <c r="S49" i="32"/>
  <c r="V49" i="32"/>
  <c r="Z49" i="32" s="1"/>
  <c r="W49" i="32"/>
  <c r="X49" i="32"/>
  <c r="AA49" i="32"/>
  <c r="AB49" i="32"/>
  <c r="AC49" i="32"/>
  <c r="AD49" i="32"/>
  <c r="AE49" i="32"/>
  <c r="AF49" i="32"/>
  <c r="AJ49" i="32" s="1"/>
  <c r="AG49" i="32"/>
  <c r="AH49" i="32"/>
  <c r="AK49" i="32"/>
  <c r="AL49" i="32"/>
  <c r="AM49" i="32"/>
  <c r="AO49" i="32"/>
  <c r="AP49" i="32"/>
  <c r="AQ49" i="32"/>
  <c r="AR49" i="32"/>
  <c r="AU49" i="32"/>
  <c r="AV49" i="32"/>
  <c r="AW49" i="32"/>
  <c r="G50" i="32"/>
  <c r="H50" i="32"/>
  <c r="I50" i="32"/>
  <c r="L50" i="32"/>
  <c r="M50" i="32"/>
  <c r="N50" i="32"/>
  <c r="Q50" i="32"/>
  <c r="U50" i="32" s="1"/>
  <c r="R50" i="32"/>
  <c r="S50" i="32"/>
  <c r="V50" i="32"/>
  <c r="Y50" i="32" s="1"/>
  <c r="W50" i="32"/>
  <c r="X50" i="32"/>
  <c r="AA50" i="32"/>
  <c r="AB50" i="32"/>
  <c r="AC50" i="32"/>
  <c r="AF50" i="32"/>
  <c r="AG50" i="32"/>
  <c r="AH50" i="32"/>
  <c r="AK50" i="32"/>
  <c r="AL50" i="32"/>
  <c r="AM50" i="32"/>
  <c r="AP50" i="32"/>
  <c r="AQ50" i="32"/>
  <c r="AR50" i="32"/>
  <c r="AU50" i="32"/>
  <c r="AX50" i="32" s="1"/>
  <c r="AV50" i="32"/>
  <c r="AW50" i="32"/>
  <c r="G51" i="32"/>
  <c r="J51" i="32" s="1"/>
  <c r="H51" i="32"/>
  <c r="I51" i="32"/>
  <c r="L51" i="32"/>
  <c r="P51" i="32" s="1"/>
  <c r="M51" i="32"/>
  <c r="N51" i="32"/>
  <c r="Q51" i="32"/>
  <c r="U51" i="32" s="1"/>
  <c r="R51" i="32"/>
  <c r="S51" i="32"/>
  <c r="V51" i="32"/>
  <c r="Z51" i="32" s="1"/>
  <c r="W51" i="32"/>
  <c r="X51" i="32"/>
  <c r="AA51" i="32"/>
  <c r="AD51" i="32" s="1"/>
  <c r="AB51" i="32"/>
  <c r="AC51" i="32"/>
  <c r="AF51" i="32"/>
  <c r="AG51" i="32"/>
  <c r="AH51" i="32"/>
  <c r="AK51" i="32"/>
  <c r="AL51" i="32"/>
  <c r="AM51" i="32"/>
  <c r="AP51" i="32"/>
  <c r="AQ51" i="32"/>
  <c r="AR51" i="32"/>
  <c r="AU51" i="32"/>
  <c r="AV51" i="32"/>
  <c r="AW51" i="32"/>
  <c r="G52" i="32"/>
  <c r="H52" i="32"/>
  <c r="I52" i="32"/>
  <c r="L52" i="32"/>
  <c r="O52" i="32" s="1"/>
  <c r="M52" i="32"/>
  <c r="N52" i="32"/>
  <c r="Q52" i="32"/>
  <c r="U52" i="32" s="1"/>
  <c r="R52" i="32"/>
  <c r="S52" i="32"/>
  <c r="V52" i="32"/>
  <c r="Y52" i="32" s="1"/>
  <c r="W52" i="32"/>
  <c r="X52" i="32"/>
  <c r="AA52" i="32"/>
  <c r="AD52" i="32" s="1"/>
  <c r="AB52" i="32"/>
  <c r="AC52" i="32"/>
  <c r="AF52" i="32"/>
  <c r="AI52" i="32" s="1"/>
  <c r="AG52" i="32"/>
  <c r="AH52" i="32"/>
  <c r="AK52" i="32"/>
  <c r="AN52" i="32" s="1"/>
  <c r="AL52" i="32"/>
  <c r="AM52" i="32"/>
  <c r="AP52" i="32"/>
  <c r="AS52" i="32" s="1"/>
  <c r="AQ52" i="32"/>
  <c r="AR52" i="32"/>
  <c r="AU52" i="32"/>
  <c r="AV52" i="32"/>
  <c r="AW52" i="32"/>
  <c r="G165" i="32"/>
  <c r="H165" i="32"/>
  <c r="I165" i="32"/>
  <c r="L165" i="32"/>
  <c r="M165" i="32"/>
  <c r="N165" i="32"/>
  <c r="Q165" i="32"/>
  <c r="R165" i="32"/>
  <c r="S165" i="32"/>
  <c r="V165" i="32"/>
  <c r="W165" i="32"/>
  <c r="X165" i="32"/>
  <c r="AA165" i="32"/>
  <c r="AB165" i="32"/>
  <c r="AC165" i="32"/>
  <c r="G115" i="32"/>
  <c r="H115" i="32"/>
  <c r="I115" i="32"/>
  <c r="L115" i="32"/>
  <c r="M115" i="32"/>
  <c r="N115" i="32"/>
  <c r="Q115" i="32"/>
  <c r="R115" i="32"/>
  <c r="S115" i="32"/>
  <c r="V115" i="32"/>
  <c r="W115" i="32"/>
  <c r="X115" i="32"/>
  <c r="G65" i="32"/>
  <c r="H65" i="32"/>
  <c r="J68" i="32" s="1"/>
  <c r="I65" i="32"/>
  <c r="K71" i="32" s="1"/>
  <c r="L65" i="32"/>
  <c r="M65" i="32"/>
  <c r="O68" i="32" s="1"/>
  <c r="N65" i="32"/>
  <c r="P71" i="32" s="1"/>
  <c r="Q65" i="32"/>
  <c r="R65" i="32"/>
  <c r="T68" i="32" s="1"/>
  <c r="S65" i="32"/>
  <c r="U71" i="32" s="1"/>
  <c r="V65" i="32"/>
  <c r="W65" i="32"/>
  <c r="Y68" i="32" s="1"/>
  <c r="X65" i="32"/>
  <c r="Z71" i="32" s="1"/>
  <c r="AA65" i="32"/>
  <c r="AB65" i="32"/>
  <c r="AD68" i="32" s="1"/>
  <c r="AC65" i="32"/>
  <c r="AE71" i="32" s="1"/>
  <c r="AF65" i="32"/>
  <c r="AG65" i="32"/>
  <c r="AI68" i="32" s="1"/>
  <c r="AH65" i="32"/>
  <c r="AJ71" i="32" s="1"/>
  <c r="G64" i="32"/>
  <c r="AV60" i="5"/>
  <c r="AP60" i="5"/>
  <c r="AA60" i="5"/>
  <c r="Y60" i="4"/>
  <c r="O60" i="4"/>
  <c r="E60" i="4"/>
  <c r="AG60" i="1"/>
  <c r="U60" i="1"/>
  <c r="I60" i="1"/>
  <c r="U28" i="32" l="1"/>
  <c r="AS22" i="32"/>
  <c r="Z27" i="32"/>
  <c r="AE26" i="32"/>
  <c r="AJ26" i="32"/>
  <c r="AO25" i="32"/>
  <c r="AD22" i="32"/>
  <c r="O20" i="32"/>
  <c r="AX21" i="32"/>
  <c r="AT49" i="32"/>
  <c r="K39" i="32"/>
  <c r="U26" i="32"/>
  <c r="Z25" i="32"/>
  <c r="K50" i="32"/>
  <c r="T45" i="32"/>
  <c r="Y44" i="32"/>
  <c r="AY36" i="32"/>
  <c r="AT35" i="32"/>
  <c r="Y34" i="32"/>
  <c r="J37" i="32"/>
  <c r="T33" i="32"/>
  <c r="AE30" i="32"/>
  <c r="O29" i="32"/>
  <c r="O22" i="32"/>
  <c r="AX48" i="32"/>
  <c r="O47" i="32"/>
  <c r="K46" i="32"/>
  <c r="AY44" i="32"/>
  <c r="K44" i="32"/>
  <c r="J42" i="32"/>
  <c r="AY34" i="32"/>
  <c r="J34" i="32"/>
  <c r="P33" i="32"/>
  <c r="AJ32" i="32"/>
  <c r="T27" i="32"/>
  <c r="AY45" i="32"/>
  <c r="AN41" i="32"/>
  <c r="T40" i="32"/>
  <c r="AN39" i="32"/>
  <c r="AI38" i="32"/>
  <c r="AO30" i="32"/>
  <c r="T32" i="32"/>
  <c r="AS25" i="32"/>
  <c r="O21" i="32"/>
  <c r="AT47" i="32"/>
  <c r="AX49" i="32"/>
  <c r="O49" i="32"/>
  <c r="T48" i="32"/>
  <c r="Y47" i="32"/>
  <c r="AO52" i="32"/>
  <c r="AS40" i="32"/>
  <c r="AE44" i="32"/>
  <c r="AS36" i="32"/>
  <c r="U34" i="32"/>
  <c r="AO31" i="32"/>
  <c r="T31" i="32"/>
  <c r="Y30" i="32"/>
  <c r="AX31" i="32"/>
  <c r="AD25" i="32"/>
  <c r="AE32" i="32"/>
  <c r="AY52" i="32"/>
  <c r="AS46" i="32"/>
  <c r="AX43" i="32"/>
  <c r="AS38" i="32"/>
  <c r="U37" i="32"/>
  <c r="AO36" i="32"/>
  <c r="P36" i="32"/>
  <c r="AT29" i="32"/>
  <c r="J26" i="32"/>
  <c r="AD45" i="32"/>
  <c r="Z42" i="32"/>
  <c r="AY38" i="32"/>
  <c r="AS30" i="32"/>
  <c r="AN29" i="32"/>
  <c r="AT27" i="32"/>
  <c r="AY26" i="32"/>
  <c r="O26" i="32"/>
  <c r="AN23" i="32"/>
  <c r="AI25" i="32"/>
  <c r="AN20" i="32"/>
  <c r="U30" i="32"/>
  <c r="T49" i="32"/>
  <c r="T51" i="32"/>
  <c r="P49" i="32"/>
  <c r="AN45" i="32"/>
  <c r="P45" i="32"/>
  <c r="AX41" i="32"/>
  <c r="AT38" i="32"/>
  <c r="AJ34" i="32"/>
  <c r="AE33" i="32"/>
  <c r="Z31" i="32"/>
  <c r="AJ29" i="32"/>
  <c r="K29" i="32"/>
  <c r="AE27" i="32"/>
  <c r="K26" i="32"/>
  <c r="AE25" i="32"/>
  <c r="Z23" i="32"/>
  <c r="AI22" i="32"/>
  <c r="K23" i="32"/>
  <c r="AE51" i="32"/>
  <c r="Z50" i="32"/>
  <c r="AN49" i="32"/>
  <c r="AN47" i="32"/>
  <c r="AD50" i="32"/>
  <c r="AJ45" i="32"/>
  <c r="O42" i="32"/>
  <c r="Y39" i="32"/>
  <c r="Z35" i="32"/>
  <c r="P35" i="32"/>
  <c r="K31" i="32"/>
  <c r="AY29" i="32"/>
  <c r="K28" i="32"/>
  <c r="Z26" i="32"/>
  <c r="J23" i="32"/>
  <c r="AE22" i="32"/>
  <c r="K22" i="32"/>
  <c r="AN24" i="32"/>
  <c r="AN32" i="32"/>
  <c r="AO48" i="32"/>
  <c r="AT51" i="32"/>
  <c r="AN50" i="32"/>
  <c r="AI48" i="32"/>
  <c r="AY47" i="32"/>
  <c r="AT46" i="32"/>
  <c r="AJ51" i="32"/>
  <c r="O44" i="32"/>
  <c r="AX46" i="32"/>
  <c r="K42" i="32"/>
  <c r="AO40" i="32"/>
  <c r="U35" i="32"/>
  <c r="AX33" i="32"/>
  <c r="AS35" i="32"/>
  <c r="AT31" i="32"/>
  <c r="AJ31" i="32"/>
  <c r="AN27" i="32"/>
  <c r="AS26" i="32"/>
  <c r="P25" i="32"/>
  <c r="AY24" i="32"/>
  <c r="Z44" i="32"/>
  <c r="U43" i="32"/>
  <c r="AE38" i="32"/>
  <c r="AS32" i="32"/>
  <c r="AN28" i="32"/>
  <c r="AI40" i="32"/>
  <c r="K52" i="32"/>
  <c r="AO44" i="32"/>
  <c r="AI43" i="32"/>
  <c r="AD41" i="32"/>
  <c r="Y40" i="32"/>
  <c r="T38" i="32"/>
  <c r="AS39" i="32"/>
  <c r="K36" i="32"/>
  <c r="AJ33" i="32"/>
  <c r="AD35" i="32"/>
  <c r="AY30" i="32"/>
  <c r="AT23" i="32"/>
  <c r="P28" i="32"/>
  <c r="AI24" i="32"/>
  <c r="AD20" i="32"/>
  <c r="AI19" i="32"/>
  <c r="AN51" i="32"/>
  <c r="J50" i="32"/>
  <c r="O41" i="32"/>
  <c r="J40" i="32"/>
  <c r="AX37" i="32"/>
  <c r="AY40" i="32"/>
  <c r="AN34" i="32"/>
  <c r="T36" i="32"/>
  <c r="AT33" i="32"/>
  <c r="AI27" i="32"/>
  <c r="P23" i="32"/>
  <c r="J21" i="32"/>
  <c r="AO24" i="32"/>
  <c r="U24" i="32"/>
  <c r="AD21" i="32"/>
  <c r="AN21" i="32"/>
  <c r="Y21" i="32"/>
  <c r="AY23" i="32"/>
  <c r="AS20" i="32"/>
  <c r="AI20" i="32"/>
  <c r="Y20" i="32"/>
  <c r="T20" i="32"/>
  <c r="AS51" i="32"/>
  <c r="AN44" i="32"/>
  <c r="AI37" i="32"/>
  <c r="AD30" i="32"/>
  <c r="AX26" i="32"/>
  <c r="Y23" i="32"/>
  <c r="AE52" i="32"/>
  <c r="AI51" i="32"/>
  <c r="O50" i="32"/>
  <c r="J48" i="32"/>
  <c r="AI46" i="32"/>
  <c r="Y46" i="32"/>
  <c r="O46" i="32"/>
  <c r="AD44" i="32"/>
  <c r="J43" i="32"/>
  <c r="AS42" i="32"/>
  <c r="AI42" i="32"/>
  <c r="AX40" i="32"/>
  <c r="AD39" i="32"/>
  <c r="T39" i="32"/>
  <c r="J39" i="32"/>
  <c r="Y37" i="32"/>
  <c r="AX35" i="32"/>
  <c r="AN35" i="32"/>
  <c r="AX34" i="32"/>
  <c r="AS33" i="32"/>
  <c r="Y32" i="32"/>
  <c r="O32" i="32"/>
  <c r="Y31" i="32"/>
  <c r="AN33" i="32"/>
  <c r="T30" i="32"/>
  <c r="AS28" i="32"/>
  <c r="AI28" i="32"/>
  <c r="AS27" i="32"/>
  <c r="O30" i="32"/>
  <c r="AN26" i="32"/>
  <c r="T25" i="32"/>
  <c r="J25" i="32"/>
  <c r="T24" i="32"/>
  <c r="AI26" i="32"/>
  <c r="O23" i="32"/>
  <c r="AY22" i="32"/>
  <c r="P22" i="32"/>
  <c r="AS23" i="32"/>
  <c r="AN19" i="32"/>
  <c r="AD19" i="32"/>
  <c r="AI50" i="32"/>
  <c r="AN43" i="32"/>
  <c r="AD43" i="32"/>
  <c r="AE41" i="32"/>
  <c r="O40" i="32"/>
  <c r="AX39" i="32"/>
  <c r="AY37" i="32"/>
  <c r="AI36" i="32"/>
  <c r="Y36" i="32"/>
  <c r="Z34" i="32"/>
  <c r="J33" i="32"/>
  <c r="AI34" i="32"/>
  <c r="AT30" i="32"/>
  <c r="AD29" i="32"/>
  <c r="J31" i="32"/>
  <c r="U27" i="32"/>
  <c r="AD27" i="32"/>
  <c r="AO23" i="32"/>
  <c r="P52" i="32"/>
  <c r="AJ48" i="32"/>
  <c r="T47" i="32"/>
  <c r="K45" i="32"/>
  <c r="Z52" i="32"/>
  <c r="AY50" i="32"/>
  <c r="AO50" i="32"/>
  <c r="AT48" i="32"/>
  <c r="Y51" i="32"/>
  <c r="Z47" i="32"/>
  <c r="P47" i="32"/>
  <c r="U45" i="32"/>
  <c r="AS47" i="32"/>
  <c r="AT43" i="32"/>
  <c r="AJ43" i="32"/>
  <c r="AO41" i="32"/>
  <c r="T44" i="32"/>
  <c r="U40" i="32"/>
  <c r="K40" i="32"/>
  <c r="P38" i="32"/>
  <c r="AN40" i="32"/>
  <c r="AE36" i="32"/>
  <c r="O37" i="32"/>
  <c r="AY32" i="32"/>
  <c r="AI33" i="32"/>
  <c r="Z29" i="32"/>
  <c r="J30" i="32"/>
  <c r="AT25" i="32"/>
  <c r="AD26" i="32"/>
  <c r="J47" i="32"/>
  <c r="AX51" i="32"/>
  <c r="AS49" i="32"/>
  <c r="Y48" i="32"/>
  <c r="T46" i="32"/>
  <c r="AS44" i="32"/>
  <c r="AN42" i="32"/>
  <c r="T41" i="32"/>
  <c r="O39" i="32"/>
  <c r="AN37" i="32"/>
  <c r="AI35" i="32"/>
  <c r="O34" i="32"/>
  <c r="J32" i="32"/>
  <c r="AI30" i="32"/>
  <c r="AD28" i="32"/>
  <c r="J27" i="32"/>
  <c r="U22" i="32"/>
  <c r="J22" i="32"/>
  <c r="Z41" i="32"/>
  <c r="AS50" i="32"/>
  <c r="AE50" i="32"/>
  <c r="T52" i="32"/>
  <c r="U48" i="32"/>
  <c r="AY46" i="32"/>
  <c r="AN48" i="32"/>
  <c r="Z43" i="32"/>
  <c r="O45" i="32"/>
  <c r="P41" i="32"/>
  <c r="AT39" i="32"/>
  <c r="AI41" i="32"/>
  <c r="U36" i="32"/>
  <c r="J38" i="32"/>
  <c r="K34" i="32"/>
  <c r="AO32" i="32"/>
  <c r="AD34" i="32"/>
  <c r="P29" i="32"/>
  <c r="AY28" i="32"/>
  <c r="AX30" i="32"/>
  <c r="Y27" i="32"/>
  <c r="AX23" i="32"/>
  <c r="J19" i="32"/>
  <c r="AJ50" i="32"/>
  <c r="AY48" i="32"/>
  <c r="K47" i="32"/>
  <c r="AI49" i="32"/>
  <c r="Z45" i="32"/>
  <c r="AE43" i="32"/>
  <c r="J46" i="32"/>
  <c r="AT41" i="32"/>
  <c r="AY39" i="32"/>
  <c r="AD42" i="32"/>
  <c r="U38" i="32"/>
  <c r="Z36" i="32"/>
  <c r="AX38" i="32"/>
  <c r="AO34" i="32"/>
  <c r="Y35" i="32"/>
  <c r="P31" i="32"/>
  <c r="AS31" i="32"/>
  <c r="AJ27" i="32"/>
  <c r="T28" i="32"/>
  <c r="K24" i="32"/>
  <c r="AN25" i="32"/>
  <c r="AX52" i="32"/>
  <c r="J52" i="32"/>
  <c r="T50" i="32"/>
  <c r="Y49" i="32"/>
  <c r="AI47" i="32"/>
  <c r="AS45" i="32"/>
  <c r="AX44" i="32"/>
  <c r="O43" i="32"/>
  <c r="T42" i="32"/>
  <c r="Y41" i="32"/>
  <c r="AD40" i="32"/>
  <c r="AI39" i="32"/>
  <c r="AN38" i="32"/>
  <c r="AS37" i="32"/>
  <c r="AX36" i="32"/>
  <c r="J36" i="32"/>
  <c r="O35" i="32"/>
  <c r="T34" i="32"/>
  <c r="Y33" i="32"/>
  <c r="AD32" i="32"/>
  <c r="AI31" i="32"/>
  <c r="AN30" i="32"/>
  <c r="AS29" i="32"/>
  <c r="AX28" i="32"/>
  <c r="J28" i="32"/>
  <c r="O27" i="32"/>
  <c r="T26" i="32"/>
  <c r="Y25" i="32"/>
  <c r="AD24" i="32"/>
  <c r="AI23" i="32"/>
  <c r="AN22" i="32"/>
  <c r="AS21" i="32"/>
  <c r="AX20" i="32"/>
  <c r="J20" i="32"/>
  <c r="O19" i="32"/>
  <c r="O51" i="32"/>
  <c r="AD48" i="32"/>
  <c r="AN46" i="32"/>
  <c r="J44" i="32"/>
  <c r="AT52" i="32"/>
  <c r="P50" i="32"/>
  <c r="U49" i="32"/>
  <c r="Z48" i="32"/>
  <c r="AE47" i="32"/>
  <c r="AJ46" i="32"/>
  <c r="AO45" i="32"/>
  <c r="AT44" i="32"/>
  <c r="AY43" i="32"/>
  <c r="K43" i="32"/>
  <c r="P42" i="32"/>
  <c r="U41" i="32"/>
  <c r="Z40" i="32"/>
  <c r="AE39" i="32"/>
  <c r="AJ38" i="32"/>
  <c r="AO37" i="32"/>
  <c r="AT36" i="32"/>
  <c r="AY35" i="32"/>
  <c r="K35" i="32"/>
  <c r="P34" i="32"/>
  <c r="U33" i="32"/>
  <c r="Z32" i="32"/>
  <c r="AE31" i="32"/>
  <c r="AJ30" i="32"/>
  <c r="AO29" i="32"/>
  <c r="AT28" i="32"/>
  <c r="AY27" i="32"/>
  <c r="K27" i="32"/>
  <c r="P26" i="32"/>
  <c r="U25" i="32"/>
  <c r="Z24" i="32"/>
  <c r="AE23" i="32"/>
  <c r="AJ22" i="32"/>
  <c r="AY51" i="32"/>
  <c r="K51" i="32"/>
  <c r="AJ52" i="32"/>
  <c r="AO51" i="32"/>
  <c r="AT50" i="32"/>
  <c r="AY49" i="32"/>
  <c r="K49" i="32"/>
  <c r="P48" i="32"/>
  <c r="U47" i="32"/>
  <c r="Z46" i="32"/>
  <c r="AE45" i="32"/>
  <c r="AJ44" i="32"/>
  <c r="AO43" i="32"/>
  <c r="AT42" i="32"/>
  <c r="AY41" i="32"/>
  <c r="K41" i="32"/>
  <c r="P40" i="32"/>
  <c r="U39" i="32"/>
  <c r="Z38" i="32"/>
  <c r="AE37" i="32"/>
  <c r="AJ36" i="32"/>
  <c r="AO35" i="32"/>
  <c r="AT34" i="32"/>
  <c r="AY33" i="32"/>
  <c r="K33" i="32"/>
  <c r="P32" i="32"/>
  <c r="U31" i="32"/>
  <c r="Z30" i="32"/>
  <c r="AE29" i="32"/>
  <c r="AJ28" i="32"/>
  <c r="AO27" i="32"/>
  <c r="AT26" i="32"/>
  <c r="AY25" i="32"/>
  <c r="K25" i="32"/>
  <c r="P24" i="32"/>
  <c r="U23" i="32"/>
  <c r="Z22" i="32"/>
  <c r="G164" i="32" l="1"/>
  <c r="H164" i="32"/>
  <c r="I164" i="32"/>
  <c r="L164" i="32"/>
  <c r="M164" i="32"/>
  <c r="N164" i="32"/>
  <c r="Q164" i="32"/>
  <c r="R164" i="32"/>
  <c r="S164" i="32"/>
  <c r="V164" i="32"/>
  <c r="W164" i="32"/>
  <c r="X164" i="32"/>
  <c r="AA164" i="32"/>
  <c r="AB164" i="32"/>
  <c r="AC164" i="32"/>
  <c r="G114" i="32"/>
  <c r="H114" i="32"/>
  <c r="I114" i="32"/>
  <c r="L114" i="32"/>
  <c r="M114" i="32"/>
  <c r="N114" i="32"/>
  <c r="Q114" i="32"/>
  <c r="R114" i="32"/>
  <c r="S114" i="32"/>
  <c r="V114" i="32"/>
  <c r="W114" i="32"/>
  <c r="X114" i="32"/>
  <c r="H64" i="32"/>
  <c r="J67" i="32" s="1"/>
  <c r="I64" i="32"/>
  <c r="K70" i="32" s="1"/>
  <c r="L64" i="32"/>
  <c r="M64" i="32"/>
  <c r="O67" i="32" s="1"/>
  <c r="N64" i="32"/>
  <c r="P70" i="32" s="1"/>
  <c r="Q64" i="32"/>
  <c r="R64" i="32"/>
  <c r="T67" i="32" s="1"/>
  <c r="S64" i="32"/>
  <c r="U70" i="32" s="1"/>
  <c r="V64" i="32"/>
  <c r="W64" i="32"/>
  <c r="Y67" i="32" s="1"/>
  <c r="X64" i="32"/>
  <c r="Z70" i="32" s="1"/>
  <c r="AA64" i="32"/>
  <c r="AB64" i="32"/>
  <c r="AD67" i="32" s="1"/>
  <c r="AC64" i="32"/>
  <c r="AE70" i="32" s="1"/>
  <c r="AF64" i="32"/>
  <c r="AG64" i="32"/>
  <c r="AI67" i="32" s="1"/>
  <c r="AH64" i="32"/>
  <c r="AJ70" i="32" s="1"/>
  <c r="L15" i="32"/>
  <c r="M15" i="32"/>
  <c r="O18" i="32" s="1"/>
  <c r="N15" i="32"/>
  <c r="P21" i="32" s="1"/>
  <c r="Q15" i="32"/>
  <c r="R15" i="32"/>
  <c r="T18" i="32" s="1"/>
  <c r="S15" i="32"/>
  <c r="U21" i="32" s="1"/>
  <c r="V15" i="32"/>
  <c r="W15" i="32"/>
  <c r="Y18" i="32" s="1"/>
  <c r="X15" i="32"/>
  <c r="Z21" i="32" s="1"/>
  <c r="AA15" i="32"/>
  <c r="AB15" i="32"/>
  <c r="AD18" i="32" s="1"/>
  <c r="AC15" i="32"/>
  <c r="AE21" i="32" s="1"/>
  <c r="AF15" i="32"/>
  <c r="AG15" i="32"/>
  <c r="AI18" i="32" s="1"/>
  <c r="AH15" i="32"/>
  <c r="AJ21" i="32" s="1"/>
  <c r="AK15" i="32"/>
  <c r="AL15" i="32"/>
  <c r="AN18" i="32" s="1"/>
  <c r="AM15" i="32"/>
  <c r="AO21" i="32" s="1"/>
  <c r="AP15" i="32"/>
  <c r="AQ15" i="32"/>
  <c r="AS18" i="32" s="1"/>
  <c r="AR15" i="32"/>
  <c r="AT21" i="32" s="1"/>
  <c r="AU15" i="32"/>
  <c r="AV15" i="32"/>
  <c r="AX18" i="32" s="1"/>
  <c r="AW15" i="32"/>
  <c r="AY21" i="32" s="1"/>
  <c r="G15" i="32"/>
  <c r="H15" i="32"/>
  <c r="J18" i="32" s="1"/>
  <c r="I15" i="32"/>
  <c r="K21" i="32" s="1"/>
  <c r="AV59" i="5"/>
  <c r="AP59" i="5"/>
  <c r="AA59" i="5"/>
  <c r="Y59" i="4"/>
  <c r="O59" i="4"/>
  <c r="E59" i="4"/>
  <c r="AG59" i="1"/>
  <c r="U59" i="1"/>
  <c r="I59" i="1"/>
  <c r="G163" i="32" l="1"/>
  <c r="H163" i="32"/>
  <c r="J166" i="32" s="1"/>
  <c r="I163" i="32"/>
  <c r="L163" i="32"/>
  <c r="M163" i="32"/>
  <c r="O166" i="32" s="1"/>
  <c r="N163" i="32"/>
  <c r="Q163" i="32"/>
  <c r="R163" i="32"/>
  <c r="T166" i="32" s="1"/>
  <c r="S163" i="32"/>
  <c r="V163" i="32"/>
  <c r="W163" i="32"/>
  <c r="Y166" i="32" s="1"/>
  <c r="X163" i="32"/>
  <c r="AA163" i="32"/>
  <c r="AB163" i="32"/>
  <c r="AD166" i="32" s="1"/>
  <c r="AC163" i="32"/>
  <c r="G113" i="32"/>
  <c r="H113" i="32"/>
  <c r="J116" i="32" s="1"/>
  <c r="I113" i="32"/>
  <c r="L113" i="32"/>
  <c r="M113" i="32"/>
  <c r="O116" i="32" s="1"/>
  <c r="N113" i="32"/>
  <c r="Q113" i="32"/>
  <c r="R113" i="32"/>
  <c r="T116" i="32" s="1"/>
  <c r="S113" i="32"/>
  <c r="V113" i="32"/>
  <c r="W113" i="32"/>
  <c r="Y116" i="32" s="1"/>
  <c r="X113" i="32"/>
  <c r="G63" i="32"/>
  <c r="H63" i="32"/>
  <c r="J66" i="32" s="1"/>
  <c r="I63" i="32"/>
  <c r="K69" i="32" s="1"/>
  <c r="L63" i="32"/>
  <c r="M63" i="32"/>
  <c r="O66" i="32" s="1"/>
  <c r="N63" i="32"/>
  <c r="P69" i="32" s="1"/>
  <c r="Q63" i="32"/>
  <c r="R63" i="32"/>
  <c r="T66" i="32" s="1"/>
  <c r="S63" i="32"/>
  <c r="U69" i="32" s="1"/>
  <c r="V63" i="32"/>
  <c r="W63" i="32"/>
  <c r="Y66" i="32" s="1"/>
  <c r="X63" i="32"/>
  <c r="Z69" i="32" s="1"/>
  <c r="AA63" i="32"/>
  <c r="AB63" i="32"/>
  <c r="AD66" i="32" s="1"/>
  <c r="AC63" i="32"/>
  <c r="AE69" i="32" s="1"/>
  <c r="AF63" i="32"/>
  <c r="AG63" i="32"/>
  <c r="AI66" i="32" s="1"/>
  <c r="AH63" i="32"/>
  <c r="AJ69" i="32" s="1"/>
  <c r="G14" i="32"/>
  <c r="H14" i="32"/>
  <c r="J17" i="32" s="1"/>
  <c r="I14" i="32"/>
  <c r="L14" i="32"/>
  <c r="M14" i="32"/>
  <c r="O17" i="32" s="1"/>
  <c r="N14" i="32"/>
  <c r="P20" i="32" s="1"/>
  <c r="Q14" i="32"/>
  <c r="R14" i="32"/>
  <c r="T17" i="32" s="1"/>
  <c r="S14" i="32"/>
  <c r="U20" i="32" s="1"/>
  <c r="V14" i="32"/>
  <c r="W14" i="32"/>
  <c r="Y17" i="32" s="1"/>
  <c r="X14" i="32"/>
  <c r="Z20" i="32" s="1"/>
  <c r="AA14" i="32"/>
  <c r="AB14" i="32"/>
  <c r="AD17" i="32" s="1"/>
  <c r="AC14" i="32"/>
  <c r="AE20" i="32" s="1"/>
  <c r="AF14" i="32"/>
  <c r="AG14" i="32"/>
  <c r="AI17" i="32" s="1"/>
  <c r="AH14" i="32"/>
  <c r="AJ20" i="32" s="1"/>
  <c r="AK14" i="32"/>
  <c r="AL14" i="32"/>
  <c r="AN17" i="32" s="1"/>
  <c r="AM14" i="32"/>
  <c r="AO20" i="32" s="1"/>
  <c r="AP14" i="32"/>
  <c r="AQ14" i="32"/>
  <c r="AS17" i="32" s="1"/>
  <c r="AR14" i="32"/>
  <c r="AT20" i="32" s="1"/>
  <c r="AU14" i="32"/>
  <c r="AV14" i="32"/>
  <c r="AX17" i="32" s="1"/>
  <c r="AW14" i="32"/>
  <c r="AY20" i="32" s="1"/>
  <c r="AV58" i="5"/>
  <c r="AP58" i="5"/>
  <c r="AA58" i="5"/>
  <c r="E58" i="4"/>
  <c r="O58" i="4"/>
  <c r="Y58" i="4"/>
  <c r="AG58" i="1"/>
  <c r="U58" i="1"/>
  <c r="I58" i="1"/>
  <c r="AA158" i="32" l="1"/>
  <c r="AB158" i="32"/>
  <c r="AC158" i="32"/>
  <c r="AE164" i="32" s="1"/>
  <c r="AA159" i="32"/>
  <c r="AB159" i="32"/>
  <c r="AC159" i="32"/>
  <c r="AE165" i="32" s="1"/>
  <c r="AA160" i="32"/>
  <c r="AB160" i="32"/>
  <c r="AD163" i="32" s="1"/>
  <c r="AC160" i="32"/>
  <c r="AE166" i="32" s="1"/>
  <c r="AA161" i="32"/>
  <c r="AD161" i="32" s="1"/>
  <c r="AB161" i="32"/>
  <c r="AD164" i="32" s="1"/>
  <c r="AC161" i="32"/>
  <c r="AA162" i="32"/>
  <c r="AB162" i="32"/>
  <c r="AD165" i="32" s="1"/>
  <c r="AC162" i="32"/>
  <c r="AC157" i="32"/>
  <c r="AE163" i="32" s="1"/>
  <c r="AB157" i="32"/>
  <c r="AA157" i="32"/>
  <c r="AA154" i="32"/>
  <c r="AB154" i="32" s="1"/>
  <c r="AC154" i="32" s="1"/>
  <c r="AD154" i="32" s="1"/>
  <c r="AE154" i="32" s="1"/>
  <c r="V158" i="32"/>
  <c r="W158" i="32"/>
  <c r="X158" i="32"/>
  <c r="Z164" i="32" s="1"/>
  <c r="V159" i="32"/>
  <c r="W159" i="32"/>
  <c r="X159" i="32"/>
  <c r="Z165" i="32" s="1"/>
  <c r="V160" i="32"/>
  <c r="W160" i="32"/>
  <c r="Y163" i="32" s="1"/>
  <c r="X160" i="32"/>
  <c r="Z166" i="32" s="1"/>
  <c r="V161" i="32"/>
  <c r="Y161" i="32" s="1"/>
  <c r="W161" i="32"/>
  <c r="Y164" i="32" s="1"/>
  <c r="X161" i="32"/>
  <c r="V162" i="32"/>
  <c r="W162" i="32"/>
  <c r="Y165" i="32" s="1"/>
  <c r="X162" i="32"/>
  <c r="X157" i="32"/>
  <c r="Z163" i="32" s="1"/>
  <c r="W157" i="32"/>
  <c r="V157" i="32"/>
  <c r="V154" i="32"/>
  <c r="W154" i="32" s="1"/>
  <c r="X154" i="32" s="1"/>
  <c r="Y154" i="32" s="1"/>
  <c r="Z154" i="32" s="1"/>
  <c r="Q158" i="32"/>
  <c r="R158" i="32"/>
  <c r="S158" i="32"/>
  <c r="U164" i="32" s="1"/>
  <c r="Q159" i="32"/>
  <c r="R159" i="32"/>
  <c r="S159" i="32"/>
  <c r="U165" i="32" s="1"/>
  <c r="Q160" i="32"/>
  <c r="R160" i="32"/>
  <c r="T163" i="32" s="1"/>
  <c r="S160" i="32"/>
  <c r="U166" i="32" s="1"/>
  <c r="Q161" i="32"/>
  <c r="T161" i="32" s="1"/>
  <c r="R161" i="32"/>
  <c r="T164" i="32" s="1"/>
  <c r="S161" i="32"/>
  <c r="Q162" i="32"/>
  <c r="T162" i="32" s="1"/>
  <c r="R162" i="32"/>
  <c r="T165" i="32" s="1"/>
  <c r="S162" i="32"/>
  <c r="S157" i="32"/>
  <c r="U163" i="32" s="1"/>
  <c r="R157" i="32"/>
  <c r="T160" i="32" s="1"/>
  <c r="Q157" i="32"/>
  <c r="Q154" i="32"/>
  <c r="R154" i="32" s="1"/>
  <c r="S154" i="32" s="1"/>
  <c r="T154" i="32" s="1"/>
  <c r="U154" i="32" s="1"/>
  <c r="L158" i="32"/>
  <c r="M158" i="32"/>
  <c r="N158" i="32"/>
  <c r="P164" i="32" s="1"/>
  <c r="L159" i="32"/>
  <c r="M159" i="32"/>
  <c r="N159" i="32"/>
  <c r="P165" i="32" s="1"/>
  <c r="L160" i="32"/>
  <c r="M160" i="32"/>
  <c r="O163" i="32" s="1"/>
  <c r="N160" i="32"/>
  <c r="P166" i="32" s="1"/>
  <c r="L161" i="32"/>
  <c r="O161" i="32" s="1"/>
  <c r="M161" i="32"/>
  <c r="O164" i="32" s="1"/>
  <c r="N161" i="32"/>
  <c r="L162" i="32"/>
  <c r="O162" i="32" s="1"/>
  <c r="M162" i="32"/>
  <c r="O165" i="32" s="1"/>
  <c r="N162" i="32"/>
  <c r="N157" i="32"/>
  <c r="P163" i="32" s="1"/>
  <c r="M157" i="32"/>
  <c r="L157" i="32"/>
  <c r="L154" i="32"/>
  <c r="M154" i="32" s="1"/>
  <c r="N154" i="32" s="1"/>
  <c r="O154" i="32" s="1"/>
  <c r="P154" i="32" s="1"/>
  <c r="G158" i="32"/>
  <c r="H158" i="32"/>
  <c r="I158" i="32"/>
  <c r="K164" i="32" s="1"/>
  <c r="G159" i="32"/>
  <c r="H159" i="32"/>
  <c r="I159" i="32"/>
  <c r="K165" i="32" s="1"/>
  <c r="G160" i="32"/>
  <c r="H160" i="32"/>
  <c r="J163" i="32" s="1"/>
  <c r="I160" i="32"/>
  <c r="K166" i="32" s="1"/>
  <c r="G161" i="32"/>
  <c r="J161" i="32" s="1"/>
  <c r="H161" i="32"/>
  <c r="J164" i="32" s="1"/>
  <c r="I161" i="32"/>
  <c r="G162" i="32"/>
  <c r="J162" i="32" s="1"/>
  <c r="H162" i="32"/>
  <c r="J165" i="32" s="1"/>
  <c r="I162" i="32"/>
  <c r="I157" i="32"/>
  <c r="K163" i="32" s="1"/>
  <c r="H157" i="32"/>
  <c r="G157" i="32"/>
  <c r="I156" i="32"/>
  <c r="S156" i="32" s="1"/>
  <c r="X156" i="32" s="1"/>
  <c r="AC156" i="32" s="1"/>
  <c r="H156" i="32"/>
  <c r="M156" i="32" s="1"/>
  <c r="G156" i="32"/>
  <c r="Q156" i="32" s="1"/>
  <c r="V156" i="32" s="1"/>
  <c r="AA156" i="32" s="1"/>
  <c r="A158" i="32"/>
  <c r="A159" i="32"/>
  <c r="A160" i="32"/>
  <c r="A161" i="32"/>
  <c r="A162" i="32"/>
  <c r="A157" i="32"/>
  <c r="G154" i="32"/>
  <c r="H154" i="32" s="1"/>
  <c r="I154" i="32" s="1"/>
  <c r="J154" i="32" s="1"/>
  <c r="K154" i="32" s="1"/>
  <c r="AD162" i="32"/>
  <c r="V108" i="32"/>
  <c r="W108" i="32"/>
  <c r="X108" i="32"/>
  <c r="Z114" i="32" s="1"/>
  <c r="V109" i="32"/>
  <c r="W109" i="32"/>
  <c r="X109" i="32"/>
  <c r="Z115" i="32" s="1"/>
  <c r="V110" i="32"/>
  <c r="W110" i="32"/>
  <c r="Y113" i="32" s="1"/>
  <c r="X110" i="32"/>
  <c r="Z116" i="32" s="1"/>
  <c r="V111" i="32"/>
  <c r="W111" i="32"/>
  <c r="Y114" i="32" s="1"/>
  <c r="X111" i="32"/>
  <c r="V112" i="32"/>
  <c r="W112" i="32"/>
  <c r="Y115" i="32" s="1"/>
  <c r="X112" i="32"/>
  <c r="X107" i="32"/>
  <c r="Z113" i="32" s="1"/>
  <c r="W107" i="32"/>
  <c r="V107" i="32"/>
  <c r="V104" i="32"/>
  <c r="W104" i="32" s="1"/>
  <c r="X104" i="32" s="1"/>
  <c r="Y104" i="32" s="1"/>
  <c r="Z104" i="32" s="1"/>
  <c r="Q108" i="32"/>
  <c r="R108" i="32"/>
  <c r="S108" i="32"/>
  <c r="U114" i="32" s="1"/>
  <c r="Q109" i="32"/>
  <c r="R109" i="32"/>
  <c r="S109" i="32"/>
  <c r="U115" i="32" s="1"/>
  <c r="Q110" i="32"/>
  <c r="R110" i="32"/>
  <c r="T113" i="32" s="1"/>
  <c r="S110" i="32"/>
  <c r="U116" i="32" s="1"/>
  <c r="Q111" i="32"/>
  <c r="R111" i="32"/>
  <c r="T114" i="32" s="1"/>
  <c r="S111" i="32"/>
  <c r="Q112" i="32"/>
  <c r="T112" i="32" s="1"/>
  <c r="R112" i="32"/>
  <c r="T115" i="32" s="1"/>
  <c r="S112" i="32"/>
  <c r="S107" i="32"/>
  <c r="U113" i="32" s="1"/>
  <c r="R107" i="32"/>
  <c r="Q107" i="32"/>
  <c r="Q104" i="32"/>
  <c r="R104" i="32" s="1"/>
  <c r="S104" i="32" s="1"/>
  <c r="T104" i="32" s="1"/>
  <c r="U104" i="32" s="1"/>
  <c r="L108" i="32"/>
  <c r="M108" i="32"/>
  <c r="N108" i="32"/>
  <c r="P114" i="32" s="1"/>
  <c r="L109" i="32"/>
  <c r="M109" i="32"/>
  <c r="N109" i="32"/>
  <c r="P115" i="32" s="1"/>
  <c r="L110" i="32"/>
  <c r="M110" i="32"/>
  <c r="O113" i="32" s="1"/>
  <c r="N110" i="32"/>
  <c r="P116" i="32" s="1"/>
  <c r="L111" i="32"/>
  <c r="M111" i="32"/>
  <c r="O114" i="32" s="1"/>
  <c r="N111" i="32"/>
  <c r="L112" i="32"/>
  <c r="O112" i="32" s="1"/>
  <c r="M112" i="32"/>
  <c r="O115" i="32" s="1"/>
  <c r="N112" i="32"/>
  <c r="N107" i="32"/>
  <c r="P113" i="32" s="1"/>
  <c r="M107" i="32"/>
  <c r="L107" i="32"/>
  <c r="L104" i="32"/>
  <c r="M104" i="32" s="1"/>
  <c r="N104" i="32" s="1"/>
  <c r="O104" i="32" s="1"/>
  <c r="P104" i="32" s="1"/>
  <c r="G108" i="32"/>
  <c r="H108" i="32"/>
  <c r="I108" i="32"/>
  <c r="K114" i="32" s="1"/>
  <c r="G109" i="32"/>
  <c r="H109" i="32"/>
  <c r="I109" i="32"/>
  <c r="K115" i="32" s="1"/>
  <c r="G110" i="32"/>
  <c r="H110" i="32"/>
  <c r="J113" i="32" s="1"/>
  <c r="I110" i="32"/>
  <c r="K116" i="32" s="1"/>
  <c r="G111" i="32"/>
  <c r="J111" i="32" s="1"/>
  <c r="H111" i="32"/>
  <c r="J114" i="32" s="1"/>
  <c r="I111" i="32"/>
  <c r="G112" i="32"/>
  <c r="J112" i="32" s="1"/>
  <c r="H112" i="32"/>
  <c r="J115" i="32" s="1"/>
  <c r="I112" i="32"/>
  <c r="I107" i="32"/>
  <c r="K113" i="32" s="1"/>
  <c r="H107" i="32"/>
  <c r="G107" i="32"/>
  <c r="I106" i="32"/>
  <c r="N106" i="32" s="1"/>
  <c r="H106" i="32"/>
  <c r="M106" i="32" s="1"/>
  <c r="G106" i="32"/>
  <c r="L106" i="32" s="1"/>
  <c r="A108" i="32"/>
  <c r="A109" i="32"/>
  <c r="A110" i="32"/>
  <c r="A111" i="32"/>
  <c r="A112" i="32"/>
  <c r="A107" i="32"/>
  <c r="G104" i="32"/>
  <c r="H104" i="32" s="1"/>
  <c r="I104" i="32" s="1"/>
  <c r="J104" i="32" s="1"/>
  <c r="K104" i="32" s="1"/>
  <c r="AF58" i="32"/>
  <c r="AG58" i="32"/>
  <c r="AH58" i="32"/>
  <c r="AJ64" i="32" s="1"/>
  <c r="AF59" i="32"/>
  <c r="AG59" i="32"/>
  <c r="AH59" i="32"/>
  <c r="AJ65" i="32" s="1"/>
  <c r="AF60" i="32"/>
  <c r="AG60" i="32"/>
  <c r="AI63" i="32" s="1"/>
  <c r="AH60" i="32"/>
  <c r="AJ66" i="32" s="1"/>
  <c r="AF61" i="32"/>
  <c r="AI61" i="32" s="1"/>
  <c r="AG61" i="32"/>
  <c r="AI64" i="32" s="1"/>
  <c r="AH61" i="32"/>
  <c r="AJ67" i="32" s="1"/>
  <c r="AF62" i="32"/>
  <c r="AI62" i="32" s="1"/>
  <c r="AG62" i="32"/>
  <c r="AI65" i="32" s="1"/>
  <c r="AH62" i="32"/>
  <c r="AJ68" i="32" s="1"/>
  <c r="AH57" i="32"/>
  <c r="AJ63" i="32" s="1"/>
  <c r="AG57" i="32"/>
  <c r="AF57" i="32"/>
  <c r="AF54" i="32"/>
  <c r="AG54" i="32" s="1"/>
  <c r="AH54" i="32" s="1"/>
  <c r="AI54" i="32" s="1"/>
  <c r="AJ54" i="32" s="1"/>
  <c r="AA58" i="32"/>
  <c r="AB58" i="32"/>
  <c r="AC58" i="32"/>
  <c r="AE64" i="32" s="1"/>
  <c r="AA59" i="32"/>
  <c r="AB59" i="32"/>
  <c r="AC59" i="32"/>
  <c r="AE65" i="32" s="1"/>
  <c r="AA60" i="32"/>
  <c r="AB60" i="32"/>
  <c r="AD63" i="32" s="1"/>
  <c r="AC60" i="32"/>
  <c r="AE66" i="32" s="1"/>
  <c r="AA61" i="32"/>
  <c r="AD61" i="32" s="1"/>
  <c r="AB61" i="32"/>
  <c r="AD64" i="32" s="1"/>
  <c r="AC61" i="32"/>
  <c r="AE67" i="32" s="1"/>
  <c r="AA62" i="32"/>
  <c r="AB62" i="32"/>
  <c r="AD65" i="32" s="1"/>
  <c r="AC62" i="32"/>
  <c r="AE68" i="32" s="1"/>
  <c r="AC57" i="32"/>
  <c r="AE63" i="32" s="1"/>
  <c r="AB57" i="32"/>
  <c r="AA57" i="32"/>
  <c r="AA54" i="32"/>
  <c r="AB54" i="32" s="1"/>
  <c r="AC54" i="32" s="1"/>
  <c r="AD54" i="32" s="1"/>
  <c r="AE54" i="32" s="1"/>
  <c r="V58" i="32"/>
  <c r="W58" i="32"/>
  <c r="X58" i="32"/>
  <c r="Z64" i="32" s="1"/>
  <c r="V59" i="32"/>
  <c r="W59" i="32"/>
  <c r="X59" i="32"/>
  <c r="Z65" i="32" s="1"/>
  <c r="V60" i="32"/>
  <c r="W60" i="32"/>
  <c r="Y63" i="32" s="1"/>
  <c r="X60" i="32"/>
  <c r="Z66" i="32" s="1"/>
  <c r="V61" i="32"/>
  <c r="Y61" i="32" s="1"/>
  <c r="W61" i="32"/>
  <c r="Y64" i="32" s="1"/>
  <c r="X61" i="32"/>
  <c r="Z67" i="32" s="1"/>
  <c r="V62" i="32"/>
  <c r="Y62" i="32" s="1"/>
  <c r="W62" i="32"/>
  <c r="Y65" i="32" s="1"/>
  <c r="X62" i="32"/>
  <c r="Z68" i="32" s="1"/>
  <c r="X57" i="32"/>
  <c r="Z63" i="32" s="1"/>
  <c r="W57" i="32"/>
  <c r="V57" i="32"/>
  <c r="V54" i="32"/>
  <c r="W54" i="32" s="1"/>
  <c r="X54" i="32" s="1"/>
  <c r="Y54" i="32" s="1"/>
  <c r="Z54" i="32" s="1"/>
  <c r="Q58" i="32"/>
  <c r="R58" i="32"/>
  <c r="S58" i="32"/>
  <c r="U64" i="32" s="1"/>
  <c r="Q59" i="32"/>
  <c r="R59" i="32"/>
  <c r="S59" i="32"/>
  <c r="U65" i="32" s="1"/>
  <c r="Q60" i="32"/>
  <c r="R60" i="32"/>
  <c r="T63" i="32" s="1"/>
  <c r="S60" i="32"/>
  <c r="U66" i="32" s="1"/>
  <c r="Q61" i="32"/>
  <c r="T61" i="32" s="1"/>
  <c r="R61" i="32"/>
  <c r="T64" i="32" s="1"/>
  <c r="S61" i="32"/>
  <c r="U67" i="32" s="1"/>
  <c r="Q62" i="32"/>
  <c r="R62" i="32"/>
  <c r="T65" i="32" s="1"/>
  <c r="S62" i="32"/>
  <c r="U68" i="32" s="1"/>
  <c r="S57" i="32"/>
  <c r="U63" i="32" s="1"/>
  <c r="R57" i="32"/>
  <c r="Q57" i="32"/>
  <c r="Q54" i="32"/>
  <c r="R54" i="32" s="1"/>
  <c r="S54" i="32" s="1"/>
  <c r="T54" i="32" s="1"/>
  <c r="U54" i="32" s="1"/>
  <c r="L58" i="32"/>
  <c r="M58" i="32"/>
  <c r="N58" i="32"/>
  <c r="P64" i="32" s="1"/>
  <c r="L59" i="32"/>
  <c r="M59" i="32"/>
  <c r="N59" i="32"/>
  <c r="P65" i="32" s="1"/>
  <c r="L60" i="32"/>
  <c r="M60" i="32"/>
  <c r="O63" i="32" s="1"/>
  <c r="N60" i="32"/>
  <c r="P66" i="32" s="1"/>
  <c r="L61" i="32"/>
  <c r="O61" i="32" s="1"/>
  <c r="M61" i="32"/>
  <c r="O64" i="32" s="1"/>
  <c r="N61" i="32"/>
  <c r="P67" i="32" s="1"/>
  <c r="L62" i="32"/>
  <c r="M62" i="32"/>
  <c r="O65" i="32" s="1"/>
  <c r="N62" i="32"/>
  <c r="P68" i="32" s="1"/>
  <c r="N57" i="32"/>
  <c r="P63" i="32" s="1"/>
  <c r="M57" i="32"/>
  <c r="L57" i="32"/>
  <c r="L54" i="32"/>
  <c r="M54" i="32" s="1"/>
  <c r="N54" i="32" s="1"/>
  <c r="O54" i="32" s="1"/>
  <c r="P54" i="32" s="1"/>
  <c r="G58" i="32"/>
  <c r="H58" i="32"/>
  <c r="I58" i="32"/>
  <c r="K64" i="32" s="1"/>
  <c r="G59" i="32"/>
  <c r="H59" i="32"/>
  <c r="I59" i="32"/>
  <c r="K65" i="32" s="1"/>
  <c r="G60" i="32"/>
  <c r="H60" i="32"/>
  <c r="J63" i="32" s="1"/>
  <c r="I60" i="32"/>
  <c r="K66" i="32" s="1"/>
  <c r="G61" i="32"/>
  <c r="J61" i="32" s="1"/>
  <c r="H61" i="32"/>
  <c r="J64" i="32" s="1"/>
  <c r="I61" i="32"/>
  <c r="K67" i="32" s="1"/>
  <c r="G62" i="32"/>
  <c r="H62" i="32"/>
  <c r="J65" i="32" s="1"/>
  <c r="I62" i="32"/>
  <c r="K68" i="32" s="1"/>
  <c r="I57" i="32"/>
  <c r="K63" i="32" s="1"/>
  <c r="H57" i="32"/>
  <c r="G57" i="32"/>
  <c r="I56" i="32"/>
  <c r="S56" i="32" s="1"/>
  <c r="X56" i="32" s="1"/>
  <c r="AC56" i="32" s="1"/>
  <c r="AH56" i="32" s="1"/>
  <c r="H56" i="32"/>
  <c r="M56" i="32" s="1"/>
  <c r="G56" i="32"/>
  <c r="Q56" i="32" s="1"/>
  <c r="V56" i="32" s="1"/>
  <c r="AA56" i="32" s="1"/>
  <c r="AF56" i="32" s="1"/>
  <c r="A58" i="32"/>
  <c r="A59" i="32"/>
  <c r="A60" i="32"/>
  <c r="A61" i="32"/>
  <c r="A62" i="32"/>
  <c r="A57" i="32"/>
  <c r="G54" i="32"/>
  <c r="H54" i="32" s="1"/>
  <c r="I54" i="32" s="1"/>
  <c r="J54" i="32" s="1"/>
  <c r="K54" i="32" s="1"/>
  <c r="AU9" i="32"/>
  <c r="AV9" i="32"/>
  <c r="AW9" i="32"/>
  <c r="AY15" i="32" s="1"/>
  <c r="AU10" i="32"/>
  <c r="AV10" i="32"/>
  <c r="AW10" i="32"/>
  <c r="AY16" i="32" s="1"/>
  <c r="AU11" i="32"/>
  <c r="AV11" i="32"/>
  <c r="AX14" i="32" s="1"/>
  <c r="AW11" i="32"/>
  <c r="AY17" i="32" s="1"/>
  <c r="AU12" i="32"/>
  <c r="AX12" i="32" s="1"/>
  <c r="AV12" i="32"/>
  <c r="AX15" i="32" s="1"/>
  <c r="AW12" i="32"/>
  <c r="AY18" i="32" s="1"/>
  <c r="AU13" i="32"/>
  <c r="AX13" i="32" s="1"/>
  <c r="AV13" i="32"/>
  <c r="AX16" i="32" s="1"/>
  <c r="AW13" i="32"/>
  <c r="AY19" i="32" s="1"/>
  <c r="AW8" i="32"/>
  <c r="AY14" i="32" s="1"/>
  <c r="AV8" i="32"/>
  <c r="AU8" i="32"/>
  <c r="AU5" i="32"/>
  <c r="AV5" i="32" s="1"/>
  <c r="AW5" i="32" s="1"/>
  <c r="AX5" i="32" s="1"/>
  <c r="AY5" i="32" s="1"/>
  <c r="AP9" i="32"/>
  <c r="AQ9" i="32"/>
  <c r="AR9" i="32"/>
  <c r="AT15" i="32" s="1"/>
  <c r="AP10" i="32"/>
  <c r="AQ10" i="32"/>
  <c r="AR10" i="32"/>
  <c r="AT16" i="32" s="1"/>
  <c r="AP11" i="32"/>
  <c r="AQ11" i="32"/>
  <c r="AS14" i="32" s="1"/>
  <c r="AR11" i="32"/>
  <c r="AT17" i="32" s="1"/>
  <c r="AP12" i="32"/>
  <c r="AS12" i="32" s="1"/>
  <c r="AQ12" i="32"/>
  <c r="AS15" i="32" s="1"/>
  <c r="AR12" i="32"/>
  <c r="AT18" i="32" s="1"/>
  <c r="AP13" i="32"/>
  <c r="AS13" i="32" s="1"/>
  <c r="AQ13" i="32"/>
  <c r="AS16" i="32" s="1"/>
  <c r="AR13" i="32"/>
  <c r="AT19" i="32" s="1"/>
  <c r="AR8" i="32"/>
  <c r="AT14" i="32" s="1"/>
  <c r="AQ8" i="32"/>
  <c r="AP8" i="32"/>
  <c r="AP5" i="32"/>
  <c r="AQ5" i="32" s="1"/>
  <c r="AR5" i="32" s="1"/>
  <c r="AS5" i="32" s="1"/>
  <c r="AT5" i="32" s="1"/>
  <c r="AK9" i="32"/>
  <c r="AL9" i="32"/>
  <c r="AM9" i="32"/>
  <c r="AO15" i="32" s="1"/>
  <c r="AK10" i="32"/>
  <c r="AL10" i="32"/>
  <c r="AM10" i="32"/>
  <c r="AO16" i="32" s="1"/>
  <c r="AK11" i="32"/>
  <c r="AL11" i="32"/>
  <c r="AN14" i="32" s="1"/>
  <c r="AM11" i="32"/>
  <c r="AO17" i="32" s="1"/>
  <c r="AK12" i="32"/>
  <c r="AN12" i="32" s="1"/>
  <c r="AL12" i="32"/>
  <c r="AN15" i="32" s="1"/>
  <c r="AM12" i="32"/>
  <c r="AO18" i="32" s="1"/>
  <c r="AK13" i="32"/>
  <c r="AN13" i="32" s="1"/>
  <c r="AL13" i="32"/>
  <c r="AN16" i="32" s="1"/>
  <c r="AM13" i="32"/>
  <c r="AO19" i="32" s="1"/>
  <c r="AM8" i="32"/>
  <c r="AO14" i="32" s="1"/>
  <c r="AL8" i="32"/>
  <c r="AK8" i="32"/>
  <c r="AK5" i="32"/>
  <c r="AL5" i="32" s="1"/>
  <c r="AM5" i="32" s="1"/>
  <c r="AN5" i="32" s="1"/>
  <c r="AO5" i="32" s="1"/>
  <c r="AF9" i="32"/>
  <c r="AG9" i="32"/>
  <c r="AH9" i="32"/>
  <c r="AJ15" i="32" s="1"/>
  <c r="AF10" i="32"/>
  <c r="AG10" i="32"/>
  <c r="AH10" i="32"/>
  <c r="AJ16" i="32" s="1"/>
  <c r="AF11" i="32"/>
  <c r="AG11" i="32"/>
  <c r="AI14" i="32" s="1"/>
  <c r="AH11" i="32"/>
  <c r="AJ17" i="32" s="1"/>
  <c r="AF12" i="32"/>
  <c r="AG12" i="32"/>
  <c r="AI15" i="32" s="1"/>
  <c r="AH12" i="32"/>
  <c r="AJ18" i="32" s="1"/>
  <c r="AF13" i="32"/>
  <c r="AG13" i="32"/>
  <c r="AI16" i="32" s="1"/>
  <c r="AH13" i="32"/>
  <c r="AJ19" i="32" s="1"/>
  <c r="AH8" i="32"/>
  <c r="AJ14" i="32" s="1"/>
  <c r="AG8" i="32"/>
  <c r="AF8" i="32"/>
  <c r="AF5" i="32"/>
  <c r="AG5" i="32" s="1"/>
  <c r="AH5" i="32" s="1"/>
  <c r="AI5" i="32" s="1"/>
  <c r="AJ5" i="32" s="1"/>
  <c r="AC8" i="32"/>
  <c r="AE14" i="32" s="1"/>
  <c r="AB8" i="32"/>
  <c r="AA8" i="32"/>
  <c r="AA5" i="32"/>
  <c r="AB5" i="32" s="1"/>
  <c r="AC5" i="32" s="1"/>
  <c r="AD5" i="32" s="1"/>
  <c r="AE5" i="32" s="1"/>
  <c r="AC13" i="32"/>
  <c r="AE19" i="32" s="1"/>
  <c r="AB13" i="32"/>
  <c r="AD16" i="32" s="1"/>
  <c r="AA13" i="32"/>
  <c r="AC12" i="32"/>
  <c r="AE18" i="32" s="1"/>
  <c r="AB12" i="32"/>
  <c r="AD15" i="32" s="1"/>
  <c r="AA12" i="32"/>
  <c r="AC11" i="32"/>
  <c r="AE17" i="32" s="1"/>
  <c r="AB11" i="32"/>
  <c r="AD14" i="32" s="1"/>
  <c r="AA11" i="32"/>
  <c r="AC10" i="32"/>
  <c r="AE16" i="32" s="1"/>
  <c r="AB10" i="32"/>
  <c r="AA10" i="32"/>
  <c r="AC9" i="32"/>
  <c r="AE15" i="32" s="1"/>
  <c r="AB9" i="32"/>
  <c r="AA9" i="32"/>
  <c r="V9" i="32"/>
  <c r="W9" i="32"/>
  <c r="X9" i="32"/>
  <c r="Z15" i="32" s="1"/>
  <c r="V10" i="32"/>
  <c r="W10" i="32"/>
  <c r="X10" i="32"/>
  <c r="Z16" i="32" s="1"/>
  <c r="V11" i="32"/>
  <c r="W11" i="32"/>
  <c r="Y14" i="32" s="1"/>
  <c r="X11" i="32"/>
  <c r="Z17" i="32" s="1"/>
  <c r="V12" i="32"/>
  <c r="Y12" i="32" s="1"/>
  <c r="W12" i="32"/>
  <c r="Y15" i="32" s="1"/>
  <c r="X12" i="32"/>
  <c r="Z18" i="32" s="1"/>
  <c r="V13" i="32"/>
  <c r="Y13" i="32" s="1"/>
  <c r="W13" i="32"/>
  <c r="Y16" i="32" s="1"/>
  <c r="X13" i="32"/>
  <c r="Z19" i="32" s="1"/>
  <c r="X8" i="32"/>
  <c r="Z14" i="32" s="1"/>
  <c r="W8" i="32"/>
  <c r="V8" i="32"/>
  <c r="V5" i="32"/>
  <c r="W5" i="32" s="1"/>
  <c r="X5" i="32" s="1"/>
  <c r="Y5" i="32" s="1"/>
  <c r="Z5" i="32" s="1"/>
  <c r="Q9" i="32"/>
  <c r="Q10" i="32"/>
  <c r="Q11" i="32"/>
  <c r="Q12" i="32"/>
  <c r="Q13" i="32"/>
  <c r="Q8" i="32"/>
  <c r="R9" i="32"/>
  <c r="S9" i="32"/>
  <c r="U15" i="32" s="1"/>
  <c r="R10" i="32"/>
  <c r="S10" i="32"/>
  <c r="U16" i="32" s="1"/>
  <c r="R11" i="32"/>
  <c r="T14" i="32" s="1"/>
  <c r="S11" i="32"/>
  <c r="U17" i="32" s="1"/>
  <c r="R12" i="32"/>
  <c r="T15" i="32" s="1"/>
  <c r="S12" i="32"/>
  <c r="U18" i="32" s="1"/>
  <c r="R13" i="32"/>
  <c r="T16" i="32" s="1"/>
  <c r="S13" i="32"/>
  <c r="U19" i="32" s="1"/>
  <c r="S8" i="32"/>
  <c r="U14" i="32" s="1"/>
  <c r="R8" i="32"/>
  <c r="Q5" i="32"/>
  <c r="R5" i="32" s="1"/>
  <c r="S5" i="32" s="1"/>
  <c r="T5" i="32" s="1"/>
  <c r="U5" i="32" s="1"/>
  <c r="L9" i="32"/>
  <c r="M9" i="32"/>
  <c r="N9" i="32"/>
  <c r="P15" i="32" s="1"/>
  <c r="L10" i="32"/>
  <c r="M10" i="32"/>
  <c r="N10" i="32"/>
  <c r="P16" i="32" s="1"/>
  <c r="L11" i="32"/>
  <c r="M11" i="32"/>
  <c r="O14" i="32" s="1"/>
  <c r="N11" i="32"/>
  <c r="P17" i="32" s="1"/>
  <c r="L12" i="32"/>
  <c r="O12" i="32" s="1"/>
  <c r="M12" i="32"/>
  <c r="O15" i="32" s="1"/>
  <c r="N12" i="32"/>
  <c r="P18" i="32" s="1"/>
  <c r="L13" i="32"/>
  <c r="O13" i="32" s="1"/>
  <c r="M13" i="32"/>
  <c r="O16" i="32" s="1"/>
  <c r="N13" i="32"/>
  <c r="P19" i="32" s="1"/>
  <c r="N8" i="32"/>
  <c r="P14" i="32" s="1"/>
  <c r="M8" i="32"/>
  <c r="L8" i="32"/>
  <c r="N5" i="32"/>
  <c r="O5" i="32" s="1"/>
  <c r="P5" i="32" s="1"/>
  <c r="M5" i="32"/>
  <c r="L5" i="32"/>
  <c r="G9" i="32"/>
  <c r="H9" i="32"/>
  <c r="I9" i="32"/>
  <c r="K15" i="32" s="1"/>
  <c r="G10" i="32"/>
  <c r="H10" i="32"/>
  <c r="I10" i="32"/>
  <c r="K16" i="32" s="1"/>
  <c r="G11" i="32"/>
  <c r="H11" i="32"/>
  <c r="J14" i="32" s="1"/>
  <c r="I11" i="32"/>
  <c r="K17" i="32" s="1"/>
  <c r="G12" i="32"/>
  <c r="J12" i="32" s="1"/>
  <c r="H12" i="32"/>
  <c r="J15" i="32" s="1"/>
  <c r="I12" i="32"/>
  <c r="K18" i="32" s="1"/>
  <c r="G13" i="32"/>
  <c r="J13" i="32" s="1"/>
  <c r="H13" i="32"/>
  <c r="J16" i="32" s="1"/>
  <c r="I13" i="32"/>
  <c r="K19" i="32" s="1"/>
  <c r="I8" i="32"/>
  <c r="K14" i="32" s="1"/>
  <c r="H8" i="32"/>
  <c r="G8" i="32"/>
  <c r="I5" i="32"/>
  <c r="J5" i="32" s="1"/>
  <c r="K5" i="32" s="1"/>
  <c r="H5" i="32"/>
  <c r="G5" i="32"/>
  <c r="I7" i="32"/>
  <c r="N7" i="32" s="1"/>
  <c r="H7" i="32"/>
  <c r="M7" i="32" s="1"/>
  <c r="G7" i="32"/>
  <c r="Q7" i="32" s="1"/>
  <c r="V7" i="32" s="1"/>
  <c r="AA7" i="32" s="1"/>
  <c r="AF7" i="32" s="1"/>
  <c r="AK7" i="32" s="1"/>
  <c r="AP7" i="32" s="1"/>
  <c r="AU7" i="32" s="1"/>
  <c r="A9" i="32"/>
  <c r="A210" i="32" s="1"/>
  <c r="A10" i="32"/>
  <c r="A211" i="32" s="1"/>
  <c r="A11" i="32"/>
  <c r="A212" i="32" s="1"/>
  <c r="A12" i="32"/>
  <c r="A213" i="32" s="1"/>
  <c r="A13" i="32"/>
  <c r="A214" i="32" s="1"/>
  <c r="A8" i="32"/>
  <c r="A209" i="32" s="1"/>
  <c r="T62" i="32" l="1"/>
  <c r="J11" i="32"/>
  <c r="O160" i="32"/>
  <c r="O62" i="32"/>
  <c r="Y162" i="32"/>
  <c r="T111" i="32"/>
  <c r="Y112" i="32"/>
  <c r="AD160" i="32"/>
  <c r="T110" i="32"/>
  <c r="Y111" i="32"/>
  <c r="T12" i="32"/>
  <c r="AI12" i="32"/>
  <c r="J110" i="32"/>
  <c r="AI13" i="32"/>
  <c r="S106" i="32"/>
  <c r="X106" i="32" s="1"/>
  <c r="O60" i="32"/>
  <c r="AN11" i="32"/>
  <c r="R106" i="32"/>
  <c r="W106" i="32" s="1"/>
  <c r="AX11" i="32"/>
  <c r="L156" i="32"/>
  <c r="AD62" i="32"/>
  <c r="AD11" i="32"/>
  <c r="J60" i="32"/>
  <c r="Y110" i="32"/>
  <c r="J62" i="32"/>
  <c r="L56" i="32"/>
  <c r="O11" i="32"/>
  <c r="AD13" i="32"/>
  <c r="Y160" i="32"/>
  <c r="J160" i="32"/>
  <c r="N156" i="32"/>
  <c r="R156" i="32"/>
  <c r="W156" i="32" s="1"/>
  <c r="AB156" i="32" s="1"/>
  <c r="O111" i="32"/>
  <c r="T11" i="32"/>
  <c r="Y11" i="32"/>
  <c r="T60" i="32"/>
  <c r="O110" i="32"/>
  <c r="Q106" i="32"/>
  <c r="V106" i="32" s="1"/>
  <c r="S7" i="32"/>
  <c r="X7" i="32" s="1"/>
  <c r="AC7" i="32" s="1"/>
  <c r="AH7" i="32" s="1"/>
  <c r="AM7" i="32" s="1"/>
  <c r="AR7" i="32" s="1"/>
  <c r="AW7" i="32" s="1"/>
  <c r="AD12" i="32"/>
  <c r="R7" i="32"/>
  <c r="W7" i="32" s="1"/>
  <c r="AB7" i="32" s="1"/>
  <c r="AG7" i="32" s="1"/>
  <c r="AL7" i="32" s="1"/>
  <c r="AQ7" i="32" s="1"/>
  <c r="AV7" i="32" s="1"/>
  <c r="T13" i="32"/>
  <c r="L7" i="32"/>
  <c r="AI11" i="32"/>
  <c r="R56" i="32"/>
  <c r="W56" i="32" s="1"/>
  <c r="AB56" i="32" s="1"/>
  <c r="AG56" i="32" s="1"/>
  <c r="AI60" i="32"/>
  <c r="AD60" i="32"/>
  <c r="Y60" i="32"/>
  <c r="N56" i="32"/>
  <c r="AS11" i="32"/>
  <c r="M55" i="29" l="1"/>
  <c r="M51" i="29"/>
  <c r="M69" i="29"/>
  <c r="M67" i="29"/>
  <c r="M65" i="29"/>
  <c r="M93" i="29"/>
  <c r="M91" i="29"/>
  <c r="M89" i="29"/>
  <c r="M87" i="29"/>
  <c r="M85" i="29"/>
  <c r="M83" i="29"/>
  <c r="M81" i="29"/>
  <c r="M79" i="29"/>
  <c r="M121" i="29"/>
  <c r="M119" i="29"/>
  <c r="M117" i="29"/>
  <c r="M115" i="29"/>
  <c r="M113" i="29"/>
  <c r="M111" i="29"/>
  <c r="M109" i="29"/>
  <c r="M107" i="29"/>
  <c r="M105" i="29"/>
  <c r="M103" i="29"/>
  <c r="M101" i="29"/>
  <c r="M77" i="29"/>
  <c r="M63" i="29"/>
  <c r="M49" i="29"/>
  <c r="M41" i="29"/>
  <c r="M39" i="29"/>
  <c r="M37" i="29"/>
  <c r="M35" i="29"/>
  <c r="Y57" i="4"/>
  <c r="AG57" i="1"/>
  <c r="U57" i="1"/>
  <c r="I57" i="1"/>
  <c r="AV57" i="5" l="1"/>
  <c r="AP57" i="5"/>
  <c r="AA57" i="5"/>
  <c r="O57" i="4"/>
  <c r="E57" i="4"/>
  <c r="AO56" i="6" l="1"/>
  <c r="AU56" i="6"/>
  <c r="BA56" i="6"/>
  <c r="AA56" i="6"/>
  <c r="AV56" i="5"/>
  <c r="AP56" i="5"/>
  <c r="AA56" i="5"/>
  <c r="Y56" i="4"/>
  <c r="O56" i="4"/>
  <c r="E56" i="4"/>
  <c r="I56" i="1"/>
  <c r="AG56" i="1"/>
  <c r="U56" i="1"/>
  <c r="BA55" i="6" l="1"/>
  <c r="AU55" i="6"/>
  <c r="AO55" i="6"/>
  <c r="AA55" i="6"/>
  <c r="AV55" i="5"/>
  <c r="AP55" i="5"/>
  <c r="AA55" i="5"/>
  <c r="Y55" i="4"/>
  <c r="O55" i="4"/>
  <c r="E55" i="4"/>
  <c r="AG55" i="1"/>
  <c r="EN55" i="1"/>
  <c r="EO55" i="1" s="1"/>
  <c r="FA55" i="1"/>
  <c r="FB55" i="1" s="1"/>
  <c r="GG55" i="1"/>
  <c r="GY55" i="1"/>
  <c r="U55" i="1"/>
  <c r="EU55" i="1"/>
  <c r="EV55" i="1" s="1"/>
  <c r="GS55" i="1"/>
  <c r="GM55" i="1"/>
  <c r="GA55" i="1"/>
  <c r="FU55" i="1"/>
  <c r="FO55" i="1"/>
  <c r="FI55" i="1"/>
  <c r="I55" i="1"/>
  <c r="FF55" i="1" s="1"/>
  <c r="ET55" i="1"/>
  <c r="AG54" i="1" l="1"/>
  <c r="BA54" i="6" l="1"/>
  <c r="AU54" i="6"/>
  <c r="AO54" i="6"/>
  <c r="AA54" i="6"/>
  <c r="AV54" i="5"/>
  <c r="AP54" i="5"/>
  <c r="AA54" i="5"/>
  <c r="EN54" i="1"/>
  <c r="EO54" i="1" s="1"/>
  <c r="FA54" i="1"/>
  <c r="FB54" i="1" s="1"/>
  <c r="GG54" i="1"/>
  <c r="GY54" i="1"/>
  <c r="U54" i="1"/>
  <c r="EU54" i="1"/>
  <c r="EV54" i="1" s="1"/>
  <c r="GS54" i="1"/>
  <c r="GM54" i="1"/>
  <c r="GA54" i="1"/>
  <c r="FU54" i="1"/>
  <c r="FO54" i="1"/>
  <c r="FI54" i="1"/>
  <c r="I54" i="1"/>
  <c r="FF54" i="1" s="1"/>
  <c r="ET54" i="1"/>
  <c r="O54" i="4"/>
  <c r="Y54" i="4" l="1"/>
  <c r="E54" i="4"/>
  <c r="I53" i="1" l="1"/>
  <c r="BA53" i="6" l="1"/>
  <c r="AU53" i="6"/>
  <c r="AO53" i="6"/>
  <c r="AA53" i="6"/>
  <c r="AV53" i="5"/>
  <c r="AP53" i="5"/>
  <c r="AA53" i="5"/>
  <c r="Y53" i="4"/>
  <c r="O53" i="4"/>
  <c r="E53" i="4"/>
  <c r="E52" i="4"/>
  <c r="AG53" i="1"/>
  <c r="FF53" i="1"/>
  <c r="EN53" i="1"/>
  <c r="EO53" i="1" s="1"/>
  <c r="FA53" i="1"/>
  <c r="FB53" i="1" s="1"/>
  <c r="GG53" i="1"/>
  <c r="GY53" i="1"/>
  <c r="U53" i="1"/>
  <c r="EU53" i="1"/>
  <c r="EV53" i="1" s="1"/>
  <c r="GS53" i="1"/>
  <c r="GM53" i="1"/>
  <c r="GA53" i="1"/>
  <c r="FU53" i="1"/>
  <c r="FO53" i="1"/>
  <c r="FI53" i="1"/>
  <c r="ET53" i="1"/>
  <c r="V100" i="29"/>
  <c r="W126" i="29"/>
  <c r="V150" i="29"/>
  <c r="AC149" i="29"/>
  <c r="AD149" i="29" s="1"/>
  <c r="AE149" i="29" s="1"/>
  <c r="Z149" i="29"/>
  <c r="AA149" i="29" s="1"/>
  <c r="AB149" i="29" s="1"/>
  <c r="W149" i="29"/>
  <c r="X149" i="29" s="1"/>
  <c r="Y149" i="29" s="1"/>
  <c r="N149" i="29"/>
  <c r="R149" i="29" s="1"/>
  <c r="AC147" i="29"/>
  <c r="AD147" i="29" s="1"/>
  <c r="Z147" i="29"/>
  <c r="AA147" i="29" s="1"/>
  <c r="W147" i="29"/>
  <c r="X147" i="29" s="1"/>
  <c r="X148" i="29" s="1"/>
  <c r="S147" i="29"/>
  <c r="N147" i="29"/>
  <c r="R147" i="29" s="1"/>
  <c r="AC145" i="29"/>
  <c r="AD145" i="29" s="1"/>
  <c r="Z145" i="29"/>
  <c r="AA145" i="29" s="1"/>
  <c r="AA146" i="29" s="1"/>
  <c r="W145" i="29"/>
  <c r="X145" i="29" s="1"/>
  <c r="S145" i="29"/>
  <c r="N145" i="29"/>
  <c r="R145" i="29" s="1"/>
  <c r="AC143" i="29"/>
  <c r="AC144" i="29" s="1"/>
  <c r="Z143" i="29"/>
  <c r="AA143" i="29" s="1"/>
  <c r="AA144" i="29" s="1"/>
  <c r="W143" i="29"/>
  <c r="W144" i="29" s="1"/>
  <c r="S143" i="29"/>
  <c r="N143" i="29"/>
  <c r="R143" i="29" s="1"/>
  <c r="AC141" i="29"/>
  <c r="AD141" i="29" s="1"/>
  <c r="AD142" i="29" s="1"/>
  <c r="Z141" i="29"/>
  <c r="Z142" i="29" s="1"/>
  <c r="W141" i="29"/>
  <c r="S141" i="29"/>
  <c r="N141" i="29"/>
  <c r="R141" i="29" s="1"/>
  <c r="AC139" i="29"/>
  <c r="AC140" i="29" s="1"/>
  <c r="Z139" i="29"/>
  <c r="Z140" i="29" s="1"/>
  <c r="W139" i="29"/>
  <c r="X139" i="29" s="1"/>
  <c r="X140" i="29" s="1"/>
  <c r="S139" i="29"/>
  <c r="N139" i="29"/>
  <c r="R139" i="29" s="1"/>
  <c r="AC137" i="29"/>
  <c r="AC138" i="29" s="1"/>
  <c r="Z137" i="29"/>
  <c r="AA137" i="29" s="1"/>
  <c r="AA138" i="29" s="1"/>
  <c r="W137" i="29"/>
  <c r="X137" i="29" s="1"/>
  <c r="X138" i="29" s="1"/>
  <c r="S137" i="29"/>
  <c r="N137" i="29"/>
  <c r="R137" i="29" s="1"/>
  <c r="AC135" i="29"/>
  <c r="AD135" i="29" s="1"/>
  <c r="Z135" i="29"/>
  <c r="AA135" i="29" s="1"/>
  <c r="W135" i="29"/>
  <c r="W136" i="29" s="1"/>
  <c r="S135" i="29"/>
  <c r="N135" i="29"/>
  <c r="R135" i="29" s="1"/>
  <c r="AC133" i="29"/>
  <c r="Z133" i="29"/>
  <c r="Z134" i="29" s="1"/>
  <c r="W133" i="29"/>
  <c r="W134" i="29" s="1"/>
  <c r="S133" i="29"/>
  <c r="N133" i="29"/>
  <c r="R133" i="29" s="1"/>
  <c r="AC131" i="29"/>
  <c r="AD131" i="29" s="1"/>
  <c r="Z131" i="29"/>
  <c r="AA131" i="29" s="1"/>
  <c r="W131" i="29"/>
  <c r="X131" i="29" s="1"/>
  <c r="X132" i="29" s="1"/>
  <c r="S131" i="29"/>
  <c r="N131" i="29"/>
  <c r="R131" i="29" s="1"/>
  <c r="AC129" i="29"/>
  <c r="AD129" i="29" s="1"/>
  <c r="Z129" i="29"/>
  <c r="AA129" i="29" s="1"/>
  <c r="AA130" i="29" s="1"/>
  <c r="W129" i="29"/>
  <c r="X129" i="29" s="1"/>
  <c r="S129" i="29"/>
  <c r="N129" i="29"/>
  <c r="R129" i="29" s="1"/>
  <c r="AC127" i="29"/>
  <c r="AC128" i="29" s="1"/>
  <c r="Z127" i="29"/>
  <c r="Z128" i="29" s="1"/>
  <c r="W127" i="29"/>
  <c r="W128" i="29" s="1"/>
  <c r="S127" i="29"/>
  <c r="N127" i="29"/>
  <c r="R127" i="29" s="1"/>
  <c r="W150" i="29" l="1"/>
  <c r="AD137" i="29"/>
  <c r="AE137" i="29" s="1"/>
  <c r="AF137" i="29" s="1"/>
  <c r="AC146" i="29"/>
  <c r="AD143" i="29"/>
  <c r="AE143" i="29" s="1"/>
  <c r="AE144" i="29" s="1"/>
  <c r="AE141" i="29"/>
  <c r="AF141" i="29" s="1"/>
  <c r="AF142" i="29" s="1"/>
  <c r="AD139" i="29"/>
  <c r="AE139" i="29" s="1"/>
  <c r="AE140" i="29" s="1"/>
  <c r="Z148" i="29"/>
  <c r="AB143" i="29"/>
  <c r="AB144" i="29" s="1"/>
  <c r="AA141" i="29"/>
  <c r="AB141" i="29" s="1"/>
  <c r="AB142" i="29" s="1"/>
  <c r="AA139" i="29"/>
  <c r="AB139" i="29" s="1"/>
  <c r="AB140" i="29" s="1"/>
  <c r="AB137" i="29"/>
  <c r="AB138" i="29" s="1"/>
  <c r="AA133" i="29"/>
  <c r="AB133" i="29" s="1"/>
  <c r="AB134" i="29" s="1"/>
  <c r="X143" i="29"/>
  <c r="Y143" i="29" s="1"/>
  <c r="Y144" i="29" s="1"/>
  <c r="Y139" i="29"/>
  <c r="Y140" i="29" s="1"/>
  <c r="Y137" i="29"/>
  <c r="Y138" i="29" s="1"/>
  <c r="X135" i="29"/>
  <c r="Y135" i="29" s="1"/>
  <c r="Y136" i="29" s="1"/>
  <c r="X133" i="29"/>
  <c r="Y133" i="29" s="1"/>
  <c r="Y134" i="29" s="1"/>
  <c r="X127" i="29"/>
  <c r="X128" i="29" s="1"/>
  <c r="AA127" i="29"/>
  <c r="AA128" i="29" s="1"/>
  <c r="Y147" i="29"/>
  <c r="Y148" i="29" s="1"/>
  <c r="Y129" i="29"/>
  <c r="Y130" i="29" s="1"/>
  <c r="X130" i="29"/>
  <c r="AE131" i="29"/>
  <c r="AD132" i="29"/>
  <c r="AD127" i="29"/>
  <c r="AB129" i="29"/>
  <c r="AB130" i="29" s="1"/>
  <c r="Y131" i="29"/>
  <c r="Y132" i="29" s="1"/>
  <c r="AE129" i="29"/>
  <c r="AD130" i="29"/>
  <c r="AB131" i="29"/>
  <c r="AB132" i="29" s="1"/>
  <c r="AA132" i="29"/>
  <c r="AC130" i="29"/>
  <c r="Z132" i="29"/>
  <c r="AD133" i="29"/>
  <c r="AC134" i="29"/>
  <c r="W130" i="29"/>
  <c r="AC132" i="29"/>
  <c r="AB135" i="29"/>
  <c r="AB136" i="29" s="1"/>
  <c r="AA136" i="29"/>
  <c r="Z130" i="29"/>
  <c r="W132" i="29"/>
  <c r="AE135" i="29"/>
  <c r="AD136" i="29"/>
  <c r="Z136" i="29"/>
  <c r="Z138" i="29"/>
  <c r="AC136" i="29"/>
  <c r="W140" i="29"/>
  <c r="X141" i="29"/>
  <c r="W142" i="29"/>
  <c r="AE147" i="29"/>
  <c r="AD148" i="29"/>
  <c r="AF149" i="29"/>
  <c r="AG149" i="29" s="1"/>
  <c r="AH149" i="29" s="1"/>
  <c r="AH150" i="29" s="1"/>
  <c r="AE150" i="29"/>
  <c r="W138" i="29"/>
  <c r="AE145" i="29"/>
  <c r="AD146" i="29"/>
  <c r="AB147" i="29"/>
  <c r="AB148" i="29" s="1"/>
  <c r="AA148" i="29"/>
  <c r="Y145" i="29"/>
  <c r="Y146" i="29" s="1"/>
  <c r="X146" i="29"/>
  <c r="AC142" i="29"/>
  <c r="Z144" i="29"/>
  <c r="AB145" i="29"/>
  <c r="AB146" i="29" s="1"/>
  <c r="X150" i="29"/>
  <c r="W146" i="29"/>
  <c r="Y150" i="29"/>
  <c r="AC148" i="29"/>
  <c r="Z150" i="29"/>
  <c r="AA150" i="29"/>
  <c r="Z146" i="29"/>
  <c r="W148" i="29"/>
  <c r="AB150" i="29"/>
  <c r="AC150" i="29"/>
  <c r="AD150" i="29"/>
  <c r="AE138" i="29" l="1"/>
  <c r="AD138" i="29"/>
  <c r="AA142" i="29"/>
  <c r="AB126" i="29" s="1"/>
  <c r="X136" i="29"/>
  <c r="X134" i="29"/>
  <c r="AD144" i="29"/>
  <c r="AF143" i="29"/>
  <c r="AG143" i="29" s="1"/>
  <c r="AE142" i="29"/>
  <c r="AG141" i="29"/>
  <c r="AH141" i="29" s="1"/>
  <c r="AF139" i="29"/>
  <c r="AF140" i="29" s="1"/>
  <c r="AD140" i="29"/>
  <c r="AA140" i="29"/>
  <c r="AA134" i="29"/>
  <c r="X144" i="29"/>
  <c r="X126" i="29"/>
  <c r="Y127" i="29"/>
  <c r="Y128" i="29" s="1"/>
  <c r="AG150" i="29"/>
  <c r="AB127" i="29"/>
  <c r="AB128" i="29" s="1"/>
  <c r="AC126" i="29" s="1"/>
  <c r="AD126" i="29"/>
  <c r="AF147" i="29"/>
  <c r="AE148" i="29"/>
  <c r="AF131" i="29"/>
  <c r="AE132" i="29"/>
  <c r="AF138" i="29"/>
  <c r="AG137" i="29"/>
  <c r="AE136" i="29"/>
  <c r="AF135" i="29"/>
  <c r="X142" i="29"/>
  <c r="Y141" i="29"/>
  <c r="Y142" i="29" s="1"/>
  <c r="AF150" i="29"/>
  <c r="AA126" i="29"/>
  <c r="AE133" i="29"/>
  <c r="AD134" i="29"/>
  <c r="AF129" i="29"/>
  <c r="AE130" i="29"/>
  <c r="AF145" i="29"/>
  <c r="AE146" i="29"/>
  <c r="AD128" i="29"/>
  <c r="AE127" i="29"/>
  <c r="B35" i="30"/>
  <c r="B49" i="30"/>
  <c r="B42" i="30"/>
  <c r="B47" i="30"/>
  <c r="B46" i="30"/>
  <c r="B40" i="30"/>
  <c r="B33" i="30"/>
  <c r="B32" i="30"/>
  <c r="B39" i="30"/>
  <c r="C27" i="30"/>
  <c r="B27" i="30"/>
  <c r="C26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3" i="30"/>
  <c r="B12" i="30"/>
  <c r="C10" i="30"/>
  <c r="L7" i="30"/>
  <c r="B76" i="29" s="1"/>
  <c r="K7" i="30"/>
  <c r="B75" i="29" s="1"/>
  <c r="J7" i="30"/>
  <c r="B72" i="29" s="1"/>
  <c r="I7" i="30"/>
  <c r="B71" i="29" s="1"/>
  <c r="H7" i="30"/>
  <c r="B70" i="29" s="1"/>
  <c r="G7" i="30"/>
  <c r="B69" i="29" s="1"/>
  <c r="F7" i="30"/>
  <c r="B68" i="29" s="1"/>
  <c r="E7" i="30"/>
  <c r="B67" i="29" s="1"/>
  <c r="D7" i="30"/>
  <c r="B66" i="29" s="1"/>
  <c r="C7" i="30"/>
  <c r="V8" i="29"/>
  <c r="C13" i="30" s="1"/>
  <c r="AC121" i="29"/>
  <c r="AC122" i="29" s="1"/>
  <c r="Z121" i="29"/>
  <c r="W121" i="29"/>
  <c r="W122" i="29" s="1"/>
  <c r="S121" i="29"/>
  <c r="R121" i="29"/>
  <c r="AC119" i="29"/>
  <c r="Z119" i="29"/>
  <c r="Z120" i="29" s="1"/>
  <c r="W119" i="29"/>
  <c r="W120" i="29" s="1"/>
  <c r="S119" i="29"/>
  <c r="R119" i="29"/>
  <c r="AC117" i="29"/>
  <c r="AD117" i="29" s="1"/>
  <c r="Z117" i="29"/>
  <c r="Z118" i="29" s="1"/>
  <c r="W117" i="29"/>
  <c r="W118" i="29" s="1"/>
  <c r="S117" i="29"/>
  <c r="R117" i="29"/>
  <c r="AC115" i="29"/>
  <c r="AC116" i="29" s="1"/>
  <c r="Z115" i="29"/>
  <c r="Z116" i="29" s="1"/>
  <c r="W115" i="29"/>
  <c r="X115" i="29" s="1"/>
  <c r="S115" i="29"/>
  <c r="R115" i="29"/>
  <c r="AC113" i="29"/>
  <c r="AC114" i="29" s="1"/>
  <c r="Z113" i="29"/>
  <c r="AA113" i="29" s="1"/>
  <c r="W113" i="29"/>
  <c r="W114" i="29" s="1"/>
  <c r="S113" i="29"/>
  <c r="R113" i="29"/>
  <c r="AC111" i="29"/>
  <c r="AD111" i="29" s="1"/>
  <c r="Z111" i="29"/>
  <c r="Z112" i="29" s="1"/>
  <c r="W111" i="29"/>
  <c r="X111" i="29" s="1"/>
  <c r="X112" i="29" s="1"/>
  <c r="S111" i="29"/>
  <c r="R111" i="29"/>
  <c r="AC109" i="29"/>
  <c r="AC110" i="29" s="1"/>
  <c r="Z109" i="29"/>
  <c r="AA109" i="29" s="1"/>
  <c r="AA110" i="29" s="1"/>
  <c r="W109" i="29"/>
  <c r="W110" i="29" s="1"/>
  <c r="S109" i="29"/>
  <c r="R109" i="29"/>
  <c r="AC107" i="29"/>
  <c r="AD107" i="29" s="1"/>
  <c r="AD108" i="29" s="1"/>
  <c r="Z107" i="29"/>
  <c r="Z108" i="29" s="1"/>
  <c r="W107" i="29"/>
  <c r="S107" i="29"/>
  <c r="R107" i="29"/>
  <c r="AC105" i="29"/>
  <c r="AC106" i="29" s="1"/>
  <c r="Z105" i="29"/>
  <c r="W105" i="29"/>
  <c r="X105" i="29" s="1"/>
  <c r="S105" i="29"/>
  <c r="R105" i="29"/>
  <c r="AC103" i="29"/>
  <c r="Z103" i="29"/>
  <c r="AA103" i="29" s="1"/>
  <c r="W103" i="29"/>
  <c r="W104" i="29" s="1"/>
  <c r="S103" i="29"/>
  <c r="R103" i="29"/>
  <c r="AC101" i="29"/>
  <c r="AD101" i="29" s="1"/>
  <c r="Z101" i="29"/>
  <c r="Z102" i="29" s="1"/>
  <c r="W101" i="29"/>
  <c r="W102" i="29" s="1"/>
  <c r="S101" i="29"/>
  <c r="R101" i="29"/>
  <c r="W100" i="29"/>
  <c r="AD95" i="29"/>
  <c r="AA95" i="29"/>
  <c r="R95" i="29"/>
  <c r="AC93" i="29"/>
  <c r="AC94" i="29" s="1"/>
  <c r="Z93" i="29"/>
  <c r="AA93" i="29" s="1"/>
  <c r="AA94" i="29" s="1"/>
  <c r="W93" i="29"/>
  <c r="W94" i="29" s="1"/>
  <c r="R93" i="29"/>
  <c r="AC91" i="29"/>
  <c r="AD91" i="29" s="1"/>
  <c r="AD92" i="29" s="1"/>
  <c r="Z91" i="29"/>
  <c r="Z92" i="29" s="1"/>
  <c r="W91" i="29"/>
  <c r="S91" i="29"/>
  <c r="R91" i="29"/>
  <c r="AC89" i="29"/>
  <c r="AC90" i="29" s="1"/>
  <c r="Z89" i="29"/>
  <c r="W89" i="29"/>
  <c r="X89" i="29" s="1"/>
  <c r="S89" i="29"/>
  <c r="R89" i="29"/>
  <c r="AC87" i="29"/>
  <c r="Z87" i="29"/>
  <c r="AA87" i="29" s="1"/>
  <c r="W87" i="29"/>
  <c r="W88" i="29" s="1"/>
  <c r="S87" i="29"/>
  <c r="R87" i="29"/>
  <c r="AC85" i="29"/>
  <c r="AD85" i="29" s="1"/>
  <c r="Z85" i="29"/>
  <c r="Z86" i="29" s="1"/>
  <c r="W85" i="29"/>
  <c r="W86" i="29" s="1"/>
  <c r="S85" i="29"/>
  <c r="R85" i="29"/>
  <c r="AC83" i="29"/>
  <c r="AC84" i="29" s="1"/>
  <c r="Z83" i="29"/>
  <c r="AA83" i="29" s="1"/>
  <c r="AA84" i="29" s="1"/>
  <c r="W83" i="29"/>
  <c r="W84" i="29" s="1"/>
  <c r="S83" i="29"/>
  <c r="R83" i="29"/>
  <c r="AC81" i="29"/>
  <c r="AD81" i="29" s="1"/>
  <c r="AD82" i="29" s="1"/>
  <c r="Z81" i="29"/>
  <c r="Z82" i="29" s="1"/>
  <c r="W81" i="29"/>
  <c r="S81" i="29"/>
  <c r="R81" i="29"/>
  <c r="AC79" i="29"/>
  <c r="AC80" i="29" s="1"/>
  <c r="Z79" i="29"/>
  <c r="W79" i="29"/>
  <c r="X79" i="29" s="1"/>
  <c r="S79" i="29"/>
  <c r="R79" i="29"/>
  <c r="AC77" i="29"/>
  <c r="Z77" i="29"/>
  <c r="AA77" i="29" s="1"/>
  <c r="W77" i="29"/>
  <c r="W78" i="29" s="1"/>
  <c r="S77" i="29"/>
  <c r="AC69" i="29"/>
  <c r="AD69" i="29" s="1"/>
  <c r="AD70" i="29" s="1"/>
  <c r="Z69" i="29"/>
  <c r="Z70" i="29" s="1"/>
  <c r="W69" i="29"/>
  <c r="R69" i="29"/>
  <c r="AC67" i="29"/>
  <c r="AC68" i="29" s="1"/>
  <c r="Z67" i="29"/>
  <c r="W67" i="29"/>
  <c r="X67" i="29" s="1"/>
  <c r="R67" i="29"/>
  <c r="AC65" i="29"/>
  <c r="AC66" i="29" s="1"/>
  <c r="Z65" i="29"/>
  <c r="Z66" i="29" s="1"/>
  <c r="W65" i="29"/>
  <c r="W66" i="29" s="1"/>
  <c r="R65" i="29"/>
  <c r="AC63" i="29"/>
  <c r="AC64" i="29" s="1"/>
  <c r="Z63" i="29"/>
  <c r="Z64" i="29" s="1"/>
  <c r="W63" i="29"/>
  <c r="R63" i="29"/>
  <c r="B62" i="29"/>
  <c r="B61" i="29"/>
  <c r="B56" i="29"/>
  <c r="B55" i="29"/>
  <c r="B54" i="29"/>
  <c r="AC55" i="29"/>
  <c r="AD55" i="29" s="1"/>
  <c r="Z55" i="29"/>
  <c r="AA55" i="29" s="1"/>
  <c r="W55" i="29"/>
  <c r="W56" i="29" s="1"/>
  <c r="R55" i="29"/>
  <c r="B53" i="29"/>
  <c r="B52" i="29"/>
  <c r="AC51" i="29"/>
  <c r="AC52" i="29" s="1"/>
  <c r="Z51" i="29"/>
  <c r="AA51" i="29" s="1"/>
  <c r="W51" i="29"/>
  <c r="X51" i="29" s="1"/>
  <c r="Y51" i="29" s="1"/>
  <c r="Y52" i="29" s="1"/>
  <c r="R51" i="29"/>
  <c r="B51" i="29"/>
  <c r="B50" i="29"/>
  <c r="AC49" i="29"/>
  <c r="AC50" i="29" s="1"/>
  <c r="Z49" i="29"/>
  <c r="Z50" i="29" s="1"/>
  <c r="W49" i="29"/>
  <c r="X49" i="29" s="1"/>
  <c r="R49" i="29"/>
  <c r="B49" i="29"/>
  <c r="AI31" i="29" s="1"/>
  <c r="D27" i="30" s="1"/>
  <c r="V48" i="29"/>
  <c r="B44" i="29"/>
  <c r="B43" i="29"/>
  <c r="B42" i="29"/>
  <c r="AC41" i="29"/>
  <c r="AC42" i="29" s="1"/>
  <c r="Z41" i="29"/>
  <c r="Z42" i="29" s="1"/>
  <c r="W41" i="29"/>
  <c r="X41" i="29" s="1"/>
  <c r="R41" i="29"/>
  <c r="B41" i="29"/>
  <c r="B40" i="29"/>
  <c r="AC39" i="29"/>
  <c r="AD39" i="29" s="1"/>
  <c r="Z39" i="29"/>
  <c r="AA39" i="29" s="1"/>
  <c r="W39" i="29"/>
  <c r="X39" i="29" s="1"/>
  <c r="X40" i="29" s="1"/>
  <c r="R39" i="29"/>
  <c r="B39" i="29"/>
  <c r="B38" i="29"/>
  <c r="AC37" i="29"/>
  <c r="AC38" i="29" s="1"/>
  <c r="Z37" i="29"/>
  <c r="AA37" i="29" s="1"/>
  <c r="W37" i="29"/>
  <c r="X37" i="29" s="1"/>
  <c r="R37" i="29"/>
  <c r="B37" i="29"/>
  <c r="B36" i="29"/>
  <c r="AI53" i="29" s="1"/>
  <c r="AC35" i="29"/>
  <c r="AC36" i="29" s="1"/>
  <c r="Z35" i="29"/>
  <c r="Z36" i="29" s="1"/>
  <c r="W35" i="29"/>
  <c r="X35" i="29" s="1"/>
  <c r="R35" i="29"/>
  <c r="B35" i="29"/>
  <c r="AI30" i="29" s="1"/>
  <c r="D26" i="30" s="1"/>
  <c r="V34" i="29"/>
  <c r="V32" i="29"/>
  <c r="C25" i="30" s="1"/>
  <c r="V24" i="29"/>
  <c r="DO24" i="29" s="1"/>
  <c r="EA23" i="29"/>
  <c r="DO23" i="29"/>
  <c r="DC23" i="29"/>
  <c r="CQ23" i="29"/>
  <c r="CE23" i="29"/>
  <c r="BS23" i="29"/>
  <c r="BG23" i="29"/>
  <c r="AU23" i="29"/>
  <c r="AI23" i="29"/>
  <c r="V22" i="29"/>
  <c r="V21" i="29"/>
  <c r="DO21" i="29" s="1"/>
  <c r="V20" i="29"/>
  <c r="DC20" i="29" s="1"/>
  <c r="EA19" i="29"/>
  <c r="DO19" i="29"/>
  <c r="DC19" i="29"/>
  <c r="CQ19" i="29"/>
  <c r="CE19" i="29"/>
  <c r="BS19" i="29"/>
  <c r="BG19" i="29"/>
  <c r="AU19" i="29"/>
  <c r="AI19" i="29"/>
  <c r="EA18" i="29"/>
  <c r="DO18" i="29"/>
  <c r="DC18" i="29"/>
  <c r="CQ18" i="29"/>
  <c r="CE18" i="29"/>
  <c r="BS18" i="29"/>
  <c r="BG18" i="29"/>
  <c r="AU18" i="29"/>
  <c r="AI18" i="29"/>
  <c r="EA17" i="29"/>
  <c r="DO17" i="29"/>
  <c r="DC17" i="29"/>
  <c r="CQ17" i="29"/>
  <c r="CE17" i="29"/>
  <c r="BS17" i="29"/>
  <c r="BG17" i="29"/>
  <c r="AU17" i="29"/>
  <c r="AI17" i="29"/>
  <c r="EA16" i="29"/>
  <c r="DO16" i="29"/>
  <c r="DC16" i="29"/>
  <c r="CQ16" i="29"/>
  <c r="CE16" i="29"/>
  <c r="BS16" i="29"/>
  <c r="BG16" i="29"/>
  <c r="AU16" i="29"/>
  <c r="AI16" i="29"/>
  <c r="V14" i="29"/>
  <c r="C16" i="30" s="1"/>
  <c r="V12" i="29"/>
  <c r="C23" i="30" s="1"/>
  <c r="V11" i="29"/>
  <c r="C22" i="30" s="1"/>
  <c r="X5" i="29"/>
  <c r="Y5" i="29" s="1"/>
  <c r="Z5" i="29" s="1"/>
  <c r="W4" i="29"/>
  <c r="W3" i="29" s="1"/>
  <c r="BI126" i="2"/>
  <c r="BK126" i="2" s="1"/>
  <c r="AT126" i="2"/>
  <c r="AV126" i="2" s="1"/>
  <c r="BG122" i="2"/>
  <c r="AR122" i="2"/>
  <c r="BG120" i="2"/>
  <c r="AR120" i="2"/>
  <c r="BI118" i="2"/>
  <c r="BK118" i="2" s="1"/>
  <c r="BG118" i="2"/>
  <c r="AT118" i="2"/>
  <c r="AV118" i="2" s="1"/>
  <c r="AR118" i="2"/>
  <c r="AH117" i="2"/>
  <c r="AF117" i="2"/>
  <c r="O117" i="2"/>
  <c r="O114" i="2"/>
  <c r="BX113" i="2"/>
  <c r="BZ113" i="2" s="1"/>
  <c r="BI113" i="2"/>
  <c r="BK113" i="2" s="1"/>
  <c r="AT113" i="2"/>
  <c r="AV113" i="2" s="1"/>
  <c r="AT111" i="2"/>
  <c r="AV111" i="2" s="1"/>
  <c r="AD111" i="2"/>
  <c r="O111" i="2"/>
  <c r="M111" i="2"/>
  <c r="BV109" i="2"/>
  <c r="BG109" i="2"/>
  <c r="AT109" i="2"/>
  <c r="AV109" i="2" s="1"/>
  <c r="AR109" i="2"/>
  <c r="AD108" i="2"/>
  <c r="O108" i="2"/>
  <c r="M108" i="2"/>
  <c r="BV107" i="2"/>
  <c r="BG107" i="2"/>
  <c r="AT107" i="2"/>
  <c r="AV107" i="2" s="1"/>
  <c r="AR107" i="2"/>
  <c r="BX105" i="2"/>
  <c r="BZ105" i="2" s="1"/>
  <c r="BV105" i="2"/>
  <c r="BI105" i="2"/>
  <c r="BK105" i="2" s="1"/>
  <c r="BG105" i="2"/>
  <c r="AR105" i="2"/>
  <c r="AF105" i="2"/>
  <c r="AD105" i="2"/>
  <c r="O105" i="2"/>
  <c r="M105" i="2"/>
  <c r="BI95" i="2"/>
  <c r="BK95" i="2" s="1"/>
  <c r="AT95" i="2"/>
  <c r="AV95" i="2" s="1"/>
  <c r="BG91" i="2"/>
  <c r="AR91" i="2"/>
  <c r="BG89" i="2"/>
  <c r="AR89" i="2"/>
  <c r="BG87" i="2"/>
  <c r="AR87" i="2"/>
  <c r="O85" i="2"/>
  <c r="O82" i="2"/>
  <c r="BI81" i="2"/>
  <c r="BK81" i="2" s="1"/>
  <c r="AT81" i="2"/>
  <c r="AV81" i="2" s="1"/>
  <c r="AT79" i="2"/>
  <c r="AV79" i="2" s="1"/>
  <c r="AD79" i="2"/>
  <c r="O79" i="2"/>
  <c r="M79" i="2"/>
  <c r="BG77" i="2"/>
  <c r="AR77" i="2"/>
  <c r="AD76" i="2"/>
  <c r="O76" i="2"/>
  <c r="M76" i="2"/>
  <c r="BG75" i="2"/>
  <c r="AR75" i="2"/>
  <c r="BG73" i="2"/>
  <c r="AR73" i="2"/>
  <c r="AD73" i="2"/>
  <c r="O73" i="2"/>
  <c r="M73" i="2"/>
  <c r="AT63" i="2"/>
  <c r="AV63" i="2" s="1"/>
  <c r="AT61" i="2"/>
  <c r="AV61" i="2" s="1"/>
  <c r="AT59" i="2"/>
  <c r="AV59" i="2" s="1"/>
  <c r="AR59" i="2"/>
  <c r="AT57" i="2"/>
  <c r="AV57" i="2" s="1"/>
  <c r="AR57" i="2"/>
  <c r="AT55" i="2"/>
  <c r="AV55" i="2" s="1"/>
  <c r="AR55" i="2"/>
  <c r="O53" i="2"/>
  <c r="Q53" i="2" s="1"/>
  <c r="O50" i="2"/>
  <c r="Q50" i="2" s="1"/>
  <c r="AT49" i="2"/>
  <c r="AV49" i="2" s="1"/>
  <c r="AD47" i="2"/>
  <c r="O47" i="2"/>
  <c r="Q47" i="2" s="1"/>
  <c r="M47" i="2"/>
  <c r="AR45" i="2"/>
  <c r="AD44" i="2"/>
  <c r="O44" i="2"/>
  <c r="Q44" i="2" s="1"/>
  <c r="M44" i="2"/>
  <c r="AR43" i="2"/>
  <c r="AR41" i="2"/>
  <c r="AD41" i="2"/>
  <c r="O41" i="2"/>
  <c r="Q41" i="2" s="1"/>
  <c r="M41" i="2"/>
  <c r="BI31" i="2"/>
  <c r="BK31" i="2" s="1"/>
  <c r="AT31" i="2"/>
  <c r="AV31" i="2" s="1"/>
  <c r="AT29" i="2"/>
  <c r="AV29" i="2" s="1"/>
  <c r="BI27" i="2"/>
  <c r="BK27" i="2" s="1"/>
  <c r="BG27" i="2"/>
  <c r="AT27" i="2"/>
  <c r="AV27" i="2" s="1"/>
  <c r="AR27" i="2"/>
  <c r="BI25" i="2"/>
  <c r="BK25" i="2" s="1"/>
  <c r="BG25" i="2"/>
  <c r="AT25" i="2"/>
  <c r="AV25" i="2" s="1"/>
  <c r="AR25" i="2"/>
  <c r="BI23" i="2"/>
  <c r="BK23" i="2" s="1"/>
  <c r="BG23" i="2"/>
  <c r="AT23" i="2"/>
  <c r="AV23" i="2" s="1"/>
  <c r="AR23" i="2"/>
  <c r="AH22" i="2"/>
  <c r="AF22" i="2"/>
  <c r="O22" i="2"/>
  <c r="AH19" i="2"/>
  <c r="AF19" i="2"/>
  <c r="O19" i="2"/>
  <c r="BI18" i="2"/>
  <c r="BK18" i="2" s="1"/>
  <c r="AT18" i="2"/>
  <c r="AV18" i="2" s="1"/>
  <c r="BI16" i="2"/>
  <c r="BK16" i="2" s="1"/>
  <c r="AT16" i="2"/>
  <c r="AV16" i="2" s="1"/>
  <c r="AH16" i="2"/>
  <c r="AF16" i="2"/>
  <c r="AD16" i="2"/>
  <c r="O16" i="2"/>
  <c r="M16" i="2"/>
  <c r="BI14" i="2"/>
  <c r="BK14" i="2" s="1"/>
  <c r="BG14" i="2"/>
  <c r="AT14" i="2"/>
  <c r="AV14" i="2" s="1"/>
  <c r="AR14" i="2"/>
  <c r="AH13" i="2"/>
  <c r="AF13" i="2"/>
  <c r="AD13" i="2"/>
  <c r="O13" i="2"/>
  <c r="M13" i="2"/>
  <c r="BI12" i="2"/>
  <c r="BK12" i="2" s="1"/>
  <c r="BG12" i="2"/>
  <c r="AT12" i="2"/>
  <c r="AV12" i="2" s="1"/>
  <c r="AR12" i="2"/>
  <c r="BI10" i="2"/>
  <c r="BK10" i="2" s="1"/>
  <c r="BG10" i="2"/>
  <c r="AT10" i="2"/>
  <c r="AV10" i="2" s="1"/>
  <c r="AR10" i="2"/>
  <c r="AH10" i="2"/>
  <c r="AF10" i="2"/>
  <c r="AD10" i="2"/>
  <c r="M10" i="2"/>
  <c r="M8" i="2"/>
  <c r="BA52" i="6"/>
  <c r="AU52" i="6"/>
  <c r="AO52" i="6"/>
  <c r="AA52" i="6"/>
  <c r="BA51" i="6"/>
  <c r="AU51" i="6"/>
  <c r="AO51" i="6"/>
  <c r="AA51" i="6"/>
  <c r="BX50" i="6"/>
  <c r="CD50" i="6" s="1"/>
  <c r="BW50" i="6"/>
  <c r="CC50" i="6" s="1"/>
  <c r="BS50" i="6"/>
  <c r="BM50" i="6"/>
  <c r="BA50" i="6"/>
  <c r="AU50" i="6"/>
  <c r="AO50" i="6"/>
  <c r="AA50" i="6"/>
  <c r="BX49" i="6"/>
  <c r="CD49" i="6" s="1"/>
  <c r="BW49" i="6"/>
  <c r="CC49" i="6" s="1"/>
  <c r="BS49" i="6"/>
  <c r="BM49" i="6"/>
  <c r="BG49" i="6"/>
  <c r="BA49" i="6"/>
  <c r="AU49" i="6"/>
  <c r="AO49" i="6"/>
  <c r="AA49" i="6"/>
  <c r="BX48" i="6"/>
  <c r="CD48" i="6" s="1"/>
  <c r="BW48" i="6"/>
  <c r="CC48" i="6" s="1"/>
  <c r="BV48" i="6"/>
  <c r="BU48" i="6"/>
  <c r="BT48" i="6"/>
  <c r="BS48" i="6"/>
  <c r="BP48" i="6"/>
  <c r="BO48" i="6"/>
  <c r="BN48" i="6"/>
  <c r="BM48" i="6"/>
  <c r="BJ48" i="6"/>
  <c r="BI48" i="6"/>
  <c r="BH48" i="6"/>
  <c r="BG48" i="6"/>
  <c r="BD48" i="6"/>
  <c r="BC48" i="6"/>
  <c r="BB48" i="6"/>
  <c r="BA48" i="6"/>
  <c r="AX48" i="6"/>
  <c r="AW48" i="6"/>
  <c r="AV48" i="6"/>
  <c r="AU48" i="6"/>
  <c r="AR48" i="6"/>
  <c r="AQ48" i="6"/>
  <c r="AP48" i="6"/>
  <c r="AO48" i="6"/>
  <c r="AL48" i="6"/>
  <c r="AK48" i="6"/>
  <c r="AJ48" i="6"/>
  <c r="AI48" i="6"/>
  <c r="AB48" i="6"/>
  <c r="AC48" i="6" s="1"/>
  <c r="AA48" i="6"/>
  <c r="CD47" i="6"/>
  <c r="BX47" i="6"/>
  <c r="BY47" i="6" s="1"/>
  <c r="CE47" i="6" s="1"/>
  <c r="BW47" i="6"/>
  <c r="CC47" i="6" s="1"/>
  <c r="BV47" i="6"/>
  <c r="BU47" i="6"/>
  <c r="BT47" i="6"/>
  <c r="BS47" i="6"/>
  <c r="BP47" i="6"/>
  <c r="BO47" i="6"/>
  <c r="BN47" i="6"/>
  <c r="BM47" i="6"/>
  <c r="BJ47" i="6"/>
  <c r="BI47" i="6"/>
  <c r="BH47" i="6"/>
  <c r="BG47" i="6"/>
  <c r="BD47" i="6"/>
  <c r="BC47" i="6"/>
  <c r="BB47" i="6"/>
  <c r="BA47" i="6"/>
  <c r="AX47" i="6"/>
  <c r="AW47" i="6"/>
  <c r="AV47" i="6"/>
  <c r="AU47" i="6"/>
  <c r="AR47" i="6"/>
  <c r="AQ47" i="6"/>
  <c r="AP47" i="6"/>
  <c r="AO47" i="6"/>
  <c r="AL47" i="6"/>
  <c r="AK47" i="6"/>
  <c r="AJ47" i="6"/>
  <c r="AI47" i="6"/>
  <c r="AB47" i="6"/>
  <c r="AC47" i="6" s="1"/>
  <c r="AA47" i="6"/>
  <c r="BX46" i="6"/>
  <c r="CD46" i="6" s="1"/>
  <c r="BW46" i="6"/>
  <c r="AH105" i="2" s="1"/>
  <c r="BV46" i="6"/>
  <c r="AH108" i="2" s="1"/>
  <c r="BU46" i="6"/>
  <c r="AH111" i="2" s="1"/>
  <c r="BT46" i="6"/>
  <c r="AH114" i="2" s="1"/>
  <c r="BS46" i="6"/>
  <c r="BP46" i="6"/>
  <c r="AF108" i="2" s="1"/>
  <c r="BO46" i="6"/>
  <c r="AF111" i="2" s="1"/>
  <c r="BN46" i="6"/>
  <c r="AF114" i="2" s="1"/>
  <c r="BM46" i="6"/>
  <c r="BJ46" i="6"/>
  <c r="BI46" i="6"/>
  <c r="BH46" i="6"/>
  <c r="BG46" i="6"/>
  <c r="BD46" i="6"/>
  <c r="BC46" i="6"/>
  <c r="BB46" i="6"/>
  <c r="BA46" i="6"/>
  <c r="AX46" i="6"/>
  <c r="BX107" i="2" s="1"/>
  <c r="BZ107" i="2" s="1"/>
  <c r="AW46" i="6"/>
  <c r="BX109" i="2" s="1"/>
  <c r="BZ109" i="2" s="1"/>
  <c r="AV46" i="6"/>
  <c r="BX111" i="2" s="1"/>
  <c r="BZ111" i="2" s="1"/>
  <c r="AU46" i="6"/>
  <c r="AR46" i="6"/>
  <c r="BI120" i="2" s="1"/>
  <c r="BK120" i="2" s="1"/>
  <c r="AQ46" i="6"/>
  <c r="BI122" i="2" s="1"/>
  <c r="BK122" i="2" s="1"/>
  <c r="AP46" i="6"/>
  <c r="BI124" i="2" s="1"/>
  <c r="BK124" i="2" s="1"/>
  <c r="AO46" i="6"/>
  <c r="AL46" i="6"/>
  <c r="BI107" i="2" s="1"/>
  <c r="BK107" i="2" s="1"/>
  <c r="AK46" i="6"/>
  <c r="BI109" i="2" s="1"/>
  <c r="BK109" i="2" s="1"/>
  <c r="AJ46" i="6"/>
  <c r="BI111" i="2" s="1"/>
  <c r="BK111" i="2" s="1"/>
  <c r="AI46" i="6"/>
  <c r="AB46" i="6"/>
  <c r="AC46" i="6" s="1"/>
  <c r="AA46" i="6"/>
  <c r="AT105" i="2" s="1"/>
  <c r="AV105" i="2" s="1"/>
  <c r="CD45" i="6"/>
  <c r="BX45" i="6"/>
  <c r="BY45" i="6" s="1"/>
  <c r="CE45" i="6" s="1"/>
  <c r="BW45" i="6"/>
  <c r="CC45" i="6" s="1"/>
  <c r="BV45" i="6"/>
  <c r="BU45" i="6"/>
  <c r="BT45" i="6"/>
  <c r="BS45" i="6"/>
  <c r="BP45" i="6"/>
  <c r="BO45" i="6"/>
  <c r="BN45" i="6"/>
  <c r="BM45" i="6"/>
  <c r="BJ45" i="6"/>
  <c r="BI45" i="6"/>
  <c r="BH45" i="6"/>
  <c r="BG45" i="6"/>
  <c r="BD45" i="6"/>
  <c r="BC45" i="6"/>
  <c r="BB45" i="6"/>
  <c r="BA45" i="6"/>
  <c r="AX45" i="6"/>
  <c r="AW45" i="6"/>
  <c r="AV45" i="6"/>
  <c r="AU45" i="6"/>
  <c r="AR45" i="6"/>
  <c r="AQ45" i="6"/>
  <c r="AP45" i="6"/>
  <c r="AO45" i="6"/>
  <c r="AL45" i="6"/>
  <c r="AK45" i="6"/>
  <c r="AJ45" i="6"/>
  <c r="AI45" i="6"/>
  <c r="AB45" i="6"/>
  <c r="AC45" i="6" s="1"/>
  <c r="AA45" i="6"/>
  <c r="BX44" i="6"/>
  <c r="CD44" i="6" s="1"/>
  <c r="BW44" i="6"/>
  <c r="CC44" i="6" s="1"/>
  <c r="BV44" i="6"/>
  <c r="BU44" i="6"/>
  <c r="BT44" i="6"/>
  <c r="BS44" i="6"/>
  <c r="BP44" i="6"/>
  <c r="BO44" i="6"/>
  <c r="BN44" i="6"/>
  <c r="BM44" i="6"/>
  <c r="BJ44" i="6"/>
  <c r="BI44" i="6"/>
  <c r="BH44" i="6"/>
  <c r="BG44" i="6"/>
  <c r="BD44" i="6"/>
  <c r="BC44" i="6"/>
  <c r="BB44" i="6"/>
  <c r="BA44" i="6"/>
  <c r="AX44" i="6"/>
  <c r="AW44" i="6"/>
  <c r="AV44" i="6"/>
  <c r="AU44" i="6"/>
  <c r="AR44" i="6"/>
  <c r="AQ44" i="6"/>
  <c r="AP44" i="6"/>
  <c r="AO44" i="6"/>
  <c r="AL44" i="6"/>
  <c r="AK44" i="6"/>
  <c r="AJ44" i="6"/>
  <c r="AI44" i="6"/>
  <c r="AB44" i="6"/>
  <c r="AC44" i="6" s="1"/>
  <c r="AA44" i="6"/>
  <c r="BX43" i="6"/>
  <c r="BY43" i="6" s="1"/>
  <c r="CE43" i="6" s="1"/>
  <c r="BW43" i="6"/>
  <c r="CA48" i="6" s="1"/>
  <c r="CG48" i="6" s="1"/>
  <c r="BV43" i="6"/>
  <c r="BU43" i="6"/>
  <c r="BT43" i="6"/>
  <c r="BS43" i="6"/>
  <c r="BP43" i="6"/>
  <c r="BO43" i="6"/>
  <c r="BN43" i="6"/>
  <c r="BM43" i="6"/>
  <c r="BJ43" i="6"/>
  <c r="BI43" i="6"/>
  <c r="BH43" i="6"/>
  <c r="BG43" i="6"/>
  <c r="BD43" i="6"/>
  <c r="BC43" i="6"/>
  <c r="BB43" i="6"/>
  <c r="BA43" i="6"/>
  <c r="AX43" i="6"/>
  <c r="AW43" i="6"/>
  <c r="AV43" i="6"/>
  <c r="AU43" i="6"/>
  <c r="AR43" i="6"/>
  <c r="AQ43" i="6"/>
  <c r="AP43" i="6"/>
  <c r="AO43" i="6"/>
  <c r="AL43" i="6"/>
  <c r="AK43" i="6"/>
  <c r="AJ43" i="6"/>
  <c r="AI43" i="6"/>
  <c r="AB43" i="6"/>
  <c r="AC43" i="6" s="1"/>
  <c r="AA43" i="6"/>
  <c r="AF48" i="6" s="1"/>
  <c r="BX42" i="6"/>
  <c r="CD42" i="6" s="1"/>
  <c r="BW42" i="6"/>
  <c r="CC42" i="6" s="1"/>
  <c r="BV42" i="6"/>
  <c r="BU42" i="6"/>
  <c r="BT42" i="6"/>
  <c r="BS42" i="6"/>
  <c r="BP42" i="6"/>
  <c r="BO42" i="6"/>
  <c r="BN42" i="6"/>
  <c r="BM42" i="6"/>
  <c r="BJ42" i="6"/>
  <c r="BI42" i="6"/>
  <c r="BH42" i="6"/>
  <c r="BG42" i="6"/>
  <c r="BD42" i="6"/>
  <c r="BC42" i="6"/>
  <c r="BB42" i="6"/>
  <c r="BA42" i="6"/>
  <c r="AX42" i="6"/>
  <c r="AW42" i="6"/>
  <c r="AV42" i="6"/>
  <c r="AU42" i="6"/>
  <c r="AR42" i="6"/>
  <c r="AQ42" i="6"/>
  <c r="AP42" i="6"/>
  <c r="AO42" i="6"/>
  <c r="AL42" i="6"/>
  <c r="AK42" i="6"/>
  <c r="AJ42" i="6"/>
  <c r="AI42" i="6"/>
  <c r="AB42" i="6"/>
  <c r="AC42" i="6" s="1"/>
  <c r="AA42" i="6"/>
  <c r="BX41" i="6"/>
  <c r="BY41" i="6" s="1"/>
  <c r="CE41" i="6" s="1"/>
  <c r="BW41" i="6"/>
  <c r="CC41" i="6" s="1"/>
  <c r="BV41" i="6"/>
  <c r="BU41" i="6"/>
  <c r="BT41" i="6"/>
  <c r="BS41" i="6"/>
  <c r="BP41" i="6"/>
  <c r="BO41" i="6"/>
  <c r="BN41" i="6"/>
  <c r="BM41" i="6"/>
  <c r="BJ41" i="6"/>
  <c r="BI41" i="6"/>
  <c r="BH41" i="6"/>
  <c r="BG41" i="6"/>
  <c r="BD41" i="6"/>
  <c r="BC41" i="6"/>
  <c r="BB41" i="6"/>
  <c r="BA41" i="6"/>
  <c r="AX41" i="6"/>
  <c r="AW41" i="6"/>
  <c r="AV41" i="6"/>
  <c r="AU41" i="6"/>
  <c r="AR41" i="6"/>
  <c r="AQ41" i="6"/>
  <c r="AP41" i="6"/>
  <c r="AO41" i="6"/>
  <c r="AL41" i="6"/>
  <c r="AK41" i="6"/>
  <c r="AJ41" i="6"/>
  <c r="AI41" i="6"/>
  <c r="AB41" i="6"/>
  <c r="AC41" i="6" s="1"/>
  <c r="AA41" i="6"/>
  <c r="BX40" i="6"/>
  <c r="BY40" i="6" s="1"/>
  <c r="CE40" i="6" s="1"/>
  <c r="BW40" i="6"/>
  <c r="BV40" i="6"/>
  <c r="BU40" i="6"/>
  <c r="BT40" i="6"/>
  <c r="BS40" i="6"/>
  <c r="BP40" i="6"/>
  <c r="BO40" i="6"/>
  <c r="BN40" i="6"/>
  <c r="BM40" i="6"/>
  <c r="BJ40" i="6"/>
  <c r="BI40" i="6"/>
  <c r="BH40" i="6"/>
  <c r="BG40" i="6"/>
  <c r="BD40" i="6"/>
  <c r="BC40" i="6"/>
  <c r="BB40" i="6"/>
  <c r="BA40" i="6"/>
  <c r="AX40" i="6"/>
  <c r="AW40" i="6"/>
  <c r="AV40" i="6"/>
  <c r="AU40" i="6"/>
  <c r="AR40" i="6"/>
  <c r="AQ40" i="6"/>
  <c r="AP40" i="6"/>
  <c r="AO40" i="6"/>
  <c r="AL40" i="6"/>
  <c r="AK40" i="6"/>
  <c r="AJ40" i="6"/>
  <c r="AI40" i="6"/>
  <c r="AB40" i="6"/>
  <c r="AC40" i="6" s="1"/>
  <c r="AA40" i="6"/>
  <c r="BX39" i="6"/>
  <c r="BY39" i="6" s="1"/>
  <c r="CE39" i="6" s="1"/>
  <c r="BW39" i="6"/>
  <c r="CA44" i="6" s="1"/>
  <c r="CG44" i="6" s="1"/>
  <c r="BV39" i="6"/>
  <c r="BU39" i="6"/>
  <c r="BT39" i="6"/>
  <c r="BS39" i="6"/>
  <c r="BP39" i="6"/>
  <c r="BO39" i="6"/>
  <c r="BN39" i="6"/>
  <c r="BM39" i="6"/>
  <c r="BJ39" i="6"/>
  <c r="BI39" i="6"/>
  <c r="BH39" i="6"/>
  <c r="BG39" i="6"/>
  <c r="BD39" i="6"/>
  <c r="BC39" i="6"/>
  <c r="BB39" i="6"/>
  <c r="BA39" i="6"/>
  <c r="AX39" i="6"/>
  <c r="AW39" i="6"/>
  <c r="AV39" i="6"/>
  <c r="AU39" i="6"/>
  <c r="AR39" i="6"/>
  <c r="AQ39" i="6"/>
  <c r="AP39" i="6"/>
  <c r="AO39" i="6"/>
  <c r="AL39" i="6"/>
  <c r="AK39" i="6"/>
  <c r="AJ39" i="6"/>
  <c r="AI39" i="6"/>
  <c r="AB39" i="6"/>
  <c r="AC39" i="6" s="1"/>
  <c r="AA39" i="6"/>
  <c r="AF44" i="6" s="1"/>
  <c r="CC38" i="6"/>
  <c r="BX38" i="6"/>
  <c r="CD38" i="6" s="1"/>
  <c r="BW38" i="6"/>
  <c r="BV38" i="6"/>
  <c r="BU38" i="6"/>
  <c r="BT38" i="6"/>
  <c r="BS38" i="6"/>
  <c r="BP38" i="6"/>
  <c r="BO38" i="6"/>
  <c r="BN38" i="6"/>
  <c r="BM38" i="6"/>
  <c r="BJ38" i="6"/>
  <c r="BI38" i="6"/>
  <c r="BH38" i="6"/>
  <c r="BG38" i="6"/>
  <c r="BD38" i="6"/>
  <c r="BC38" i="6"/>
  <c r="BB38" i="6"/>
  <c r="BA38" i="6"/>
  <c r="AX38" i="6"/>
  <c r="AW38" i="6"/>
  <c r="AV38" i="6"/>
  <c r="AU38" i="6"/>
  <c r="AR38" i="6"/>
  <c r="AQ38" i="6"/>
  <c r="AP38" i="6"/>
  <c r="AO38" i="6"/>
  <c r="AL38" i="6"/>
  <c r="AK38" i="6"/>
  <c r="AJ38" i="6"/>
  <c r="AI38" i="6"/>
  <c r="AB38" i="6"/>
  <c r="AC38" i="6" s="1"/>
  <c r="AA38" i="6"/>
  <c r="BX37" i="6"/>
  <c r="BY37" i="6" s="1"/>
  <c r="CE37" i="6" s="1"/>
  <c r="BW37" i="6"/>
  <c r="CC37" i="6" s="1"/>
  <c r="BV37" i="6"/>
  <c r="BU37" i="6"/>
  <c r="BT37" i="6"/>
  <c r="BS37" i="6"/>
  <c r="BP37" i="6"/>
  <c r="BO37" i="6"/>
  <c r="BN37" i="6"/>
  <c r="BM37" i="6"/>
  <c r="BJ37" i="6"/>
  <c r="BI37" i="6"/>
  <c r="BH37" i="6"/>
  <c r="BG37" i="6"/>
  <c r="BD37" i="6"/>
  <c r="BC37" i="6"/>
  <c r="BB37" i="6"/>
  <c r="BA37" i="6"/>
  <c r="AX37" i="6"/>
  <c r="AW37" i="6"/>
  <c r="AV37" i="6"/>
  <c r="AU37" i="6"/>
  <c r="AR37" i="6"/>
  <c r="AQ37" i="6"/>
  <c r="AP37" i="6"/>
  <c r="AO37" i="6"/>
  <c r="AL37" i="6"/>
  <c r="AK37" i="6"/>
  <c r="AJ37" i="6"/>
  <c r="AI37" i="6"/>
  <c r="AB37" i="6"/>
  <c r="AC37" i="6" s="1"/>
  <c r="AA37" i="6"/>
  <c r="BX36" i="6"/>
  <c r="BY36" i="6" s="1"/>
  <c r="CE36" i="6" s="1"/>
  <c r="BW36" i="6"/>
  <c r="BV36" i="6"/>
  <c r="BU36" i="6"/>
  <c r="BT36" i="6"/>
  <c r="BS36" i="6"/>
  <c r="BP36" i="6"/>
  <c r="BO36" i="6"/>
  <c r="BN36" i="6"/>
  <c r="BM36" i="6"/>
  <c r="BJ36" i="6"/>
  <c r="BI36" i="6"/>
  <c r="BH36" i="6"/>
  <c r="BG36" i="6"/>
  <c r="BD36" i="6"/>
  <c r="BC36" i="6"/>
  <c r="BB36" i="6"/>
  <c r="BA36" i="6"/>
  <c r="AX36" i="6"/>
  <c r="AW36" i="6"/>
  <c r="AV36" i="6"/>
  <c r="AU36" i="6"/>
  <c r="AR36" i="6"/>
  <c r="AQ36" i="6"/>
  <c r="AP36" i="6"/>
  <c r="AO36" i="6"/>
  <c r="AL36" i="6"/>
  <c r="AK36" i="6"/>
  <c r="AJ36" i="6"/>
  <c r="AI36" i="6"/>
  <c r="AB36" i="6"/>
  <c r="AC36" i="6" s="1"/>
  <c r="AA36" i="6"/>
  <c r="BX35" i="6"/>
  <c r="BY35" i="6" s="1"/>
  <c r="CE35" i="6" s="1"/>
  <c r="BW35" i="6"/>
  <c r="BV35" i="6"/>
  <c r="BU35" i="6"/>
  <c r="BT35" i="6"/>
  <c r="BS35" i="6"/>
  <c r="BP35" i="6"/>
  <c r="BO35" i="6"/>
  <c r="BN35" i="6"/>
  <c r="BM35" i="6"/>
  <c r="BJ35" i="6"/>
  <c r="BI35" i="6"/>
  <c r="BH35" i="6"/>
  <c r="BG35" i="6"/>
  <c r="BD35" i="6"/>
  <c r="BC35" i="6"/>
  <c r="BB35" i="6"/>
  <c r="BA35" i="6"/>
  <c r="AX35" i="6"/>
  <c r="AW35" i="6"/>
  <c r="AV35" i="6"/>
  <c r="AU35" i="6"/>
  <c r="AR35" i="6"/>
  <c r="AQ35" i="6"/>
  <c r="AP35" i="6"/>
  <c r="AO35" i="6"/>
  <c r="AL35" i="6"/>
  <c r="AK35" i="6"/>
  <c r="AJ35" i="6"/>
  <c r="AI35" i="6"/>
  <c r="AB35" i="6"/>
  <c r="AC35" i="6" s="1"/>
  <c r="AA35" i="6"/>
  <c r="BX34" i="6"/>
  <c r="CD34" i="6" s="1"/>
  <c r="BW34" i="6"/>
  <c r="BV34" i="6"/>
  <c r="BU34" i="6"/>
  <c r="BT34" i="6"/>
  <c r="BS34" i="6"/>
  <c r="BP34" i="6"/>
  <c r="BO34" i="6"/>
  <c r="BN34" i="6"/>
  <c r="BM34" i="6"/>
  <c r="BJ34" i="6"/>
  <c r="BI34" i="6"/>
  <c r="BH34" i="6"/>
  <c r="BG34" i="6"/>
  <c r="BD34" i="6"/>
  <c r="BC34" i="6"/>
  <c r="BB34" i="6"/>
  <c r="BA34" i="6"/>
  <c r="AX34" i="6"/>
  <c r="AW34" i="6"/>
  <c r="AV34" i="6"/>
  <c r="AU34" i="6"/>
  <c r="AR34" i="6"/>
  <c r="AQ34" i="6"/>
  <c r="AP34" i="6"/>
  <c r="AO34" i="6"/>
  <c r="AL34" i="6"/>
  <c r="AK34" i="6"/>
  <c r="AJ34" i="6"/>
  <c r="AI34" i="6"/>
  <c r="AB34" i="6"/>
  <c r="AC34" i="6" s="1"/>
  <c r="AA34" i="6"/>
  <c r="BX33" i="6"/>
  <c r="BY33" i="6" s="1"/>
  <c r="CE33" i="6" s="1"/>
  <c r="BW33" i="6"/>
  <c r="CC33" i="6" s="1"/>
  <c r="BV33" i="6"/>
  <c r="BU33" i="6"/>
  <c r="BT33" i="6"/>
  <c r="BS33" i="6"/>
  <c r="BP33" i="6"/>
  <c r="BO33" i="6"/>
  <c r="BN33" i="6"/>
  <c r="BM33" i="6"/>
  <c r="BJ33" i="6"/>
  <c r="BI33" i="6"/>
  <c r="BH33" i="6"/>
  <c r="BG33" i="6"/>
  <c r="BD33" i="6"/>
  <c r="BC33" i="6"/>
  <c r="BB33" i="6"/>
  <c r="BA33" i="6"/>
  <c r="AX33" i="6"/>
  <c r="AW33" i="6"/>
  <c r="AV33" i="6"/>
  <c r="AU33" i="6"/>
  <c r="AR33" i="6"/>
  <c r="AQ33" i="6"/>
  <c r="AP33" i="6"/>
  <c r="AO33" i="6"/>
  <c r="AL33" i="6"/>
  <c r="AK33" i="6"/>
  <c r="AJ33" i="6"/>
  <c r="AI33" i="6"/>
  <c r="AB33" i="6"/>
  <c r="AC33" i="6" s="1"/>
  <c r="AA33" i="6"/>
  <c r="AD38" i="6" s="1"/>
  <c r="BX32" i="6"/>
  <c r="BY32" i="6" s="1"/>
  <c r="CE32" i="6" s="1"/>
  <c r="BW32" i="6"/>
  <c r="BV32" i="6"/>
  <c r="BU32" i="6"/>
  <c r="BT32" i="6"/>
  <c r="BS32" i="6"/>
  <c r="BP32" i="6"/>
  <c r="BO32" i="6"/>
  <c r="BN32" i="6"/>
  <c r="BM32" i="6"/>
  <c r="BJ32" i="6"/>
  <c r="BI32" i="6"/>
  <c r="BH32" i="6"/>
  <c r="BG32" i="6"/>
  <c r="BD32" i="6"/>
  <c r="BC32" i="6"/>
  <c r="BB32" i="6"/>
  <c r="BA32" i="6"/>
  <c r="AX32" i="6"/>
  <c r="AW32" i="6"/>
  <c r="AV32" i="6"/>
  <c r="AU32" i="6"/>
  <c r="AR32" i="6"/>
  <c r="AQ32" i="6"/>
  <c r="AP32" i="6"/>
  <c r="AO32" i="6"/>
  <c r="AL32" i="6"/>
  <c r="AK32" i="6"/>
  <c r="AJ32" i="6"/>
  <c r="AI32" i="6"/>
  <c r="AB32" i="6"/>
  <c r="AC32" i="6" s="1"/>
  <c r="AA32" i="6"/>
  <c r="BX31" i="6"/>
  <c r="BY31" i="6" s="1"/>
  <c r="CE31" i="6" s="1"/>
  <c r="BW31" i="6"/>
  <c r="BV31" i="6"/>
  <c r="BU31" i="6"/>
  <c r="BT31" i="6"/>
  <c r="BS31" i="6"/>
  <c r="BP31" i="6"/>
  <c r="BO31" i="6"/>
  <c r="BN31" i="6"/>
  <c r="BM31" i="6"/>
  <c r="BJ31" i="6"/>
  <c r="BI31" i="6"/>
  <c r="BH31" i="6"/>
  <c r="BG31" i="6"/>
  <c r="BD31" i="6"/>
  <c r="BC31" i="6"/>
  <c r="BB31" i="6"/>
  <c r="BA31" i="6"/>
  <c r="AX31" i="6"/>
  <c r="AW31" i="6"/>
  <c r="AV31" i="6"/>
  <c r="AU31" i="6"/>
  <c r="AR31" i="6"/>
  <c r="AQ31" i="6"/>
  <c r="AP31" i="6"/>
  <c r="AO31" i="6"/>
  <c r="AL31" i="6"/>
  <c r="AK31" i="6"/>
  <c r="AJ31" i="6"/>
  <c r="AI31" i="6"/>
  <c r="AB31" i="6"/>
  <c r="AC31" i="6" s="1"/>
  <c r="AA31" i="6"/>
  <c r="BX30" i="6"/>
  <c r="CD30" i="6" s="1"/>
  <c r="BW30" i="6"/>
  <c r="BV30" i="6"/>
  <c r="BU30" i="6"/>
  <c r="BT30" i="6"/>
  <c r="BS30" i="6"/>
  <c r="BP30" i="6"/>
  <c r="BO30" i="6"/>
  <c r="BN30" i="6"/>
  <c r="BM30" i="6"/>
  <c r="BJ30" i="6"/>
  <c r="BI30" i="6"/>
  <c r="BH30" i="6"/>
  <c r="BG30" i="6"/>
  <c r="BD30" i="6"/>
  <c r="BC30" i="6"/>
  <c r="BB30" i="6"/>
  <c r="BA30" i="6"/>
  <c r="AX30" i="6"/>
  <c r="AW30" i="6"/>
  <c r="AV30" i="6"/>
  <c r="AU30" i="6"/>
  <c r="AR30" i="6"/>
  <c r="AQ30" i="6"/>
  <c r="AP30" i="6"/>
  <c r="AO30" i="6"/>
  <c r="AL30" i="6"/>
  <c r="AK30" i="6"/>
  <c r="AJ30" i="6"/>
  <c r="AI30" i="6"/>
  <c r="AB30" i="6"/>
  <c r="AC30" i="6" s="1"/>
  <c r="AA30" i="6"/>
  <c r="BX29" i="6"/>
  <c r="BY29" i="6" s="1"/>
  <c r="CE29" i="6" s="1"/>
  <c r="BW29" i="6"/>
  <c r="CC29" i="6" s="1"/>
  <c r="BV29" i="6"/>
  <c r="BU29" i="6"/>
  <c r="BT29" i="6"/>
  <c r="BS29" i="6"/>
  <c r="BP29" i="6"/>
  <c r="BO29" i="6"/>
  <c r="BN29" i="6"/>
  <c r="BM29" i="6"/>
  <c r="BJ29" i="6"/>
  <c r="BI29" i="6"/>
  <c r="BH29" i="6"/>
  <c r="BG29" i="6"/>
  <c r="BD29" i="6"/>
  <c r="BC29" i="6"/>
  <c r="BB29" i="6"/>
  <c r="BA29" i="6"/>
  <c r="AX29" i="6"/>
  <c r="AW29" i="6"/>
  <c r="AV29" i="6"/>
  <c r="AU29" i="6"/>
  <c r="AR29" i="6"/>
  <c r="AQ29" i="6"/>
  <c r="AP29" i="6"/>
  <c r="AO29" i="6"/>
  <c r="AL29" i="6"/>
  <c r="AK29" i="6"/>
  <c r="AJ29" i="6"/>
  <c r="AI29" i="6"/>
  <c r="AB29" i="6"/>
  <c r="AC29" i="6" s="1"/>
  <c r="AA29" i="6"/>
  <c r="AD34" i="6" s="1"/>
  <c r="BX28" i="6"/>
  <c r="BY28" i="6" s="1"/>
  <c r="CE28" i="6" s="1"/>
  <c r="BW28" i="6"/>
  <c r="CB33" i="6" s="1"/>
  <c r="CH33" i="6" s="1"/>
  <c r="BV28" i="6"/>
  <c r="BU28" i="6"/>
  <c r="BT28" i="6"/>
  <c r="BS28" i="6"/>
  <c r="BP28" i="6"/>
  <c r="BO28" i="6"/>
  <c r="BN28" i="6"/>
  <c r="BM28" i="6"/>
  <c r="BJ28" i="6"/>
  <c r="BI28" i="6"/>
  <c r="BH28" i="6"/>
  <c r="BG28" i="6"/>
  <c r="BD28" i="6"/>
  <c r="BC28" i="6"/>
  <c r="BB28" i="6"/>
  <c r="BA28" i="6"/>
  <c r="AX28" i="6"/>
  <c r="AW28" i="6"/>
  <c r="AV28" i="6"/>
  <c r="AU28" i="6"/>
  <c r="AR28" i="6"/>
  <c r="AQ28" i="6"/>
  <c r="AP28" i="6"/>
  <c r="AO28" i="6"/>
  <c r="AL28" i="6"/>
  <c r="AK28" i="6"/>
  <c r="AJ28" i="6"/>
  <c r="AI28" i="6"/>
  <c r="AB28" i="6"/>
  <c r="AC28" i="6" s="1"/>
  <c r="AA28" i="6"/>
  <c r="BX27" i="6"/>
  <c r="BY27" i="6" s="1"/>
  <c r="CE27" i="6" s="1"/>
  <c r="BW27" i="6"/>
  <c r="BV27" i="6"/>
  <c r="BU27" i="6"/>
  <c r="BT27" i="6"/>
  <c r="BS27" i="6"/>
  <c r="BP27" i="6"/>
  <c r="BO27" i="6"/>
  <c r="BN27" i="6"/>
  <c r="BM27" i="6"/>
  <c r="BJ27" i="6"/>
  <c r="BI27" i="6"/>
  <c r="BH27" i="6"/>
  <c r="BG27" i="6"/>
  <c r="BD27" i="6"/>
  <c r="BC27" i="6"/>
  <c r="BB27" i="6"/>
  <c r="BA27" i="6"/>
  <c r="AX27" i="6"/>
  <c r="AW27" i="6"/>
  <c r="AV27" i="6"/>
  <c r="AU27" i="6"/>
  <c r="AR27" i="6"/>
  <c r="AQ27" i="6"/>
  <c r="AP27" i="6"/>
  <c r="AO27" i="6"/>
  <c r="AL27" i="6"/>
  <c r="AK27" i="6"/>
  <c r="AJ27" i="6"/>
  <c r="AI27" i="6"/>
  <c r="AB27" i="6"/>
  <c r="AC27" i="6" s="1"/>
  <c r="AA27" i="6"/>
  <c r="CC26" i="6"/>
  <c r="BX26" i="6"/>
  <c r="CD26" i="6" s="1"/>
  <c r="BW26" i="6"/>
  <c r="BV26" i="6"/>
  <c r="BU26" i="6"/>
  <c r="BT26" i="6"/>
  <c r="BS26" i="6"/>
  <c r="BP26" i="6"/>
  <c r="BO26" i="6"/>
  <c r="BN26" i="6"/>
  <c r="BM26" i="6"/>
  <c r="BJ26" i="6"/>
  <c r="BI26" i="6"/>
  <c r="BH26" i="6"/>
  <c r="BG26" i="6"/>
  <c r="BD26" i="6"/>
  <c r="BC26" i="6"/>
  <c r="BB26" i="6"/>
  <c r="BA26" i="6"/>
  <c r="AX26" i="6"/>
  <c r="AW26" i="6"/>
  <c r="AV26" i="6"/>
  <c r="AU26" i="6"/>
  <c r="AR26" i="6"/>
  <c r="AQ26" i="6"/>
  <c r="AP26" i="6"/>
  <c r="AO26" i="6"/>
  <c r="AL26" i="6"/>
  <c r="AK26" i="6"/>
  <c r="AJ26" i="6"/>
  <c r="AI26" i="6"/>
  <c r="AB26" i="6"/>
  <c r="AC26" i="6" s="1"/>
  <c r="AA26" i="6"/>
  <c r="AF31" i="6" s="1"/>
  <c r="CD25" i="6"/>
  <c r="CB25" i="6"/>
  <c r="CH25" i="6" s="1"/>
  <c r="CA25" i="6"/>
  <c r="CG25" i="6" s="1"/>
  <c r="BZ25" i="6"/>
  <c r="CF25" i="6" s="1"/>
  <c r="BX25" i="6"/>
  <c r="BY25" i="6" s="1"/>
  <c r="CE25" i="6" s="1"/>
  <c r="BW25" i="6"/>
  <c r="BV25" i="6"/>
  <c r="BU25" i="6"/>
  <c r="BT25" i="6"/>
  <c r="BS25" i="6"/>
  <c r="BP25" i="6"/>
  <c r="BO25" i="6"/>
  <c r="BN25" i="6"/>
  <c r="BM25" i="6"/>
  <c r="BJ25" i="6"/>
  <c r="BI25" i="6"/>
  <c r="BH25" i="6"/>
  <c r="BG25" i="6"/>
  <c r="BD25" i="6"/>
  <c r="BC25" i="6"/>
  <c r="BB25" i="6"/>
  <c r="BA25" i="6"/>
  <c r="AX25" i="6"/>
  <c r="AW25" i="6"/>
  <c r="AV25" i="6"/>
  <c r="AU25" i="6"/>
  <c r="AR25" i="6"/>
  <c r="AQ25" i="6"/>
  <c r="AP25" i="6"/>
  <c r="AO25" i="6"/>
  <c r="AL25" i="6"/>
  <c r="AK25" i="6"/>
  <c r="AJ25" i="6"/>
  <c r="AI25" i="6"/>
  <c r="AF25" i="6"/>
  <c r="AD25" i="6"/>
  <c r="AB25" i="6"/>
  <c r="AC25" i="6" s="1"/>
  <c r="AA25" i="6"/>
  <c r="BV24" i="6"/>
  <c r="BU24" i="6"/>
  <c r="BT24" i="6"/>
  <c r="BP24" i="6"/>
  <c r="BO24" i="6"/>
  <c r="BN24" i="6"/>
  <c r="BJ24" i="6"/>
  <c r="BI24" i="6"/>
  <c r="BH24" i="6"/>
  <c r="BD24" i="6"/>
  <c r="BC24" i="6"/>
  <c r="BB24" i="6"/>
  <c r="AX24" i="6"/>
  <c r="AW24" i="6"/>
  <c r="AV24" i="6"/>
  <c r="AR24" i="6"/>
  <c r="AQ24" i="6"/>
  <c r="AP24" i="6"/>
  <c r="AL24" i="6"/>
  <c r="AK24" i="6"/>
  <c r="AJ24" i="6"/>
  <c r="AF24" i="6"/>
  <c r="AE24" i="6"/>
  <c r="AD24" i="6"/>
  <c r="BV23" i="6"/>
  <c r="BU23" i="6"/>
  <c r="BT23" i="6"/>
  <c r="BP23" i="6"/>
  <c r="BO23" i="6"/>
  <c r="BN23" i="6"/>
  <c r="BJ23" i="6"/>
  <c r="BI23" i="6"/>
  <c r="BH23" i="6"/>
  <c r="BD23" i="6"/>
  <c r="BC23" i="6"/>
  <c r="BB23" i="6"/>
  <c r="AX23" i="6"/>
  <c r="AW23" i="6"/>
  <c r="AV23" i="6"/>
  <c r="AR23" i="6"/>
  <c r="AQ23" i="6"/>
  <c r="AP23" i="6"/>
  <c r="AL23" i="6"/>
  <c r="AK23" i="6"/>
  <c r="AJ23" i="6"/>
  <c r="AF23" i="6"/>
  <c r="AE23" i="6"/>
  <c r="AD23" i="6"/>
  <c r="BV22" i="6"/>
  <c r="BU22" i="6"/>
  <c r="BT22" i="6"/>
  <c r="BP22" i="6"/>
  <c r="BO22" i="6"/>
  <c r="BN22" i="6"/>
  <c r="BJ22" i="6"/>
  <c r="BI22" i="6"/>
  <c r="BH22" i="6"/>
  <c r="BD22" i="6"/>
  <c r="BC22" i="6"/>
  <c r="BB22" i="6"/>
  <c r="AX22" i="6"/>
  <c r="AW22" i="6"/>
  <c r="AV22" i="6"/>
  <c r="AR22" i="6"/>
  <c r="AQ22" i="6"/>
  <c r="AP22" i="6"/>
  <c r="AL22" i="6"/>
  <c r="AK22" i="6"/>
  <c r="AJ22" i="6"/>
  <c r="AF22" i="6"/>
  <c r="AE22" i="6"/>
  <c r="AD22" i="6"/>
  <c r="BV21" i="6"/>
  <c r="BU21" i="6"/>
  <c r="BT21" i="6"/>
  <c r="BP21" i="6"/>
  <c r="BO21" i="6"/>
  <c r="BN21" i="6"/>
  <c r="BJ21" i="6"/>
  <c r="BI21" i="6"/>
  <c r="BH21" i="6"/>
  <c r="BD21" i="6"/>
  <c r="BC21" i="6"/>
  <c r="BB21" i="6"/>
  <c r="AX21" i="6"/>
  <c r="AW21" i="6"/>
  <c r="AV21" i="6"/>
  <c r="AR21" i="6"/>
  <c r="AQ21" i="6"/>
  <c r="AP21" i="6"/>
  <c r="AL21" i="6"/>
  <c r="AK21" i="6"/>
  <c r="AJ21" i="6"/>
  <c r="AF21" i="6"/>
  <c r="AE21" i="6"/>
  <c r="AD21" i="6"/>
  <c r="BV20" i="6"/>
  <c r="BU20" i="6"/>
  <c r="BT20" i="6"/>
  <c r="BP20" i="6"/>
  <c r="BO20" i="6"/>
  <c r="BN20" i="6"/>
  <c r="BJ20" i="6"/>
  <c r="BI20" i="6"/>
  <c r="BH20" i="6"/>
  <c r="BD20" i="6"/>
  <c r="BC20" i="6"/>
  <c r="BB20" i="6"/>
  <c r="AX20" i="6"/>
  <c r="AW20" i="6"/>
  <c r="AV20" i="6"/>
  <c r="AR20" i="6"/>
  <c r="AQ20" i="6"/>
  <c r="AP20" i="6"/>
  <c r="AL20" i="6"/>
  <c r="AK20" i="6"/>
  <c r="AJ20" i="6"/>
  <c r="AF20" i="6"/>
  <c r="AE20" i="6"/>
  <c r="AD20" i="6"/>
  <c r="BV19" i="6"/>
  <c r="BU19" i="6"/>
  <c r="BT19" i="6"/>
  <c r="BP19" i="6"/>
  <c r="BO19" i="6"/>
  <c r="BN19" i="6"/>
  <c r="BJ19" i="6"/>
  <c r="BI19" i="6"/>
  <c r="BH19" i="6"/>
  <c r="BD19" i="6"/>
  <c r="BC19" i="6"/>
  <c r="BB19" i="6"/>
  <c r="AX19" i="6"/>
  <c r="AW19" i="6"/>
  <c r="AV19" i="6"/>
  <c r="AR19" i="6"/>
  <c r="AQ19" i="6"/>
  <c r="AP19" i="6"/>
  <c r="AL19" i="6"/>
  <c r="AK19" i="6"/>
  <c r="AJ19" i="6"/>
  <c r="AF19" i="6"/>
  <c r="AE19" i="6"/>
  <c r="AD19" i="6"/>
  <c r="BV18" i="6"/>
  <c r="BU18" i="6"/>
  <c r="BT18" i="6"/>
  <c r="BP18" i="6"/>
  <c r="BO18" i="6"/>
  <c r="BN18" i="6"/>
  <c r="BJ18" i="6"/>
  <c r="BI18" i="6"/>
  <c r="BH18" i="6"/>
  <c r="BD18" i="6"/>
  <c r="BC18" i="6"/>
  <c r="BB18" i="6"/>
  <c r="AX18" i="6"/>
  <c r="AW18" i="6"/>
  <c r="AV18" i="6"/>
  <c r="AR18" i="6"/>
  <c r="AQ18" i="6"/>
  <c r="AP18" i="6"/>
  <c r="AL18" i="6"/>
  <c r="AK18" i="6"/>
  <c r="AJ18" i="6"/>
  <c r="AF18" i="6"/>
  <c r="AE18" i="6"/>
  <c r="AD18" i="6"/>
  <c r="BV17" i="6"/>
  <c r="BU17" i="6"/>
  <c r="BT17" i="6"/>
  <c r="BP17" i="6"/>
  <c r="BO17" i="6"/>
  <c r="BN17" i="6"/>
  <c r="BJ17" i="6"/>
  <c r="BI17" i="6"/>
  <c r="BH17" i="6"/>
  <c r="BD17" i="6"/>
  <c r="BC17" i="6"/>
  <c r="BB17" i="6"/>
  <c r="AX17" i="6"/>
  <c r="AW17" i="6"/>
  <c r="AV17" i="6"/>
  <c r="AR17" i="6"/>
  <c r="AQ17" i="6"/>
  <c r="AP17" i="6"/>
  <c r="AL17" i="6"/>
  <c r="AK17" i="6"/>
  <c r="AJ17" i="6"/>
  <c r="AF17" i="6"/>
  <c r="AE17" i="6"/>
  <c r="AD17" i="6"/>
  <c r="BV16" i="6"/>
  <c r="BU16" i="6"/>
  <c r="BT16" i="6"/>
  <c r="BP16" i="6"/>
  <c r="BO16" i="6"/>
  <c r="BN16" i="6"/>
  <c r="BJ16" i="6"/>
  <c r="BI16" i="6"/>
  <c r="BH16" i="6"/>
  <c r="BD16" i="6"/>
  <c r="BC16" i="6"/>
  <c r="BB16" i="6"/>
  <c r="AX16" i="6"/>
  <c r="AW16" i="6"/>
  <c r="AV16" i="6"/>
  <c r="AR16" i="6"/>
  <c r="AQ16" i="6"/>
  <c r="AP16" i="6"/>
  <c r="AL16" i="6"/>
  <c r="AK16" i="6"/>
  <c r="AJ16" i="6"/>
  <c r="AF16" i="6"/>
  <c r="AE16" i="6"/>
  <c r="AD16" i="6"/>
  <c r="BV15" i="6"/>
  <c r="BU15" i="6"/>
  <c r="BT15" i="6"/>
  <c r="BP15" i="6"/>
  <c r="BO15" i="6"/>
  <c r="BN15" i="6"/>
  <c r="BJ15" i="6"/>
  <c r="BI15" i="6"/>
  <c r="BH15" i="6"/>
  <c r="BD15" i="6"/>
  <c r="BC15" i="6"/>
  <c r="BB15" i="6"/>
  <c r="AX15" i="6"/>
  <c r="AW15" i="6"/>
  <c r="AV15" i="6"/>
  <c r="AR15" i="6"/>
  <c r="AQ15" i="6"/>
  <c r="AP15" i="6"/>
  <c r="AL15" i="6"/>
  <c r="AK15" i="6"/>
  <c r="AJ15" i="6"/>
  <c r="AF15" i="6"/>
  <c r="AE15" i="6"/>
  <c r="AD15" i="6"/>
  <c r="BV14" i="6"/>
  <c r="BU14" i="6"/>
  <c r="BT14" i="6"/>
  <c r="BP14" i="6"/>
  <c r="BO14" i="6"/>
  <c r="BN14" i="6"/>
  <c r="BJ14" i="6"/>
  <c r="BI14" i="6"/>
  <c r="BH14" i="6"/>
  <c r="BD14" i="6"/>
  <c r="BC14" i="6"/>
  <c r="BB14" i="6"/>
  <c r="AX14" i="6"/>
  <c r="AW14" i="6"/>
  <c r="AV14" i="6"/>
  <c r="AR14" i="6"/>
  <c r="AQ14" i="6"/>
  <c r="AP14" i="6"/>
  <c r="AL14" i="6"/>
  <c r="AK14" i="6"/>
  <c r="AJ14" i="6"/>
  <c r="AF14" i="6"/>
  <c r="AE14" i="6"/>
  <c r="AD14" i="6"/>
  <c r="BV13" i="6"/>
  <c r="BU13" i="6"/>
  <c r="BT13" i="6"/>
  <c r="BP13" i="6"/>
  <c r="BO13" i="6"/>
  <c r="BN13" i="6"/>
  <c r="BJ13" i="6"/>
  <c r="BI13" i="6"/>
  <c r="BH13" i="6"/>
  <c r="BD13" i="6"/>
  <c r="BC13" i="6"/>
  <c r="BB13" i="6"/>
  <c r="AX13" i="6"/>
  <c r="AW13" i="6"/>
  <c r="AV13" i="6"/>
  <c r="AR13" i="6"/>
  <c r="AQ13" i="6"/>
  <c r="AP13" i="6"/>
  <c r="AL13" i="6"/>
  <c r="AK13" i="6"/>
  <c r="AJ13" i="6"/>
  <c r="AF13" i="6"/>
  <c r="AE13" i="6"/>
  <c r="AD13" i="6"/>
  <c r="BV12" i="6"/>
  <c r="BU12" i="6"/>
  <c r="BT12" i="6"/>
  <c r="BP12" i="6"/>
  <c r="BO12" i="6"/>
  <c r="BN12" i="6"/>
  <c r="BJ12" i="6"/>
  <c r="BI12" i="6"/>
  <c r="BH12" i="6"/>
  <c r="BD12" i="6"/>
  <c r="BC12" i="6"/>
  <c r="BB12" i="6"/>
  <c r="AX12" i="6"/>
  <c r="AW12" i="6"/>
  <c r="AV12" i="6"/>
  <c r="AR12" i="6"/>
  <c r="AQ12" i="6"/>
  <c r="AP12" i="6"/>
  <c r="AL12" i="6"/>
  <c r="AK12" i="6"/>
  <c r="AJ12" i="6"/>
  <c r="AF12" i="6"/>
  <c r="AE12" i="6"/>
  <c r="AD12" i="6"/>
  <c r="BV11" i="6"/>
  <c r="BU11" i="6"/>
  <c r="BT11" i="6"/>
  <c r="BP11" i="6"/>
  <c r="BO11" i="6"/>
  <c r="BN11" i="6"/>
  <c r="BJ11" i="6"/>
  <c r="BI11" i="6"/>
  <c r="BH11" i="6"/>
  <c r="BD11" i="6"/>
  <c r="BC11" i="6"/>
  <c r="BB11" i="6"/>
  <c r="AX11" i="6"/>
  <c r="AW11" i="6"/>
  <c r="AV11" i="6"/>
  <c r="AR11" i="6"/>
  <c r="AQ11" i="6"/>
  <c r="AP11" i="6"/>
  <c r="AL11" i="6"/>
  <c r="AK11" i="6"/>
  <c r="AJ11" i="6"/>
  <c r="AF11" i="6"/>
  <c r="AE11" i="6"/>
  <c r="AD11" i="6"/>
  <c r="BV10" i="6"/>
  <c r="BU10" i="6"/>
  <c r="BT10" i="6"/>
  <c r="BP10" i="6"/>
  <c r="BO10" i="6"/>
  <c r="BN10" i="6"/>
  <c r="BJ10" i="6"/>
  <c r="BI10" i="6"/>
  <c r="BH10" i="6"/>
  <c r="BD10" i="6"/>
  <c r="BC10" i="6"/>
  <c r="BB10" i="6"/>
  <c r="AX10" i="6"/>
  <c r="AW10" i="6"/>
  <c r="AV10" i="6"/>
  <c r="AR10" i="6"/>
  <c r="AQ10" i="6"/>
  <c r="AP10" i="6"/>
  <c r="AL10" i="6"/>
  <c r="AK10" i="6"/>
  <c r="AJ10" i="6"/>
  <c r="AA10" i="6"/>
  <c r="AD10" i="6" s="1"/>
  <c r="BV9" i="6"/>
  <c r="BU9" i="6"/>
  <c r="BT9" i="6"/>
  <c r="BP9" i="6"/>
  <c r="BO9" i="6"/>
  <c r="BN9" i="6"/>
  <c r="BJ9" i="6"/>
  <c r="BI9" i="6"/>
  <c r="BH9" i="6"/>
  <c r="BD9" i="6"/>
  <c r="BC9" i="6"/>
  <c r="BB9" i="6"/>
  <c r="AX9" i="6"/>
  <c r="AW9" i="6"/>
  <c r="AV9" i="6"/>
  <c r="AR9" i="6"/>
  <c r="AQ9" i="6"/>
  <c r="AP9" i="6"/>
  <c r="AL9" i="6"/>
  <c r="AK9" i="6"/>
  <c r="AJ9" i="6"/>
  <c r="AF9" i="6"/>
  <c r="AA9" i="6"/>
  <c r="AE9" i="6" s="1"/>
  <c r="BV8" i="6"/>
  <c r="BU8" i="6"/>
  <c r="BT8" i="6"/>
  <c r="BP8" i="6"/>
  <c r="BO8" i="6"/>
  <c r="BN8" i="6"/>
  <c r="BJ8" i="6"/>
  <c r="BI8" i="6"/>
  <c r="BH8" i="6"/>
  <c r="BD8" i="6"/>
  <c r="BC8" i="6"/>
  <c r="BB8" i="6"/>
  <c r="AX8" i="6"/>
  <c r="AW8" i="6"/>
  <c r="AV8" i="6"/>
  <c r="AR8" i="6"/>
  <c r="AQ8" i="6"/>
  <c r="AP8" i="6"/>
  <c r="AL8" i="6"/>
  <c r="AK8" i="6"/>
  <c r="AJ8" i="6"/>
  <c r="AA8" i="6"/>
  <c r="AF8" i="6" s="1"/>
  <c r="BV7" i="6"/>
  <c r="BU7" i="6"/>
  <c r="BT7" i="6"/>
  <c r="BP7" i="6"/>
  <c r="BO7" i="6"/>
  <c r="BN7" i="6"/>
  <c r="BJ7" i="6"/>
  <c r="BI7" i="6"/>
  <c r="BH7" i="6"/>
  <c r="BD7" i="6"/>
  <c r="BC7" i="6"/>
  <c r="BB7" i="6"/>
  <c r="AX7" i="6"/>
  <c r="AW7" i="6"/>
  <c r="AV7" i="6"/>
  <c r="AR7" i="6"/>
  <c r="AQ7" i="6"/>
  <c r="AP7" i="6"/>
  <c r="AL7" i="6"/>
  <c r="AK7" i="6"/>
  <c r="AJ7" i="6"/>
  <c r="AF7" i="6"/>
  <c r="AE7" i="6"/>
  <c r="AD7" i="6"/>
  <c r="AA7" i="6"/>
  <c r="BV6" i="6"/>
  <c r="BU6" i="6"/>
  <c r="BT6" i="6"/>
  <c r="BP6" i="6"/>
  <c r="BO6" i="6"/>
  <c r="BN6" i="6"/>
  <c r="BJ6" i="6"/>
  <c r="BI6" i="6"/>
  <c r="BH6" i="6"/>
  <c r="BD6" i="6"/>
  <c r="BC6" i="6"/>
  <c r="BB6" i="6"/>
  <c r="AX6" i="6"/>
  <c r="AW6" i="6"/>
  <c r="AV6" i="6"/>
  <c r="AR6" i="6"/>
  <c r="AQ6" i="6"/>
  <c r="AP6" i="6"/>
  <c r="AL6" i="6"/>
  <c r="AK6" i="6"/>
  <c r="AJ6" i="6"/>
  <c r="AF6" i="6"/>
  <c r="AE6" i="6"/>
  <c r="AA6" i="6"/>
  <c r="AD6" i="6" s="1"/>
  <c r="BV5" i="6"/>
  <c r="BU5" i="6"/>
  <c r="BT5" i="6"/>
  <c r="BP5" i="6"/>
  <c r="BO5" i="6"/>
  <c r="BN5" i="6"/>
  <c r="BJ5" i="6"/>
  <c r="BI5" i="6"/>
  <c r="BH5" i="6"/>
  <c r="BD5" i="6"/>
  <c r="BC5" i="6"/>
  <c r="BB5" i="6"/>
  <c r="AX5" i="6"/>
  <c r="AW5" i="6"/>
  <c r="AV5" i="6"/>
  <c r="AR5" i="6"/>
  <c r="AQ5" i="6"/>
  <c r="AP5" i="6"/>
  <c r="AL5" i="6"/>
  <c r="AK5" i="6"/>
  <c r="AJ5" i="6"/>
  <c r="AF5" i="6"/>
  <c r="AD5" i="6"/>
  <c r="AA5" i="6"/>
  <c r="AE5" i="6" s="1"/>
  <c r="AV52" i="5"/>
  <c r="AP52" i="5"/>
  <c r="AA52" i="5"/>
  <c r="AV51" i="5"/>
  <c r="AP51" i="5"/>
  <c r="AA51" i="5"/>
  <c r="BM50" i="5"/>
  <c r="BN50" i="5" s="1"/>
  <c r="BT50" i="5" s="1"/>
  <c r="BL50" i="5"/>
  <c r="BR50" i="5" s="1"/>
  <c r="BH50" i="5"/>
  <c r="AV50" i="5"/>
  <c r="AP50" i="5"/>
  <c r="AA50" i="5"/>
  <c r="BM49" i="5"/>
  <c r="BS49" i="5" s="1"/>
  <c r="BL49" i="5"/>
  <c r="BR49" i="5" s="1"/>
  <c r="BH49" i="5"/>
  <c r="BB49" i="5"/>
  <c r="AV49" i="5"/>
  <c r="AP49" i="5"/>
  <c r="AJ49" i="5"/>
  <c r="AB49" i="5"/>
  <c r="AC49" i="5" s="1"/>
  <c r="AA49" i="5"/>
  <c r="BM48" i="5"/>
  <c r="BS48" i="5" s="1"/>
  <c r="BL48" i="5"/>
  <c r="BR48" i="5" s="1"/>
  <c r="BK48" i="5"/>
  <c r="BJ48" i="5"/>
  <c r="BI48" i="5"/>
  <c r="BH48" i="5"/>
  <c r="BE48" i="5"/>
  <c r="BD48" i="5"/>
  <c r="BC48" i="5"/>
  <c r="BB48" i="5"/>
  <c r="AY48" i="5"/>
  <c r="AX48" i="5"/>
  <c r="AW48" i="5"/>
  <c r="AV48" i="5"/>
  <c r="AS48" i="5"/>
  <c r="AR48" i="5"/>
  <c r="AQ48" i="5"/>
  <c r="AP48" i="5"/>
  <c r="AM48" i="5"/>
  <c r="AL48" i="5"/>
  <c r="AK48" i="5"/>
  <c r="AJ48" i="5"/>
  <c r="AB48" i="5"/>
  <c r="AC48" i="5" s="1"/>
  <c r="AA48" i="5"/>
  <c r="BM47" i="5"/>
  <c r="BS47" i="5" s="1"/>
  <c r="BL47" i="5"/>
  <c r="BR47" i="5" s="1"/>
  <c r="BK47" i="5"/>
  <c r="BJ47" i="5"/>
  <c r="BI47" i="5"/>
  <c r="BH47" i="5"/>
  <c r="BE47" i="5"/>
  <c r="BD47" i="5"/>
  <c r="BC47" i="5"/>
  <c r="BB47" i="5"/>
  <c r="AY47" i="5"/>
  <c r="AX47" i="5"/>
  <c r="AW47" i="5"/>
  <c r="AV47" i="5"/>
  <c r="AS47" i="5"/>
  <c r="AR47" i="5"/>
  <c r="AQ47" i="5"/>
  <c r="AP47" i="5"/>
  <c r="AM47" i="5"/>
  <c r="AL47" i="5"/>
  <c r="AK47" i="5"/>
  <c r="AJ47" i="5"/>
  <c r="AB47" i="5"/>
  <c r="AC47" i="5" s="1"/>
  <c r="AA47" i="5"/>
  <c r="BM46" i="5"/>
  <c r="BL46" i="5"/>
  <c r="BR46" i="5" s="1"/>
  <c r="BK46" i="5"/>
  <c r="BJ46" i="5"/>
  <c r="BI46" i="5"/>
  <c r="BH46" i="5"/>
  <c r="BE46" i="5"/>
  <c r="BD46" i="5"/>
  <c r="AF73" i="2" s="1"/>
  <c r="BC46" i="5"/>
  <c r="BB46" i="5"/>
  <c r="AY46" i="5"/>
  <c r="AX46" i="5"/>
  <c r="AW46" i="5"/>
  <c r="AV46" i="5"/>
  <c r="AS46" i="5"/>
  <c r="AR46" i="5"/>
  <c r="BI93" i="2" s="1"/>
  <c r="BK93" i="2" s="1"/>
  <c r="AQ46" i="5"/>
  <c r="BI89" i="2" s="1"/>
  <c r="BK89" i="2" s="1"/>
  <c r="AP46" i="5"/>
  <c r="AM46" i="5"/>
  <c r="AL46" i="5"/>
  <c r="BI73" i="2" s="1"/>
  <c r="BK73" i="2" s="1"/>
  <c r="AK46" i="5"/>
  <c r="BI75" i="2" s="1"/>
  <c r="BK75" i="2" s="1"/>
  <c r="AJ46" i="5"/>
  <c r="AB46" i="5"/>
  <c r="AC46" i="5" s="1"/>
  <c r="AT73" i="2" s="1"/>
  <c r="AV73" i="2" s="1"/>
  <c r="AA46" i="5"/>
  <c r="AT77" i="2" s="1"/>
  <c r="AV77" i="2" s="1"/>
  <c r="BM45" i="5"/>
  <c r="BS45" i="5" s="1"/>
  <c r="BL45" i="5"/>
  <c r="BR45" i="5" s="1"/>
  <c r="BK45" i="5"/>
  <c r="BJ45" i="5"/>
  <c r="BI45" i="5"/>
  <c r="BH45" i="5"/>
  <c r="BE45" i="5"/>
  <c r="BD45" i="5"/>
  <c r="BC45" i="5"/>
  <c r="BB45" i="5"/>
  <c r="AY45" i="5"/>
  <c r="AX45" i="5"/>
  <c r="AW45" i="5"/>
  <c r="AV45" i="5"/>
  <c r="AS45" i="5"/>
  <c r="AR45" i="5"/>
  <c r="AQ45" i="5"/>
  <c r="AP45" i="5"/>
  <c r="AM45" i="5"/>
  <c r="AL45" i="5"/>
  <c r="AK45" i="5"/>
  <c r="AJ45" i="5"/>
  <c r="AB45" i="5"/>
  <c r="AC45" i="5" s="1"/>
  <c r="AA45" i="5"/>
  <c r="BM44" i="5"/>
  <c r="BN44" i="5" s="1"/>
  <c r="BT44" i="5" s="1"/>
  <c r="BL44" i="5"/>
  <c r="BR44" i="5" s="1"/>
  <c r="BK44" i="5"/>
  <c r="BJ44" i="5"/>
  <c r="BI44" i="5"/>
  <c r="BH44" i="5"/>
  <c r="BE44" i="5"/>
  <c r="BD44" i="5"/>
  <c r="BC44" i="5"/>
  <c r="BB44" i="5"/>
  <c r="AY44" i="5"/>
  <c r="AX44" i="5"/>
  <c r="AW44" i="5"/>
  <c r="AV44" i="5"/>
  <c r="AS44" i="5"/>
  <c r="AR44" i="5"/>
  <c r="AQ44" i="5"/>
  <c r="AP44" i="5"/>
  <c r="AM44" i="5"/>
  <c r="AL44" i="5"/>
  <c r="AK44" i="5"/>
  <c r="AJ44" i="5"/>
  <c r="AB44" i="5"/>
  <c r="AC44" i="5" s="1"/>
  <c r="AA44" i="5"/>
  <c r="BM43" i="5"/>
  <c r="BN43" i="5" s="1"/>
  <c r="BT43" i="5" s="1"/>
  <c r="BL43" i="5"/>
  <c r="BR43" i="5" s="1"/>
  <c r="BK43" i="5"/>
  <c r="BJ43" i="5"/>
  <c r="BI43" i="5"/>
  <c r="BH43" i="5"/>
  <c r="BE43" i="5"/>
  <c r="BD43" i="5"/>
  <c r="BC43" i="5"/>
  <c r="BB43" i="5"/>
  <c r="AY43" i="5"/>
  <c r="AX43" i="5"/>
  <c r="AW43" i="5"/>
  <c r="AV43" i="5"/>
  <c r="AS43" i="5"/>
  <c r="AR43" i="5"/>
  <c r="AQ43" i="5"/>
  <c r="AP43" i="5"/>
  <c r="AM43" i="5"/>
  <c r="AL43" i="5"/>
  <c r="AK43" i="5"/>
  <c r="AJ43" i="5"/>
  <c r="AB43" i="5"/>
  <c r="AC43" i="5" s="1"/>
  <c r="AA43" i="5"/>
  <c r="BM42" i="5"/>
  <c r="BS42" i="5" s="1"/>
  <c r="BL42" i="5"/>
  <c r="BR42" i="5" s="1"/>
  <c r="BK42" i="5"/>
  <c r="BJ42" i="5"/>
  <c r="BI42" i="5"/>
  <c r="BH42" i="5"/>
  <c r="BE42" i="5"/>
  <c r="BD42" i="5"/>
  <c r="BC42" i="5"/>
  <c r="BB42" i="5"/>
  <c r="AY42" i="5"/>
  <c r="AX42" i="5"/>
  <c r="AW42" i="5"/>
  <c r="AV42" i="5"/>
  <c r="AS42" i="5"/>
  <c r="AR42" i="5"/>
  <c r="AQ42" i="5"/>
  <c r="AP42" i="5"/>
  <c r="AM42" i="5"/>
  <c r="AL42" i="5"/>
  <c r="AK42" i="5"/>
  <c r="AJ42" i="5"/>
  <c r="AB42" i="5"/>
  <c r="AC42" i="5" s="1"/>
  <c r="AA42" i="5"/>
  <c r="BM41" i="5"/>
  <c r="BS41" i="5" s="1"/>
  <c r="BL41" i="5"/>
  <c r="BK41" i="5"/>
  <c r="BJ41" i="5"/>
  <c r="BI41" i="5"/>
  <c r="BH41" i="5"/>
  <c r="BE41" i="5"/>
  <c r="BD41" i="5"/>
  <c r="BC41" i="5"/>
  <c r="BB41" i="5"/>
  <c r="AY41" i="5"/>
  <c r="AX41" i="5"/>
  <c r="AW41" i="5"/>
  <c r="AV41" i="5"/>
  <c r="AS41" i="5"/>
  <c r="AR41" i="5"/>
  <c r="AQ41" i="5"/>
  <c r="AP41" i="5"/>
  <c r="AM41" i="5"/>
  <c r="AL41" i="5"/>
  <c r="AK41" i="5"/>
  <c r="AJ41" i="5"/>
  <c r="AB41" i="5"/>
  <c r="AC41" i="5" s="1"/>
  <c r="AA41" i="5"/>
  <c r="BM40" i="5"/>
  <c r="BS40" i="5" s="1"/>
  <c r="BL40" i="5"/>
  <c r="BK40" i="5"/>
  <c r="BJ40" i="5"/>
  <c r="BI40" i="5"/>
  <c r="BH40" i="5"/>
  <c r="BE40" i="5"/>
  <c r="BD40" i="5"/>
  <c r="BC40" i="5"/>
  <c r="BB40" i="5"/>
  <c r="AY40" i="5"/>
  <c r="AX40" i="5"/>
  <c r="AW40" i="5"/>
  <c r="AV40" i="5"/>
  <c r="AS40" i="5"/>
  <c r="AR40" i="5"/>
  <c r="AQ40" i="5"/>
  <c r="AP40" i="5"/>
  <c r="AM40" i="5"/>
  <c r="AL40" i="5"/>
  <c r="AK40" i="5"/>
  <c r="AJ40" i="5"/>
  <c r="AB40" i="5"/>
  <c r="AC40" i="5" s="1"/>
  <c r="AA40" i="5"/>
  <c r="BM39" i="5"/>
  <c r="BN39" i="5" s="1"/>
  <c r="BT39" i="5" s="1"/>
  <c r="BL39" i="5"/>
  <c r="BR39" i="5" s="1"/>
  <c r="BK39" i="5"/>
  <c r="BJ39" i="5"/>
  <c r="BI39" i="5"/>
  <c r="BH39" i="5"/>
  <c r="BE39" i="5"/>
  <c r="BD39" i="5"/>
  <c r="BC39" i="5"/>
  <c r="BB39" i="5"/>
  <c r="AY39" i="5"/>
  <c r="AX39" i="5"/>
  <c r="AW39" i="5"/>
  <c r="AV39" i="5"/>
  <c r="AS39" i="5"/>
  <c r="AR39" i="5"/>
  <c r="AQ39" i="5"/>
  <c r="AP39" i="5"/>
  <c r="AM39" i="5"/>
  <c r="AL39" i="5"/>
  <c r="AK39" i="5"/>
  <c r="AJ39" i="5"/>
  <c r="AB39" i="5"/>
  <c r="AC39" i="5" s="1"/>
  <c r="AA39" i="5"/>
  <c r="BM38" i="5"/>
  <c r="BS38" i="5" s="1"/>
  <c r="BL38" i="5"/>
  <c r="BK38" i="5"/>
  <c r="BJ38" i="5"/>
  <c r="BI38" i="5"/>
  <c r="BH38" i="5"/>
  <c r="BE38" i="5"/>
  <c r="BD38" i="5"/>
  <c r="BC38" i="5"/>
  <c r="BB38" i="5"/>
  <c r="AY38" i="5"/>
  <c r="AX38" i="5"/>
  <c r="AW38" i="5"/>
  <c r="AV38" i="5"/>
  <c r="AS38" i="5"/>
  <c r="AR38" i="5"/>
  <c r="AQ38" i="5"/>
  <c r="AP38" i="5"/>
  <c r="AM38" i="5"/>
  <c r="AL38" i="5"/>
  <c r="AK38" i="5"/>
  <c r="AJ38" i="5"/>
  <c r="AB38" i="5"/>
  <c r="AC38" i="5" s="1"/>
  <c r="AA38" i="5"/>
  <c r="BM37" i="5"/>
  <c r="BN37" i="5" s="1"/>
  <c r="BT37" i="5" s="1"/>
  <c r="BL37" i="5"/>
  <c r="BK37" i="5"/>
  <c r="BJ37" i="5"/>
  <c r="BI37" i="5"/>
  <c r="BH37" i="5"/>
  <c r="BE37" i="5"/>
  <c r="BD37" i="5"/>
  <c r="BC37" i="5"/>
  <c r="BB37" i="5"/>
  <c r="AY37" i="5"/>
  <c r="AX37" i="5"/>
  <c r="AW37" i="5"/>
  <c r="AV37" i="5"/>
  <c r="AS37" i="5"/>
  <c r="AR37" i="5"/>
  <c r="AQ37" i="5"/>
  <c r="AP37" i="5"/>
  <c r="AM37" i="5"/>
  <c r="AL37" i="5"/>
  <c r="AK37" i="5"/>
  <c r="AJ37" i="5"/>
  <c r="AB37" i="5"/>
  <c r="AC37" i="5" s="1"/>
  <c r="AA37" i="5"/>
  <c r="BM36" i="5"/>
  <c r="BN36" i="5" s="1"/>
  <c r="BT36" i="5" s="1"/>
  <c r="BL36" i="5"/>
  <c r="BK36" i="5"/>
  <c r="BJ36" i="5"/>
  <c r="BI36" i="5"/>
  <c r="BH36" i="5"/>
  <c r="BE36" i="5"/>
  <c r="BD36" i="5"/>
  <c r="BC36" i="5"/>
  <c r="BB36" i="5"/>
  <c r="AY36" i="5"/>
  <c r="AX36" i="5"/>
  <c r="AW36" i="5"/>
  <c r="AV36" i="5"/>
  <c r="AS36" i="5"/>
  <c r="AR36" i="5"/>
  <c r="AQ36" i="5"/>
  <c r="AP36" i="5"/>
  <c r="AM36" i="5"/>
  <c r="AL36" i="5"/>
  <c r="AK36" i="5"/>
  <c r="AJ36" i="5"/>
  <c r="AB36" i="5"/>
  <c r="AC36" i="5" s="1"/>
  <c r="AA36" i="5"/>
  <c r="BM35" i="5"/>
  <c r="BS35" i="5" s="1"/>
  <c r="BL35" i="5"/>
  <c r="BK35" i="5"/>
  <c r="BJ35" i="5"/>
  <c r="BI35" i="5"/>
  <c r="BH35" i="5"/>
  <c r="BE35" i="5"/>
  <c r="BD35" i="5"/>
  <c r="BC35" i="5"/>
  <c r="BB35" i="5"/>
  <c r="AY35" i="5"/>
  <c r="AX35" i="5"/>
  <c r="AW35" i="5"/>
  <c r="AV35" i="5"/>
  <c r="AS35" i="5"/>
  <c r="AR35" i="5"/>
  <c r="AQ35" i="5"/>
  <c r="AP35" i="5"/>
  <c r="AM35" i="5"/>
  <c r="AL35" i="5"/>
  <c r="AK35" i="5"/>
  <c r="AJ35" i="5"/>
  <c r="AB35" i="5"/>
  <c r="AC35" i="5" s="1"/>
  <c r="AA35" i="5"/>
  <c r="BM34" i="5"/>
  <c r="BS34" i="5" s="1"/>
  <c r="BL34" i="5"/>
  <c r="BR34" i="5" s="1"/>
  <c r="BK34" i="5"/>
  <c r="BJ34" i="5"/>
  <c r="BI34" i="5"/>
  <c r="BH34" i="5"/>
  <c r="BE34" i="5"/>
  <c r="BD34" i="5"/>
  <c r="BC34" i="5"/>
  <c r="BB34" i="5"/>
  <c r="AY34" i="5"/>
  <c r="AX34" i="5"/>
  <c r="AW34" i="5"/>
  <c r="AV34" i="5"/>
  <c r="AS34" i="5"/>
  <c r="AR34" i="5"/>
  <c r="AQ34" i="5"/>
  <c r="AP34" i="5"/>
  <c r="AM34" i="5"/>
  <c r="AL34" i="5"/>
  <c r="AK34" i="5"/>
  <c r="AJ34" i="5"/>
  <c r="AB34" i="5"/>
  <c r="AC34" i="5" s="1"/>
  <c r="AA34" i="5"/>
  <c r="BM33" i="5"/>
  <c r="BS33" i="5" s="1"/>
  <c r="BL33" i="5"/>
  <c r="BP38" i="5" s="1"/>
  <c r="BV38" i="5" s="1"/>
  <c r="BK33" i="5"/>
  <c r="BJ33" i="5"/>
  <c r="BI33" i="5"/>
  <c r="BH33" i="5"/>
  <c r="BE33" i="5"/>
  <c r="BD33" i="5"/>
  <c r="BC33" i="5"/>
  <c r="BB33" i="5"/>
  <c r="AY33" i="5"/>
  <c r="AX33" i="5"/>
  <c r="AW33" i="5"/>
  <c r="AV33" i="5"/>
  <c r="AS33" i="5"/>
  <c r="AR33" i="5"/>
  <c r="AQ33" i="5"/>
  <c r="AP33" i="5"/>
  <c r="AM33" i="5"/>
  <c r="AL33" i="5"/>
  <c r="AK33" i="5"/>
  <c r="AJ33" i="5"/>
  <c r="AB33" i="5"/>
  <c r="AC33" i="5" s="1"/>
  <c r="AA33" i="5"/>
  <c r="BM32" i="5"/>
  <c r="BN32" i="5" s="1"/>
  <c r="BT32" i="5" s="1"/>
  <c r="BL32" i="5"/>
  <c r="BK32" i="5"/>
  <c r="BJ32" i="5"/>
  <c r="BI32" i="5"/>
  <c r="BH32" i="5"/>
  <c r="BE32" i="5"/>
  <c r="BD32" i="5"/>
  <c r="BC32" i="5"/>
  <c r="BB32" i="5"/>
  <c r="AY32" i="5"/>
  <c r="AX32" i="5"/>
  <c r="AW32" i="5"/>
  <c r="AV32" i="5"/>
  <c r="AS32" i="5"/>
  <c r="AR32" i="5"/>
  <c r="AQ32" i="5"/>
  <c r="AP32" i="5"/>
  <c r="AM32" i="5"/>
  <c r="AL32" i="5"/>
  <c r="AK32" i="5"/>
  <c r="AJ32" i="5"/>
  <c r="AB32" i="5"/>
  <c r="AC32" i="5" s="1"/>
  <c r="AA32" i="5"/>
  <c r="BM31" i="5"/>
  <c r="BN31" i="5" s="1"/>
  <c r="BT31" i="5" s="1"/>
  <c r="BL31" i="5"/>
  <c r="BK31" i="5"/>
  <c r="BJ31" i="5"/>
  <c r="BI31" i="5"/>
  <c r="BH31" i="5"/>
  <c r="BE31" i="5"/>
  <c r="BD31" i="5"/>
  <c r="BC31" i="5"/>
  <c r="BB31" i="5"/>
  <c r="AY31" i="5"/>
  <c r="AX31" i="5"/>
  <c r="AW31" i="5"/>
  <c r="AV31" i="5"/>
  <c r="AS31" i="5"/>
  <c r="AR31" i="5"/>
  <c r="AQ31" i="5"/>
  <c r="AP31" i="5"/>
  <c r="AM31" i="5"/>
  <c r="AL31" i="5"/>
  <c r="AK31" i="5"/>
  <c r="AJ31" i="5"/>
  <c r="AG31" i="5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B31" i="5"/>
  <c r="AC31" i="5" s="1"/>
  <c r="AA31" i="5"/>
  <c r="BM30" i="5"/>
  <c r="BS30" i="5" s="1"/>
  <c r="BL30" i="5"/>
  <c r="BK30" i="5"/>
  <c r="BJ30" i="5"/>
  <c r="BI30" i="5"/>
  <c r="BH30" i="5"/>
  <c r="BE30" i="5"/>
  <c r="BD30" i="5"/>
  <c r="BC30" i="5"/>
  <c r="BB30" i="5"/>
  <c r="AY30" i="5"/>
  <c r="AX30" i="5"/>
  <c r="AW30" i="5"/>
  <c r="AV30" i="5"/>
  <c r="AS30" i="5"/>
  <c r="AR30" i="5"/>
  <c r="AQ30" i="5"/>
  <c r="AP30" i="5"/>
  <c r="AM30" i="5"/>
  <c r="AL30" i="5"/>
  <c r="AK30" i="5"/>
  <c r="AJ30" i="5"/>
  <c r="AB30" i="5"/>
  <c r="AC30" i="5" s="1"/>
  <c r="AA30" i="5"/>
  <c r="BM29" i="5"/>
  <c r="BN29" i="5" s="1"/>
  <c r="BT29" i="5" s="1"/>
  <c r="BL29" i="5"/>
  <c r="BQ34" i="5" s="1"/>
  <c r="BW34" i="5" s="1"/>
  <c r="BK29" i="5"/>
  <c r="BJ29" i="5"/>
  <c r="BI29" i="5"/>
  <c r="BH29" i="5"/>
  <c r="BE29" i="5"/>
  <c r="BD29" i="5"/>
  <c r="BC29" i="5"/>
  <c r="BB29" i="5"/>
  <c r="AY29" i="5"/>
  <c r="AX29" i="5"/>
  <c r="AW29" i="5"/>
  <c r="AV29" i="5"/>
  <c r="AS29" i="5"/>
  <c r="AR29" i="5"/>
  <c r="AQ29" i="5"/>
  <c r="AP29" i="5"/>
  <c r="AM29" i="5"/>
  <c r="AL29" i="5"/>
  <c r="AK29" i="5"/>
  <c r="AJ29" i="5"/>
  <c r="AB29" i="5"/>
  <c r="AC29" i="5" s="1"/>
  <c r="AA29" i="5"/>
  <c r="BR28" i="5"/>
  <c r="BM28" i="5"/>
  <c r="BS28" i="5" s="1"/>
  <c r="BL28" i="5"/>
  <c r="BK28" i="5"/>
  <c r="BJ28" i="5"/>
  <c r="BI28" i="5"/>
  <c r="BH28" i="5"/>
  <c r="BE28" i="5"/>
  <c r="BD28" i="5"/>
  <c r="BC28" i="5"/>
  <c r="BB28" i="5"/>
  <c r="AY28" i="5"/>
  <c r="AX28" i="5"/>
  <c r="AW28" i="5"/>
  <c r="AV28" i="5"/>
  <c r="AS28" i="5"/>
  <c r="AR28" i="5"/>
  <c r="AQ28" i="5"/>
  <c r="AP28" i="5"/>
  <c r="AM28" i="5"/>
  <c r="AL28" i="5"/>
  <c r="AK28" i="5"/>
  <c r="AJ28" i="5"/>
  <c r="AB28" i="5"/>
  <c r="AC28" i="5" s="1"/>
  <c r="AA28" i="5"/>
  <c r="BS27" i="5"/>
  <c r="BM27" i="5"/>
  <c r="BN27" i="5" s="1"/>
  <c r="BT27" i="5" s="1"/>
  <c r="BL27" i="5"/>
  <c r="BR27" i="5" s="1"/>
  <c r="BK27" i="5"/>
  <c r="BJ27" i="5"/>
  <c r="BI27" i="5"/>
  <c r="BH27" i="5"/>
  <c r="BE27" i="5"/>
  <c r="BD27" i="5"/>
  <c r="BC27" i="5"/>
  <c r="BB27" i="5"/>
  <c r="AY27" i="5"/>
  <c r="AX27" i="5"/>
  <c r="AW27" i="5"/>
  <c r="AV27" i="5"/>
  <c r="AS27" i="5"/>
  <c r="AR27" i="5"/>
  <c r="AQ27" i="5"/>
  <c r="AP27" i="5"/>
  <c r="AM27" i="5"/>
  <c r="AL27" i="5"/>
  <c r="AK27" i="5"/>
  <c r="AJ27" i="5"/>
  <c r="AB27" i="5"/>
  <c r="AC27" i="5" s="1"/>
  <c r="AA27" i="5"/>
  <c r="BM26" i="5"/>
  <c r="BS26" i="5" s="1"/>
  <c r="BL26" i="5"/>
  <c r="BK26" i="5"/>
  <c r="BJ26" i="5"/>
  <c r="BI26" i="5"/>
  <c r="BH26" i="5"/>
  <c r="BE26" i="5"/>
  <c r="BD26" i="5"/>
  <c r="BC26" i="5"/>
  <c r="BB26" i="5"/>
  <c r="AY26" i="5"/>
  <c r="AX26" i="5"/>
  <c r="AW26" i="5"/>
  <c r="AV26" i="5"/>
  <c r="AS26" i="5"/>
  <c r="AR26" i="5"/>
  <c r="AQ26" i="5"/>
  <c r="AP26" i="5"/>
  <c r="AM26" i="5"/>
  <c r="AL26" i="5"/>
  <c r="AK26" i="5"/>
  <c r="AJ26" i="5"/>
  <c r="AB26" i="5"/>
  <c r="AC26" i="5" s="1"/>
  <c r="AA26" i="5"/>
  <c r="BK25" i="5"/>
  <c r="BJ25" i="5"/>
  <c r="BI25" i="5"/>
  <c r="BH25" i="5"/>
  <c r="BE25" i="5"/>
  <c r="BD25" i="5"/>
  <c r="BC25" i="5"/>
  <c r="BB25" i="5"/>
  <c r="AY25" i="5"/>
  <c r="AX25" i="5"/>
  <c r="AW25" i="5"/>
  <c r="AV25" i="5"/>
  <c r="AS25" i="5"/>
  <c r="AR25" i="5"/>
  <c r="AQ25" i="5"/>
  <c r="AP25" i="5"/>
  <c r="AM25" i="5"/>
  <c r="AL25" i="5"/>
  <c r="AK25" i="5"/>
  <c r="AJ25" i="5"/>
  <c r="AB25" i="5"/>
  <c r="AC25" i="5" s="1"/>
  <c r="AA25" i="5"/>
  <c r="BK24" i="5"/>
  <c r="BJ24" i="5"/>
  <c r="BI24" i="5"/>
  <c r="BH24" i="5"/>
  <c r="BE24" i="5"/>
  <c r="BD24" i="5"/>
  <c r="BC24" i="5"/>
  <c r="BB24" i="5"/>
  <c r="AY24" i="5"/>
  <c r="AX24" i="5"/>
  <c r="AW24" i="5"/>
  <c r="AV24" i="5"/>
  <c r="AS24" i="5"/>
  <c r="AR24" i="5"/>
  <c r="AQ24" i="5"/>
  <c r="AP24" i="5"/>
  <c r="AM24" i="5"/>
  <c r="AL24" i="5"/>
  <c r="AK24" i="5"/>
  <c r="AJ24" i="5"/>
  <c r="AC24" i="5"/>
  <c r="AA24" i="5"/>
  <c r="BK23" i="5"/>
  <c r="BJ23" i="5"/>
  <c r="BI23" i="5"/>
  <c r="BE23" i="5"/>
  <c r="BD23" i="5"/>
  <c r="BC23" i="5"/>
  <c r="AY23" i="5"/>
  <c r="AX23" i="5"/>
  <c r="AW23" i="5"/>
  <c r="AS23" i="5"/>
  <c r="AR23" i="5"/>
  <c r="AQ23" i="5"/>
  <c r="AM23" i="5"/>
  <c r="AL23" i="5"/>
  <c r="AK23" i="5"/>
  <c r="AA23" i="5"/>
  <c r="BK22" i="5"/>
  <c r="BJ22" i="5"/>
  <c r="BI22" i="5"/>
  <c r="BE22" i="5"/>
  <c r="BD22" i="5"/>
  <c r="BC22" i="5"/>
  <c r="AY22" i="5"/>
  <c r="AX22" i="5"/>
  <c r="AW22" i="5"/>
  <c r="AS22" i="5"/>
  <c r="AR22" i="5"/>
  <c r="AQ22" i="5"/>
  <c r="AM22" i="5"/>
  <c r="AL22" i="5"/>
  <c r="AK22" i="5"/>
  <c r="AA22" i="5"/>
  <c r="BK21" i="5"/>
  <c r="BJ21" i="5"/>
  <c r="BI21" i="5"/>
  <c r="BE21" i="5"/>
  <c r="BD21" i="5"/>
  <c r="BC21" i="5"/>
  <c r="AY21" i="5"/>
  <c r="AX21" i="5"/>
  <c r="AW21" i="5"/>
  <c r="AS21" i="5"/>
  <c r="AR21" i="5"/>
  <c r="AQ21" i="5"/>
  <c r="AM21" i="5"/>
  <c r="AL21" i="5"/>
  <c r="AK21" i="5"/>
  <c r="AA21" i="5"/>
  <c r="BK20" i="5"/>
  <c r="BJ20" i="5"/>
  <c r="BI20" i="5"/>
  <c r="BE20" i="5"/>
  <c r="BD20" i="5"/>
  <c r="BC20" i="5"/>
  <c r="AY20" i="5"/>
  <c r="AX20" i="5"/>
  <c r="AW20" i="5"/>
  <c r="AS20" i="5"/>
  <c r="AR20" i="5"/>
  <c r="AQ20" i="5"/>
  <c r="AM20" i="5"/>
  <c r="AL20" i="5"/>
  <c r="AK20" i="5"/>
  <c r="AA20" i="5"/>
  <c r="BK19" i="5"/>
  <c r="BJ19" i="5"/>
  <c r="BI19" i="5"/>
  <c r="BE19" i="5"/>
  <c r="BD19" i="5"/>
  <c r="BC19" i="5"/>
  <c r="AY19" i="5"/>
  <c r="AX19" i="5"/>
  <c r="AW19" i="5"/>
  <c r="AS19" i="5"/>
  <c r="AR19" i="5"/>
  <c r="AQ19" i="5"/>
  <c r="AM19" i="5"/>
  <c r="AL19" i="5"/>
  <c r="AK19" i="5"/>
  <c r="AA19" i="5"/>
  <c r="BK18" i="5"/>
  <c r="BJ18" i="5"/>
  <c r="BI18" i="5"/>
  <c r="BE18" i="5"/>
  <c r="BD18" i="5"/>
  <c r="BC18" i="5"/>
  <c r="AY18" i="5"/>
  <c r="AX18" i="5"/>
  <c r="AW18" i="5"/>
  <c r="AS18" i="5"/>
  <c r="AR18" i="5"/>
  <c r="AQ18" i="5"/>
  <c r="AM18" i="5"/>
  <c r="AL18" i="5"/>
  <c r="AK18" i="5"/>
  <c r="AA18" i="5"/>
  <c r="BK17" i="5"/>
  <c r="BJ17" i="5"/>
  <c r="BI17" i="5"/>
  <c r="BE17" i="5"/>
  <c r="BD17" i="5"/>
  <c r="BC17" i="5"/>
  <c r="AY17" i="5"/>
  <c r="AX17" i="5"/>
  <c r="AW17" i="5"/>
  <c r="AS17" i="5"/>
  <c r="AR17" i="5"/>
  <c r="AQ17" i="5"/>
  <c r="AM17" i="5"/>
  <c r="AL17" i="5"/>
  <c r="AK17" i="5"/>
  <c r="AA17" i="5"/>
  <c r="BK16" i="5"/>
  <c r="BJ16" i="5"/>
  <c r="BI16" i="5"/>
  <c r="BE16" i="5"/>
  <c r="BD16" i="5"/>
  <c r="BC16" i="5"/>
  <c r="AY16" i="5"/>
  <c r="AX16" i="5"/>
  <c r="AW16" i="5"/>
  <c r="AS16" i="5"/>
  <c r="AR16" i="5"/>
  <c r="AQ16" i="5"/>
  <c r="AM16" i="5"/>
  <c r="AL16" i="5"/>
  <c r="AK16" i="5"/>
  <c r="AA16" i="5"/>
  <c r="BK15" i="5"/>
  <c r="BJ15" i="5"/>
  <c r="BI15" i="5"/>
  <c r="BE15" i="5"/>
  <c r="BD15" i="5"/>
  <c r="BC15" i="5"/>
  <c r="AY15" i="5"/>
  <c r="AX15" i="5"/>
  <c r="AW15" i="5"/>
  <c r="AS15" i="5"/>
  <c r="AR15" i="5"/>
  <c r="AQ15" i="5"/>
  <c r="AM15" i="5"/>
  <c r="AL15" i="5"/>
  <c r="AK15" i="5"/>
  <c r="AA15" i="5"/>
  <c r="AF15" i="5" s="1"/>
  <c r="BK14" i="5"/>
  <c r="BJ14" i="5"/>
  <c r="BI14" i="5"/>
  <c r="BE14" i="5"/>
  <c r="BD14" i="5"/>
  <c r="BC14" i="5"/>
  <c r="AY14" i="5"/>
  <c r="AX14" i="5"/>
  <c r="AW14" i="5"/>
  <c r="AS14" i="5"/>
  <c r="AR14" i="5"/>
  <c r="AQ14" i="5"/>
  <c r="AM14" i="5"/>
  <c r="AL14" i="5"/>
  <c r="AK14" i="5"/>
  <c r="AA14" i="5"/>
  <c r="BK13" i="5"/>
  <c r="BJ13" i="5"/>
  <c r="BI13" i="5"/>
  <c r="BE13" i="5"/>
  <c r="BD13" i="5"/>
  <c r="BC13" i="5"/>
  <c r="AY13" i="5"/>
  <c r="AX13" i="5"/>
  <c r="AW13" i="5"/>
  <c r="AS13" i="5"/>
  <c r="AR13" i="5"/>
  <c r="AQ13" i="5"/>
  <c r="AM13" i="5"/>
  <c r="AL13" i="5"/>
  <c r="AK13" i="5"/>
  <c r="AA13" i="5"/>
  <c r="AE13" i="5" s="1"/>
  <c r="BK12" i="5"/>
  <c r="BJ12" i="5"/>
  <c r="BI12" i="5"/>
  <c r="BE12" i="5"/>
  <c r="BD12" i="5"/>
  <c r="BC12" i="5"/>
  <c r="AY12" i="5"/>
  <c r="AX12" i="5"/>
  <c r="AW12" i="5"/>
  <c r="AS12" i="5"/>
  <c r="AR12" i="5"/>
  <c r="AQ12" i="5"/>
  <c r="AM12" i="5"/>
  <c r="AL12" i="5"/>
  <c r="AK12" i="5"/>
  <c r="AA12" i="5"/>
  <c r="AF12" i="5" s="1"/>
  <c r="BK11" i="5"/>
  <c r="BJ11" i="5"/>
  <c r="BI11" i="5"/>
  <c r="BE11" i="5"/>
  <c r="BD11" i="5"/>
  <c r="BC11" i="5"/>
  <c r="AY11" i="5"/>
  <c r="AX11" i="5"/>
  <c r="AW11" i="5"/>
  <c r="AS11" i="5"/>
  <c r="AR11" i="5"/>
  <c r="AQ11" i="5"/>
  <c r="AM11" i="5"/>
  <c r="AL11" i="5"/>
  <c r="AK11" i="5"/>
  <c r="AA11" i="5"/>
  <c r="BK10" i="5"/>
  <c r="BJ10" i="5"/>
  <c r="BI10" i="5"/>
  <c r="BE10" i="5"/>
  <c r="BD10" i="5"/>
  <c r="BC10" i="5"/>
  <c r="AY10" i="5"/>
  <c r="AX10" i="5"/>
  <c r="AW10" i="5"/>
  <c r="AS10" i="5"/>
  <c r="AR10" i="5"/>
  <c r="AQ10" i="5"/>
  <c r="AM10" i="5"/>
  <c r="AL10" i="5"/>
  <c r="AK10" i="5"/>
  <c r="AA10" i="5"/>
  <c r="AD10" i="5" s="1"/>
  <c r="BK9" i="5"/>
  <c r="BJ9" i="5"/>
  <c r="BI9" i="5"/>
  <c r="BE9" i="5"/>
  <c r="BD9" i="5"/>
  <c r="BC9" i="5"/>
  <c r="AY9" i="5"/>
  <c r="AX9" i="5"/>
  <c r="AW9" i="5"/>
  <c r="AS9" i="5"/>
  <c r="AR9" i="5"/>
  <c r="AQ9" i="5"/>
  <c r="AM9" i="5"/>
  <c r="AL9" i="5"/>
  <c r="AK9" i="5"/>
  <c r="AA9" i="5"/>
  <c r="BK8" i="5"/>
  <c r="BJ8" i="5"/>
  <c r="BI8" i="5"/>
  <c r="BE8" i="5"/>
  <c r="BD8" i="5"/>
  <c r="BC8" i="5"/>
  <c r="AY8" i="5"/>
  <c r="AX8" i="5"/>
  <c r="AW8" i="5"/>
  <c r="AS8" i="5"/>
  <c r="AR8" i="5"/>
  <c r="AQ8" i="5"/>
  <c r="AM8" i="5"/>
  <c r="AL8" i="5"/>
  <c r="AK8" i="5"/>
  <c r="AA8" i="5"/>
  <c r="AD8" i="5" s="1"/>
  <c r="BK7" i="5"/>
  <c r="BJ7" i="5"/>
  <c r="BI7" i="5"/>
  <c r="BE7" i="5"/>
  <c r="BD7" i="5"/>
  <c r="BC7" i="5"/>
  <c r="AY7" i="5"/>
  <c r="AX7" i="5"/>
  <c r="AW7" i="5"/>
  <c r="AS7" i="5"/>
  <c r="AR7" i="5"/>
  <c r="AQ7" i="5"/>
  <c r="AM7" i="5"/>
  <c r="AL7" i="5"/>
  <c r="AK7" i="5"/>
  <c r="AA7" i="5"/>
  <c r="AD7" i="5" s="1"/>
  <c r="BK6" i="5"/>
  <c r="BJ6" i="5"/>
  <c r="BI6" i="5"/>
  <c r="BE6" i="5"/>
  <c r="BD6" i="5"/>
  <c r="BC6" i="5"/>
  <c r="AY6" i="5"/>
  <c r="AX6" i="5"/>
  <c r="AW6" i="5"/>
  <c r="AS6" i="5"/>
  <c r="AR6" i="5"/>
  <c r="AQ6" i="5"/>
  <c r="AM6" i="5"/>
  <c r="AL6" i="5"/>
  <c r="AK6" i="5"/>
  <c r="AA6" i="5"/>
  <c r="BK5" i="5"/>
  <c r="BJ5" i="5"/>
  <c r="BI5" i="5"/>
  <c r="BE5" i="5"/>
  <c r="BD5" i="5"/>
  <c r="BC5" i="5"/>
  <c r="AY5" i="5"/>
  <c r="AX5" i="5"/>
  <c r="AW5" i="5"/>
  <c r="AS5" i="5"/>
  <c r="AR5" i="5"/>
  <c r="AQ5" i="5"/>
  <c r="AM5" i="5"/>
  <c r="AL5" i="5"/>
  <c r="AK5" i="5"/>
  <c r="AA5" i="5"/>
  <c r="AF5" i="5" s="1"/>
  <c r="Y52" i="4"/>
  <c r="O52" i="4"/>
  <c r="O51" i="4"/>
  <c r="E51" i="4"/>
  <c r="ES50" i="4"/>
  <c r="EY50" i="4" s="1"/>
  <c r="ER50" i="4"/>
  <c r="EX50" i="4" s="1"/>
  <c r="EM50" i="4"/>
  <c r="AS50" i="4"/>
  <c r="O50" i="4"/>
  <c r="E50" i="4"/>
  <c r="ES49" i="4"/>
  <c r="EY49" i="4" s="1"/>
  <c r="ER49" i="4"/>
  <c r="EX49" i="4" s="1"/>
  <c r="EM49" i="4"/>
  <c r="EG49" i="4"/>
  <c r="EA49" i="4"/>
  <c r="CW49" i="4"/>
  <c r="CQ49" i="4"/>
  <c r="BA49" i="4"/>
  <c r="AT49" i="4"/>
  <c r="AU49" i="4" s="1"/>
  <c r="AS49" i="4"/>
  <c r="AN49" i="4"/>
  <c r="O49" i="4"/>
  <c r="E49" i="4"/>
  <c r="ES48" i="4"/>
  <c r="EY48" i="4" s="1"/>
  <c r="ER48" i="4"/>
  <c r="EX48" i="4" s="1"/>
  <c r="EP48" i="4"/>
  <c r="EO48" i="4"/>
  <c r="EN48" i="4"/>
  <c r="EM48" i="4"/>
  <c r="EJ48" i="4"/>
  <c r="EI48" i="4"/>
  <c r="EH48" i="4"/>
  <c r="EG48" i="4"/>
  <c r="ED48" i="4"/>
  <c r="EC48" i="4"/>
  <c r="EB48" i="4"/>
  <c r="EA48" i="4"/>
  <c r="CZ48" i="4"/>
  <c r="CY48" i="4"/>
  <c r="CX48" i="4"/>
  <c r="CW48" i="4"/>
  <c r="CT48" i="4"/>
  <c r="CS48" i="4"/>
  <c r="CR48" i="4"/>
  <c r="CQ48" i="4"/>
  <c r="BD48" i="4"/>
  <c r="BC48" i="4"/>
  <c r="BB48" i="4"/>
  <c r="BA48" i="4"/>
  <c r="AT48" i="4"/>
  <c r="AU48" i="4" s="1"/>
  <c r="AS48" i="4"/>
  <c r="AQ48" i="4"/>
  <c r="AP48" i="4"/>
  <c r="AO48" i="4"/>
  <c r="AN48" i="4"/>
  <c r="O48" i="4"/>
  <c r="E48" i="4"/>
  <c r="ES47" i="4"/>
  <c r="ET47" i="4" s="1"/>
  <c r="EZ47" i="4" s="1"/>
  <c r="ER47" i="4"/>
  <c r="EX47" i="4" s="1"/>
  <c r="EP47" i="4"/>
  <c r="EO47" i="4"/>
  <c r="EN47" i="4"/>
  <c r="EM47" i="4"/>
  <c r="EJ47" i="4"/>
  <c r="EI47" i="4"/>
  <c r="EH47" i="4"/>
  <c r="EG47" i="4"/>
  <c r="ED47" i="4"/>
  <c r="EC47" i="4"/>
  <c r="EB47" i="4"/>
  <c r="EA47" i="4"/>
  <c r="CZ47" i="4"/>
  <c r="CY47" i="4"/>
  <c r="CX47" i="4"/>
  <c r="CW47" i="4"/>
  <c r="CT47" i="4"/>
  <c r="CS47" i="4"/>
  <c r="CR47" i="4"/>
  <c r="CQ47" i="4"/>
  <c r="BD47" i="4"/>
  <c r="BC47" i="4"/>
  <c r="BB47" i="4"/>
  <c r="BA47" i="4"/>
  <c r="AT47" i="4"/>
  <c r="AU47" i="4" s="1"/>
  <c r="AS47" i="4"/>
  <c r="AQ47" i="4"/>
  <c r="AP47" i="4"/>
  <c r="AO47" i="4"/>
  <c r="AN47" i="4"/>
  <c r="O47" i="4"/>
  <c r="E47" i="4"/>
  <c r="EY46" i="4"/>
  <c r="ES46" i="4"/>
  <c r="ET46" i="4" s="1"/>
  <c r="EZ46" i="4" s="1"/>
  <c r="ER46" i="4"/>
  <c r="EX46" i="4" s="1"/>
  <c r="EP46" i="4"/>
  <c r="EO46" i="4"/>
  <c r="EN46" i="4"/>
  <c r="AH41" i="2" s="1"/>
  <c r="EM46" i="4"/>
  <c r="EJ46" i="4"/>
  <c r="EI46" i="4"/>
  <c r="AH47" i="2" s="1"/>
  <c r="EH46" i="4"/>
  <c r="AF41" i="2" s="1"/>
  <c r="EG46" i="4"/>
  <c r="ED46" i="4"/>
  <c r="EC46" i="4"/>
  <c r="EB46" i="4"/>
  <c r="EA46" i="4"/>
  <c r="CZ46" i="4"/>
  <c r="CY46" i="4"/>
  <c r="CX46" i="4"/>
  <c r="CW46" i="4"/>
  <c r="CT46" i="4"/>
  <c r="CS46" i="4"/>
  <c r="CR46" i="4"/>
  <c r="CQ46" i="4"/>
  <c r="BD46" i="4"/>
  <c r="BC46" i="4"/>
  <c r="BB46" i="4"/>
  <c r="BA46" i="4"/>
  <c r="AT46" i="4"/>
  <c r="AU46" i="4" s="1"/>
  <c r="AS46" i="4"/>
  <c r="AQ46" i="4"/>
  <c r="AT45" i="2" s="1"/>
  <c r="AV45" i="2" s="1"/>
  <c r="AP46" i="4"/>
  <c r="AT47" i="2" s="1"/>
  <c r="AV47" i="2" s="1"/>
  <c r="AO46" i="4"/>
  <c r="AN46" i="4"/>
  <c r="AT43" i="2" s="1"/>
  <c r="AV43" i="2" s="1"/>
  <c r="O46" i="4"/>
  <c r="E46" i="4"/>
  <c r="ES45" i="4"/>
  <c r="ET45" i="4" s="1"/>
  <c r="EZ45" i="4" s="1"/>
  <c r="ER45" i="4"/>
  <c r="EX45" i="4" s="1"/>
  <c r="EP45" i="4"/>
  <c r="EO45" i="4"/>
  <c r="EN45" i="4"/>
  <c r="EM45" i="4"/>
  <c r="EJ45" i="4"/>
  <c r="EI45" i="4"/>
  <c r="EH45" i="4"/>
  <c r="EG45" i="4"/>
  <c r="ED45" i="4"/>
  <c r="EC45" i="4"/>
  <c r="EB45" i="4"/>
  <c r="EA45" i="4"/>
  <c r="CZ45" i="4"/>
  <c r="CY45" i="4"/>
  <c r="CX45" i="4"/>
  <c r="CW45" i="4"/>
  <c r="CT45" i="4"/>
  <c r="CS45" i="4"/>
  <c r="CR45" i="4"/>
  <c r="CQ45" i="4"/>
  <c r="BD45" i="4"/>
  <c r="BC45" i="4"/>
  <c r="BB45" i="4"/>
  <c r="BA45" i="4"/>
  <c r="AT45" i="4"/>
  <c r="AU45" i="4" s="1"/>
  <c r="AS45" i="4"/>
  <c r="AQ45" i="4"/>
  <c r="AP45" i="4"/>
  <c r="AO45" i="4"/>
  <c r="AN45" i="4"/>
  <c r="O45" i="4"/>
  <c r="E45" i="4"/>
  <c r="ES44" i="4"/>
  <c r="EY44" i="4" s="1"/>
  <c r="ER44" i="4"/>
  <c r="EX44" i="4" s="1"/>
  <c r="EP44" i="4"/>
  <c r="EO44" i="4"/>
  <c r="EN44" i="4"/>
  <c r="EM44" i="4"/>
  <c r="EJ44" i="4"/>
  <c r="EI44" i="4"/>
  <c r="EH44" i="4"/>
  <c r="EG44" i="4"/>
  <c r="ED44" i="4"/>
  <c r="EC44" i="4"/>
  <c r="EB44" i="4"/>
  <c r="EA44" i="4"/>
  <c r="CZ44" i="4"/>
  <c r="CY44" i="4"/>
  <c r="CX44" i="4"/>
  <c r="CW44" i="4"/>
  <c r="CT44" i="4"/>
  <c r="CS44" i="4"/>
  <c r="CR44" i="4"/>
  <c r="CQ44" i="4"/>
  <c r="BD44" i="4"/>
  <c r="BC44" i="4"/>
  <c r="BB44" i="4"/>
  <c r="BA44" i="4"/>
  <c r="AT44" i="4"/>
  <c r="AU44" i="4" s="1"/>
  <c r="AS44" i="4"/>
  <c r="AQ44" i="4"/>
  <c r="AP44" i="4"/>
  <c r="AO44" i="4"/>
  <c r="AN44" i="4"/>
  <c r="O44" i="4"/>
  <c r="E44" i="4"/>
  <c r="ES43" i="4"/>
  <c r="EY43" i="4" s="1"/>
  <c r="ER43" i="4"/>
  <c r="EX43" i="4" s="1"/>
  <c r="EP43" i="4"/>
  <c r="EO43" i="4"/>
  <c r="EN43" i="4"/>
  <c r="EM43" i="4"/>
  <c r="EJ43" i="4"/>
  <c r="EI43" i="4"/>
  <c r="EH43" i="4"/>
  <c r="EG43" i="4"/>
  <c r="ED43" i="4"/>
  <c r="EC43" i="4"/>
  <c r="EB43" i="4"/>
  <c r="EA43" i="4"/>
  <c r="CZ43" i="4"/>
  <c r="CY43" i="4"/>
  <c r="CX43" i="4"/>
  <c r="CW43" i="4"/>
  <c r="CT43" i="4"/>
  <c r="CS43" i="4"/>
  <c r="CR43" i="4"/>
  <c r="CQ43" i="4"/>
  <c r="BD43" i="4"/>
  <c r="BC43" i="4"/>
  <c r="BB43" i="4"/>
  <c r="BA43" i="4"/>
  <c r="AT43" i="4"/>
  <c r="AU43" i="4" s="1"/>
  <c r="AS43" i="4"/>
  <c r="AQ43" i="4"/>
  <c r="AP43" i="4"/>
  <c r="AO43" i="4"/>
  <c r="AN43" i="4"/>
  <c r="O43" i="4"/>
  <c r="E43" i="4"/>
  <c r="ES42" i="4"/>
  <c r="EY42" i="4" s="1"/>
  <c r="ER42" i="4"/>
  <c r="EP42" i="4"/>
  <c r="EO42" i="4"/>
  <c r="EN42" i="4"/>
  <c r="EM42" i="4"/>
  <c r="EJ42" i="4"/>
  <c r="EI42" i="4"/>
  <c r="EH42" i="4"/>
  <c r="EG42" i="4"/>
  <c r="ED42" i="4"/>
  <c r="EC42" i="4"/>
  <c r="EB42" i="4"/>
  <c r="EA42" i="4"/>
  <c r="CZ42" i="4"/>
  <c r="CY42" i="4"/>
  <c r="CX42" i="4"/>
  <c r="CW42" i="4"/>
  <c r="CT42" i="4"/>
  <c r="CS42" i="4"/>
  <c r="CR42" i="4"/>
  <c r="CQ42" i="4"/>
  <c r="BD42" i="4"/>
  <c r="BC42" i="4"/>
  <c r="BB42" i="4"/>
  <c r="BA42" i="4"/>
  <c r="AT42" i="4"/>
  <c r="AU42" i="4" s="1"/>
  <c r="AS42" i="4"/>
  <c r="AQ42" i="4"/>
  <c r="AP42" i="4"/>
  <c r="AO42" i="4"/>
  <c r="AN42" i="4"/>
  <c r="O42" i="4"/>
  <c r="E42" i="4"/>
  <c r="ES41" i="4"/>
  <c r="EY41" i="4" s="1"/>
  <c r="ER41" i="4"/>
  <c r="EP41" i="4"/>
  <c r="EO41" i="4"/>
  <c r="EN41" i="4"/>
  <c r="EM41" i="4"/>
  <c r="EJ41" i="4"/>
  <c r="EI41" i="4"/>
  <c r="EH41" i="4"/>
  <c r="EG41" i="4"/>
  <c r="ED41" i="4"/>
  <c r="EC41" i="4"/>
  <c r="EB41" i="4"/>
  <c r="EA41" i="4"/>
  <c r="CZ41" i="4"/>
  <c r="CY41" i="4"/>
  <c r="CX41" i="4"/>
  <c r="CW41" i="4"/>
  <c r="CT41" i="4"/>
  <c r="CS41" i="4"/>
  <c r="CR41" i="4"/>
  <c r="CQ41" i="4"/>
  <c r="BD41" i="4"/>
  <c r="BC41" i="4"/>
  <c r="BB41" i="4"/>
  <c r="BA41" i="4"/>
  <c r="AT41" i="4"/>
  <c r="AU41" i="4" s="1"/>
  <c r="AS41" i="4"/>
  <c r="AQ41" i="4"/>
  <c r="AP41" i="4"/>
  <c r="AO41" i="4"/>
  <c r="AN41" i="4"/>
  <c r="O41" i="4"/>
  <c r="E41" i="4"/>
  <c r="ES40" i="4"/>
  <c r="EY40" i="4" s="1"/>
  <c r="ER40" i="4"/>
  <c r="EX40" i="4" s="1"/>
  <c r="EP40" i="4"/>
  <c r="EO40" i="4"/>
  <c r="EN40" i="4"/>
  <c r="EM40" i="4"/>
  <c r="EJ40" i="4"/>
  <c r="EI40" i="4"/>
  <c r="EH40" i="4"/>
  <c r="EG40" i="4"/>
  <c r="ED40" i="4"/>
  <c r="EC40" i="4"/>
  <c r="EB40" i="4"/>
  <c r="EA40" i="4"/>
  <c r="CZ40" i="4"/>
  <c r="CY40" i="4"/>
  <c r="CX40" i="4"/>
  <c r="CW40" i="4"/>
  <c r="CT40" i="4"/>
  <c r="CS40" i="4"/>
  <c r="CR40" i="4"/>
  <c r="CQ40" i="4"/>
  <c r="BD40" i="4"/>
  <c r="BC40" i="4"/>
  <c r="BB40" i="4"/>
  <c r="BA40" i="4"/>
  <c r="AT40" i="4"/>
  <c r="AU40" i="4" s="1"/>
  <c r="AS40" i="4"/>
  <c r="AQ40" i="4"/>
  <c r="AP40" i="4"/>
  <c r="AO40" i="4"/>
  <c r="AN40" i="4"/>
  <c r="O40" i="4"/>
  <c r="E40" i="4"/>
  <c r="ES39" i="4"/>
  <c r="EY39" i="4" s="1"/>
  <c r="ER39" i="4"/>
  <c r="EX39" i="4" s="1"/>
  <c r="EP39" i="4"/>
  <c r="EO39" i="4"/>
  <c r="EN39" i="4"/>
  <c r="EM39" i="4"/>
  <c r="EJ39" i="4"/>
  <c r="EI39" i="4"/>
  <c r="EH39" i="4"/>
  <c r="EG39" i="4"/>
  <c r="ED39" i="4"/>
  <c r="EC39" i="4"/>
  <c r="EB39" i="4"/>
  <c r="EA39" i="4"/>
  <c r="CZ39" i="4"/>
  <c r="CY39" i="4"/>
  <c r="CX39" i="4"/>
  <c r="CW39" i="4"/>
  <c r="CT39" i="4"/>
  <c r="CS39" i="4"/>
  <c r="CR39" i="4"/>
  <c r="CQ39" i="4"/>
  <c r="BD39" i="4"/>
  <c r="BC39" i="4"/>
  <c r="BB39" i="4"/>
  <c r="BA39" i="4"/>
  <c r="AT39" i="4"/>
  <c r="AU39" i="4" s="1"/>
  <c r="AS39" i="4"/>
  <c r="AQ39" i="4"/>
  <c r="AP39" i="4"/>
  <c r="AO39" i="4"/>
  <c r="AN39" i="4"/>
  <c r="O39" i="4"/>
  <c r="E39" i="4"/>
  <c r="ES38" i="4"/>
  <c r="ET38" i="4" s="1"/>
  <c r="EZ38" i="4" s="1"/>
  <c r="ER38" i="4"/>
  <c r="EX38" i="4" s="1"/>
  <c r="EP38" i="4"/>
  <c r="EO38" i="4"/>
  <c r="EN38" i="4"/>
  <c r="EM38" i="4"/>
  <c r="EJ38" i="4"/>
  <c r="EI38" i="4"/>
  <c r="EH38" i="4"/>
  <c r="EG38" i="4"/>
  <c r="ED38" i="4"/>
  <c r="EC38" i="4"/>
  <c r="EB38" i="4"/>
  <c r="EA38" i="4"/>
  <c r="CZ38" i="4"/>
  <c r="CY38" i="4"/>
  <c r="CX38" i="4"/>
  <c r="CW38" i="4"/>
  <c r="CT38" i="4"/>
  <c r="CS38" i="4"/>
  <c r="CR38" i="4"/>
  <c r="CQ38" i="4"/>
  <c r="BD38" i="4"/>
  <c r="BC38" i="4"/>
  <c r="BB38" i="4"/>
  <c r="BA38" i="4"/>
  <c r="AT38" i="4"/>
  <c r="AU38" i="4" s="1"/>
  <c r="AS38" i="4"/>
  <c r="AQ38" i="4"/>
  <c r="AP38" i="4"/>
  <c r="AO38" i="4"/>
  <c r="AN38" i="4"/>
  <c r="O38" i="4"/>
  <c r="E38" i="4"/>
  <c r="EY37" i="4"/>
  <c r="ES37" i="4"/>
  <c r="ET37" i="4" s="1"/>
  <c r="EZ37" i="4" s="1"/>
  <c r="ER37" i="4"/>
  <c r="EP37" i="4"/>
  <c r="EO37" i="4"/>
  <c r="EN37" i="4"/>
  <c r="EM37" i="4"/>
  <c r="EJ37" i="4"/>
  <c r="EI37" i="4"/>
  <c r="EH37" i="4"/>
  <c r="EG37" i="4"/>
  <c r="ED37" i="4"/>
  <c r="EC37" i="4"/>
  <c r="EB37" i="4"/>
  <c r="EA37" i="4"/>
  <c r="CZ37" i="4"/>
  <c r="CY37" i="4"/>
  <c r="CX37" i="4"/>
  <c r="CW37" i="4"/>
  <c r="CT37" i="4"/>
  <c r="CS37" i="4"/>
  <c r="CR37" i="4"/>
  <c r="CQ37" i="4"/>
  <c r="BD37" i="4"/>
  <c r="BC37" i="4"/>
  <c r="BB37" i="4"/>
  <c r="BA37" i="4"/>
  <c r="AT37" i="4"/>
  <c r="AU37" i="4" s="1"/>
  <c r="AS37" i="4"/>
  <c r="AQ37" i="4"/>
  <c r="AP37" i="4"/>
  <c r="AO37" i="4"/>
  <c r="AN37" i="4"/>
  <c r="O37" i="4"/>
  <c r="E37" i="4"/>
  <c r="ES36" i="4"/>
  <c r="ET36" i="4" s="1"/>
  <c r="EZ36" i="4" s="1"/>
  <c r="ER36" i="4"/>
  <c r="EP36" i="4"/>
  <c r="EO36" i="4"/>
  <c r="EN36" i="4"/>
  <c r="EM36" i="4"/>
  <c r="EJ36" i="4"/>
  <c r="EI36" i="4"/>
  <c r="EH36" i="4"/>
  <c r="EG36" i="4"/>
  <c r="ED36" i="4"/>
  <c r="EC36" i="4"/>
  <c r="EB36" i="4"/>
  <c r="EA36" i="4"/>
  <c r="CZ36" i="4"/>
  <c r="CY36" i="4"/>
  <c r="CX36" i="4"/>
  <c r="CW36" i="4"/>
  <c r="CT36" i="4"/>
  <c r="CS36" i="4"/>
  <c r="CR36" i="4"/>
  <c r="CQ36" i="4"/>
  <c r="BD36" i="4"/>
  <c r="BC36" i="4"/>
  <c r="BB36" i="4"/>
  <c r="BA36" i="4"/>
  <c r="AT36" i="4"/>
  <c r="AU36" i="4" s="1"/>
  <c r="AS36" i="4"/>
  <c r="AQ36" i="4"/>
  <c r="AP36" i="4"/>
  <c r="AO36" i="4"/>
  <c r="AN36" i="4"/>
  <c r="O36" i="4"/>
  <c r="E36" i="4"/>
  <c r="ES35" i="4"/>
  <c r="EY35" i="4" s="1"/>
  <c r="ER35" i="4"/>
  <c r="EX35" i="4" s="1"/>
  <c r="EP35" i="4"/>
  <c r="EO35" i="4"/>
  <c r="EN35" i="4"/>
  <c r="EM35" i="4"/>
  <c r="EJ35" i="4"/>
  <c r="EI35" i="4"/>
  <c r="EH35" i="4"/>
  <c r="EG35" i="4"/>
  <c r="ED35" i="4"/>
  <c r="EC35" i="4"/>
  <c r="EB35" i="4"/>
  <c r="EA35" i="4"/>
  <c r="CZ35" i="4"/>
  <c r="CY35" i="4"/>
  <c r="CX35" i="4"/>
  <c r="CW35" i="4"/>
  <c r="CT35" i="4"/>
  <c r="CS35" i="4"/>
  <c r="CR35" i="4"/>
  <c r="CQ35" i="4"/>
  <c r="BD35" i="4"/>
  <c r="BC35" i="4"/>
  <c r="BB35" i="4"/>
  <c r="BA35" i="4"/>
  <c r="AT35" i="4"/>
  <c r="AU35" i="4" s="1"/>
  <c r="AS35" i="4"/>
  <c r="AQ35" i="4"/>
  <c r="AP35" i="4"/>
  <c r="AO35" i="4"/>
  <c r="AN35" i="4"/>
  <c r="O35" i="4"/>
  <c r="E35" i="4"/>
  <c r="ES34" i="4"/>
  <c r="EY34" i="4" s="1"/>
  <c r="ER34" i="4"/>
  <c r="EX34" i="4" s="1"/>
  <c r="EP34" i="4"/>
  <c r="EO34" i="4"/>
  <c r="EN34" i="4"/>
  <c r="EM34" i="4"/>
  <c r="EJ34" i="4"/>
  <c r="EI34" i="4"/>
  <c r="EH34" i="4"/>
  <c r="EG34" i="4"/>
  <c r="ED34" i="4"/>
  <c r="EC34" i="4"/>
  <c r="EB34" i="4"/>
  <c r="EA34" i="4"/>
  <c r="CZ34" i="4"/>
  <c r="CY34" i="4"/>
  <c r="CX34" i="4"/>
  <c r="CW34" i="4"/>
  <c r="CT34" i="4"/>
  <c r="CS34" i="4"/>
  <c r="CR34" i="4"/>
  <c r="CQ34" i="4"/>
  <c r="BD34" i="4"/>
  <c r="BC34" i="4"/>
  <c r="BB34" i="4"/>
  <c r="BA34" i="4"/>
  <c r="AT34" i="4"/>
  <c r="AU34" i="4" s="1"/>
  <c r="AS34" i="4"/>
  <c r="AQ34" i="4"/>
  <c r="AP34" i="4"/>
  <c r="AO34" i="4"/>
  <c r="AN34" i="4"/>
  <c r="O34" i="4"/>
  <c r="E34" i="4"/>
  <c r="ES33" i="4"/>
  <c r="EY33" i="4" s="1"/>
  <c r="ER33" i="4"/>
  <c r="EX33" i="4" s="1"/>
  <c r="EP33" i="4"/>
  <c r="EO33" i="4"/>
  <c r="EN33" i="4"/>
  <c r="EM33" i="4"/>
  <c r="EJ33" i="4"/>
  <c r="EI33" i="4"/>
  <c r="EH33" i="4"/>
  <c r="EG33" i="4"/>
  <c r="ED33" i="4"/>
  <c r="EC33" i="4"/>
  <c r="EB33" i="4"/>
  <c r="EA33" i="4"/>
  <c r="CZ33" i="4"/>
  <c r="CY33" i="4"/>
  <c r="CX33" i="4"/>
  <c r="CW33" i="4"/>
  <c r="CT33" i="4"/>
  <c r="CS33" i="4"/>
  <c r="CR33" i="4"/>
  <c r="CQ33" i="4"/>
  <c r="BD33" i="4"/>
  <c r="BC33" i="4"/>
  <c r="BB33" i="4"/>
  <c r="BA33" i="4"/>
  <c r="AT33" i="4"/>
  <c r="AU33" i="4" s="1"/>
  <c r="AS33" i="4"/>
  <c r="AQ33" i="4"/>
  <c r="AP33" i="4"/>
  <c r="AO33" i="4"/>
  <c r="AN33" i="4"/>
  <c r="O33" i="4"/>
  <c r="E33" i="4"/>
  <c r="ES32" i="4"/>
  <c r="EY32" i="4" s="1"/>
  <c r="ER32" i="4"/>
  <c r="EP32" i="4"/>
  <c r="EO32" i="4"/>
  <c r="EN32" i="4"/>
  <c r="EM32" i="4"/>
  <c r="EJ32" i="4"/>
  <c r="EI32" i="4"/>
  <c r="EH32" i="4"/>
  <c r="EG32" i="4"/>
  <c r="ED32" i="4"/>
  <c r="EC32" i="4"/>
  <c r="EB32" i="4"/>
  <c r="EA32" i="4"/>
  <c r="CZ32" i="4"/>
  <c r="CY32" i="4"/>
  <c r="CX32" i="4"/>
  <c r="CW32" i="4"/>
  <c r="CT32" i="4"/>
  <c r="CS32" i="4"/>
  <c r="CR32" i="4"/>
  <c r="CQ32" i="4"/>
  <c r="BD32" i="4"/>
  <c r="BC32" i="4"/>
  <c r="BB32" i="4"/>
  <c r="BA32" i="4"/>
  <c r="AT32" i="4"/>
  <c r="AU32" i="4" s="1"/>
  <c r="AS32" i="4"/>
  <c r="AQ32" i="4"/>
  <c r="AP32" i="4"/>
  <c r="AO32" i="4"/>
  <c r="AN32" i="4"/>
  <c r="O32" i="4"/>
  <c r="E32" i="4"/>
  <c r="ES31" i="4"/>
  <c r="ET31" i="4" s="1"/>
  <c r="EZ31" i="4" s="1"/>
  <c r="ER31" i="4"/>
  <c r="EX31" i="4" s="1"/>
  <c r="EQ31" i="4"/>
  <c r="EQ32" i="4" s="1"/>
  <c r="EQ33" i="4" s="1"/>
  <c r="EQ34" i="4" s="1"/>
  <c r="EQ35" i="4" s="1"/>
  <c r="EQ36" i="4" s="1"/>
  <c r="EQ37" i="4" s="1"/>
  <c r="EQ38" i="4" s="1"/>
  <c r="EQ39" i="4" s="1"/>
  <c r="EQ40" i="4" s="1"/>
  <c r="EQ41" i="4" s="1"/>
  <c r="EQ42" i="4" s="1"/>
  <c r="EQ43" i="4" s="1"/>
  <c r="EQ44" i="4" s="1"/>
  <c r="EQ45" i="4" s="1"/>
  <c r="EQ46" i="4" s="1"/>
  <c r="EQ47" i="4" s="1"/>
  <c r="EQ48" i="4" s="1"/>
  <c r="EP31" i="4"/>
  <c r="EO31" i="4"/>
  <c r="EN31" i="4"/>
  <c r="EM31" i="4"/>
  <c r="EJ31" i="4"/>
  <c r="EI31" i="4"/>
  <c r="EH31" i="4"/>
  <c r="EG31" i="4"/>
  <c r="ED31" i="4"/>
  <c r="EC31" i="4"/>
  <c r="EB31" i="4"/>
  <c r="EA31" i="4"/>
  <c r="CZ31" i="4"/>
  <c r="CY31" i="4"/>
  <c r="CX31" i="4"/>
  <c r="CW31" i="4"/>
  <c r="CT31" i="4"/>
  <c r="CS31" i="4"/>
  <c r="CR31" i="4"/>
  <c r="CQ31" i="4"/>
  <c r="BD31" i="4"/>
  <c r="BC31" i="4"/>
  <c r="BB31" i="4"/>
  <c r="BA31" i="4"/>
  <c r="AT31" i="4"/>
  <c r="AU31" i="4" s="1"/>
  <c r="AS31" i="4"/>
  <c r="AR31" i="4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Q31" i="4"/>
  <c r="AP31" i="4"/>
  <c r="AO31" i="4"/>
  <c r="AN31" i="4"/>
  <c r="O31" i="4"/>
  <c r="E31" i="4"/>
  <c r="ES30" i="4"/>
  <c r="EY30" i="4" s="1"/>
  <c r="ER30" i="4"/>
  <c r="EP30" i="4"/>
  <c r="EO30" i="4"/>
  <c r="EN30" i="4"/>
  <c r="EM30" i="4"/>
  <c r="EJ30" i="4"/>
  <c r="EI30" i="4"/>
  <c r="EH30" i="4"/>
  <c r="EG30" i="4"/>
  <c r="ED30" i="4"/>
  <c r="EC30" i="4"/>
  <c r="EB30" i="4"/>
  <c r="EA30" i="4"/>
  <c r="CZ30" i="4"/>
  <c r="CY30" i="4"/>
  <c r="CX30" i="4"/>
  <c r="CW30" i="4"/>
  <c r="CT30" i="4"/>
  <c r="CS30" i="4"/>
  <c r="CR30" i="4"/>
  <c r="CQ30" i="4"/>
  <c r="BD30" i="4"/>
  <c r="BC30" i="4"/>
  <c r="BB30" i="4"/>
  <c r="BA30" i="4"/>
  <c r="AT30" i="4"/>
  <c r="AU30" i="4" s="1"/>
  <c r="AS30" i="4"/>
  <c r="AN30" i="4"/>
  <c r="O30" i="4"/>
  <c r="E30" i="4"/>
  <c r="ES29" i="4"/>
  <c r="ET29" i="4" s="1"/>
  <c r="EZ29" i="4" s="1"/>
  <c r="ER29" i="4"/>
  <c r="EX29" i="4" s="1"/>
  <c r="EP29" i="4"/>
  <c r="EO29" i="4"/>
  <c r="EN29" i="4"/>
  <c r="EM29" i="4"/>
  <c r="EJ29" i="4"/>
  <c r="EI29" i="4"/>
  <c r="EH29" i="4"/>
  <c r="EG29" i="4"/>
  <c r="ED29" i="4"/>
  <c r="EC29" i="4"/>
  <c r="EB29" i="4"/>
  <c r="EA29" i="4"/>
  <c r="CZ29" i="4"/>
  <c r="CY29" i="4"/>
  <c r="CX29" i="4"/>
  <c r="CW29" i="4"/>
  <c r="CT29" i="4"/>
  <c r="CS29" i="4"/>
  <c r="CR29" i="4"/>
  <c r="CQ29" i="4"/>
  <c r="BD29" i="4"/>
  <c r="BC29" i="4"/>
  <c r="BB29" i="4"/>
  <c r="BA29" i="4"/>
  <c r="AT29" i="4"/>
  <c r="AU29" i="4" s="1"/>
  <c r="AS29" i="4"/>
  <c r="AN29" i="4"/>
  <c r="O29" i="4"/>
  <c r="E29" i="4"/>
  <c r="ES28" i="4"/>
  <c r="ET28" i="4" s="1"/>
  <c r="EZ28" i="4" s="1"/>
  <c r="ER28" i="4"/>
  <c r="EP28" i="4"/>
  <c r="EO28" i="4"/>
  <c r="EN28" i="4"/>
  <c r="EM28" i="4"/>
  <c r="EJ28" i="4"/>
  <c r="EI28" i="4"/>
  <c r="EH28" i="4"/>
  <c r="EG28" i="4"/>
  <c r="ED28" i="4"/>
  <c r="EC28" i="4"/>
  <c r="EB28" i="4"/>
  <c r="EA28" i="4"/>
  <c r="CZ28" i="4"/>
  <c r="CY28" i="4"/>
  <c r="CX28" i="4"/>
  <c r="CW28" i="4"/>
  <c r="CT28" i="4"/>
  <c r="CS28" i="4"/>
  <c r="CR28" i="4"/>
  <c r="CQ28" i="4"/>
  <c r="BD28" i="4"/>
  <c r="BC28" i="4"/>
  <c r="BB28" i="4"/>
  <c r="BA28" i="4"/>
  <c r="AT28" i="4"/>
  <c r="AU28" i="4" s="1"/>
  <c r="AS28" i="4"/>
  <c r="AN28" i="4"/>
  <c r="O28" i="4"/>
  <c r="E28" i="4"/>
  <c r="ES27" i="4"/>
  <c r="EY27" i="4" s="1"/>
  <c r="ER27" i="4"/>
  <c r="EP27" i="4"/>
  <c r="EO27" i="4"/>
  <c r="EN27" i="4"/>
  <c r="EM27" i="4"/>
  <c r="EJ27" i="4"/>
  <c r="EI27" i="4"/>
  <c r="EH27" i="4"/>
  <c r="EG27" i="4"/>
  <c r="ED27" i="4"/>
  <c r="EC27" i="4"/>
  <c r="EB27" i="4"/>
  <c r="EA27" i="4"/>
  <c r="CZ27" i="4"/>
  <c r="CY27" i="4"/>
  <c r="CX27" i="4"/>
  <c r="CW27" i="4"/>
  <c r="CT27" i="4"/>
  <c r="CS27" i="4"/>
  <c r="CR27" i="4"/>
  <c r="CQ27" i="4"/>
  <c r="BD27" i="4"/>
  <c r="BC27" i="4"/>
  <c r="BB27" i="4"/>
  <c r="BA27" i="4"/>
  <c r="AT27" i="4"/>
  <c r="AU27" i="4" s="1"/>
  <c r="AS27" i="4"/>
  <c r="AN27" i="4"/>
  <c r="O27" i="4"/>
  <c r="E27" i="4"/>
  <c r="ES26" i="4"/>
  <c r="ET26" i="4" s="1"/>
  <c r="EZ26" i="4" s="1"/>
  <c r="ER26" i="4"/>
  <c r="EP26" i="4"/>
  <c r="EO26" i="4"/>
  <c r="EN26" i="4"/>
  <c r="EM26" i="4"/>
  <c r="EJ26" i="4"/>
  <c r="EI26" i="4"/>
  <c r="EH26" i="4"/>
  <c r="EG26" i="4"/>
  <c r="ED26" i="4"/>
  <c r="EC26" i="4"/>
  <c r="EB26" i="4"/>
  <c r="EA26" i="4"/>
  <c r="CZ26" i="4"/>
  <c r="CY26" i="4"/>
  <c r="CX26" i="4"/>
  <c r="CW26" i="4"/>
  <c r="CT26" i="4"/>
  <c r="CS26" i="4"/>
  <c r="CR26" i="4"/>
  <c r="CQ26" i="4"/>
  <c r="BD26" i="4"/>
  <c r="BC26" i="4"/>
  <c r="BB26" i="4"/>
  <c r="BA26" i="4"/>
  <c r="AT26" i="4"/>
  <c r="AU26" i="4" s="1"/>
  <c r="AS26" i="4"/>
  <c r="AN26" i="4"/>
  <c r="O26" i="4"/>
  <c r="E26" i="4"/>
  <c r="EP25" i="4"/>
  <c r="EO25" i="4"/>
  <c r="EN25" i="4"/>
  <c r="EM25" i="4"/>
  <c r="EJ25" i="4"/>
  <c r="EI25" i="4"/>
  <c r="EH25" i="4"/>
  <c r="EG25" i="4"/>
  <c r="ED25" i="4"/>
  <c r="EC25" i="4"/>
  <c r="EB25" i="4"/>
  <c r="EA25" i="4"/>
  <c r="DU25" i="4"/>
  <c r="DV25" i="4" s="1"/>
  <c r="DO25" i="4"/>
  <c r="DP25" i="4" s="1"/>
  <c r="DI25" i="4"/>
  <c r="DJ25" i="4" s="1"/>
  <c r="DC25" i="4"/>
  <c r="DD25" i="4" s="1"/>
  <c r="CZ25" i="4"/>
  <c r="CY25" i="4"/>
  <c r="CX25" i="4"/>
  <c r="CW25" i="4"/>
  <c r="CT25" i="4"/>
  <c r="CS25" i="4"/>
  <c r="CR25" i="4"/>
  <c r="CQ25" i="4"/>
  <c r="CK25" i="4"/>
  <c r="CL25" i="4" s="1"/>
  <c r="CE25" i="4"/>
  <c r="CF25" i="4" s="1"/>
  <c r="BY25" i="4"/>
  <c r="BZ25" i="4" s="1"/>
  <c r="BS25" i="4"/>
  <c r="BT25" i="4" s="1"/>
  <c r="BO25" i="4"/>
  <c r="BM25" i="4"/>
  <c r="BP25" i="4" s="1"/>
  <c r="BG25" i="4"/>
  <c r="BJ25" i="4" s="1"/>
  <c r="BD25" i="4"/>
  <c r="BC25" i="4"/>
  <c r="BB25" i="4"/>
  <c r="BA25" i="4"/>
  <c r="AT25" i="4"/>
  <c r="AU25" i="4" s="1"/>
  <c r="AS25" i="4"/>
  <c r="U25" i="4"/>
  <c r="AN25" i="4" s="1"/>
  <c r="O25" i="4"/>
  <c r="K25" i="4"/>
  <c r="AQ30" i="4" s="1"/>
  <c r="E25" i="4"/>
  <c r="EP24" i="4"/>
  <c r="EO24" i="4"/>
  <c r="EN24" i="4"/>
  <c r="EM24" i="4"/>
  <c r="EJ24" i="4"/>
  <c r="EI24" i="4"/>
  <c r="EH24" i="4"/>
  <c r="ED24" i="4"/>
  <c r="EC24" i="4"/>
  <c r="EB24" i="4"/>
  <c r="DX24" i="4"/>
  <c r="DW24" i="4"/>
  <c r="DV24" i="4"/>
  <c r="DR24" i="4"/>
  <c r="DQ24" i="4"/>
  <c r="DP24" i="4"/>
  <c r="DL24" i="4"/>
  <c r="DK24" i="4"/>
  <c r="DJ24" i="4"/>
  <c r="DF24" i="4"/>
  <c r="DE24" i="4"/>
  <c r="DD24" i="4"/>
  <c r="CZ24" i="4"/>
  <c r="CY24" i="4"/>
  <c r="CX24" i="4"/>
  <c r="CT24" i="4"/>
  <c r="CS24" i="4"/>
  <c r="CR24" i="4"/>
  <c r="CN24" i="4"/>
  <c r="CM24" i="4"/>
  <c r="CL24" i="4"/>
  <c r="CH24" i="4"/>
  <c r="CG24" i="4"/>
  <c r="CF24" i="4"/>
  <c r="CB24" i="4"/>
  <c r="CA24" i="4"/>
  <c r="BZ24" i="4"/>
  <c r="BV24" i="4"/>
  <c r="BU24" i="4"/>
  <c r="BT24" i="4"/>
  <c r="BP24" i="4"/>
  <c r="BO24" i="4"/>
  <c r="BN24" i="4"/>
  <c r="BJ24" i="4"/>
  <c r="BI24" i="4"/>
  <c r="BH24" i="4"/>
  <c r="BD24" i="4"/>
  <c r="BC24" i="4"/>
  <c r="BB24" i="4"/>
  <c r="BA24" i="4"/>
  <c r="AU24" i="4"/>
  <c r="AS24" i="4"/>
  <c r="AN24" i="4"/>
  <c r="K24" i="4"/>
  <c r="AQ29" i="4" s="1"/>
  <c r="E24" i="4"/>
  <c r="EP23" i="4"/>
  <c r="EO23" i="4"/>
  <c r="EN23" i="4"/>
  <c r="EJ23" i="4"/>
  <c r="EI23" i="4"/>
  <c r="EH23" i="4"/>
  <c r="ED23" i="4"/>
  <c r="EC23" i="4"/>
  <c r="EB23" i="4"/>
  <c r="DX23" i="4"/>
  <c r="DW23" i="4"/>
  <c r="DV23" i="4"/>
  <c r="DR23" i="4"/>
  <c r="DQ23" i="4"/>
  <c r="DP23" i="4"/>
  <c r="DL23" i="4"/>
  <c r="DK23" i="4"/>
  <c r="DJ23" i="4"/>
  <c r="DF23" i="4"/>
  <c r="DE23" i="4"/>
  <c r="DD23" i="4"/>
  <c r="CZ23" i="4"/>
  <c r="CY23" i="4"/>
  <c r="CX23" i="4"/>
  <c r="CT23" i="4"/>
  <c r="CS23" i="4"/>
  <c r="CR23" i="4"/>
  <c r="CN23" i="4"/>
  <c r="CM23" i="4"/>
  <c r="CL23" i="4"/>
  <c r="CH23" i="4"/>
  <c r="CG23" i="4"/>
  <c r="CF23" i="4"/>
  <c r="CB23" i="4"/>
  <c r="CA23" i="4"/>
  <c r="BZ23" i="4"/>
  <c r="BV23" i="4"/>
  <c r="BU23" i="4"/>
  <c r="BT23" i="4"/>
  <c r="BP23" i="4"/>
  <c r="BO23" i="4"/>
  <c r="BN23" i="4"/>
  <c r="BJ23" i="4"/>
  <c r="BI23" i="4"/>
  <c r="BH23" i="4"/>
  <c r="BD23" i="4"/>
  <c r="BC23" i="4"/>
  <c r="BB23" i="4"/>
  <c r="AS23" i="4"/>
  <c r="K23" i="4"/>
  <c r="E23" i="4"/>
  <c r="EP22" i="4"/>
  <c r="EO22" i="4"/>
  <c r="EN22" i="4"/>
  <c r="EJ22" i="4"/>
  <c r="EI22" i="4"/>
  <c r="EH22" i="4"/>
  <c r="ED22" i="4"/>
  <c r="EC22" i="4"/>
  <c r="EB22" i="4"/>
  <c r="DX22" i="4"/>
  <c r="DW22" i="4"/>
  <c r="DV22" i="4"/>
  <c r="DR22" i="4"/>
  <c r="DQ22" i="4"/>
  <c r="DP22" i="4"/>
  <c r="DL22" i="4"/>
  <c r="DK22" i="4"/>
  <c r="DJ22" i="4"/>
  <c r="DF22" i="4"/>
  <c r="DE22" i="4"/>
  <c r="DD22" i="4"/>
  <c r="CZ22" i="4"/>
  <c r="CY22" i="4"/>
  <c r="CX22" i="4"/>
  <c r="CT22" i="4"/>
  <c r="CS22" i="4"/>
  <c r="CR22" i="4"/>
  <c r="CN22" i="4"/>
  <c r="CM22" i="4"/>
  <c r="CL22" i="4"/>
  <c r="CH22" i="4"/>
  <c r="CG22" i="4"/>
  <c r="CF22" i="4"/>
  <c r="CB22" i="4"/>
  <c r="CA22" i="4"/>
  <c r="BZ22" i="4"/>
  <c r="BV22" i="4"/>
  <c r="BU22" i="4"/>
  <c r="BT22" i="4"/>
  <c r="BP22" i="4"/>
  <c r="BO22" i="4"/>
  <c r="BN22" i="4"/>
  <c r="BJ22" i="4"/>
  <c r="BI22" i="4"/>
  <c r="BH22" i="4"/>
  <c r="BD22" i="4"/>
  <c r="BC22" i="4"/>
  <c r="BB22" i="4"/>
  <c r="AS22" i="4"/>
  <c r="K22" i="4"/>
  <c r="E22" i="4"/>
  <c r="EP21" i="4"/>
  <c r="EO21" i="4"/>
  <c r="EN21" i="4"/>
  <c r="EJ21" i="4"/>
  <c r="EI21" i="4"/>
  <c r="EH21" i="4"/>
  <c r="ED21" i="4"/>
  <c r="EC21" i="4"/>
  <c r="EB21" i="4"/>
  <c r="DX21" i="4"/>
  <c r="DW21" i="4"/>
  <c r="DV21" i="4"/>
  <c r="DR21" i="4"/>
  <c r="DQ21" i="4"/>
  <c r="DP21" i="4"/>
  <c r="DL21" i="4"/>
  <c r="DK21" i="4"/>
  <c r="DJ21" i="4"/>
  <c r="DF21" i="4"/>
  <c r="DE21" i="4"/>
  <c r="DD21" i="4"/>
  <c r="CZ21" i="4"/>
  <c r="CY21" i="4"/>
  <c r="CX21" i="4"/>
  <c r="CT21" i="4"/>
  <c r="CS21" i="4"/>
  <c r="CR21" i="4"/>
  <c r="CN21" i="4"/>
  <c r="CM21" i="4"/>
  <c r="CL21" i="4"/>
  <c r="CH21" i="4"/>
  <c r="CG21" i="4"/>
  <c r="CF21" i="4"/>
  <c r="CB21" i="4"/>
  <c r="CA21" i="4"/>
  <c r="BZ21" i="4"/>
  <c r="BV21" i="4"/>
  <c r="BU21" i="4"/>
  <c r="BT21" i="4"/>
  <c r="BP21" i="4"/>
  <c r="BO21" i="4"/>
  <c r="BN21" i="4"/>
  <c r="BJ21" i="4"/>
  <c r="BI21" i="4"/>
  <c r="BH21" i="4"/>
  <c r="BD21" i="4"/>
  <c r="BC21" i="4"/>
  <c r="BB21" i="4"/>
  <c r="AS21" i="4"/>
  <c r="K21" i="4"/>
  <c r="E21" i="4"/>
  <c r="EP20" i="4"/>
  <c r="EO20" i="4"/>
  <c r="EN20" i="4"/>
  <c r="EJ20" i="4"/>
  <c r="EI20" i="4"/>
  <c r="EH20" i="4"/>
  <c r="ED20" i="4"/>
  <c r="EC20" i="4"/>
  <c r="EB20" i="4"/>
  <c r="DX20" i="4"/>
  <c r="DW20" i="4"/>
  <c r="DV20" i="4"/>
  <c r="DR20" i="4"/>
  <c r="DQ20" i="4"/>
  <c r="DP20" i="4"/>
  <c r="DL20" i="4"/>
  <c r="DK20" i="4"/>
  <c r="DJ20" i="4"/>
  <c r="DF20" i="4"/>
  <c r="DE20" i="4"/>
  <c r="DD20" i="4"/>
  <c r="CZ20" i="4"/>
  <c r="CY20" i="4"/>
  <c r="CX20" i="4"/>
  <c r="CT20" i="4"/>
  <c r="CS20" i="4"/>
  <c r="CR20" i="4"/>
  <c r="CN20" i="4"/>
  <c r="CM20" i="4"/>
  <c r="CL20" i="4"/>
  <c r="CH20" i="4"/>
  <c r="CG20" i="4"/>
  <c r="CF20" i="4"/>
  <c r="CB20" i="4"/>
  <c r="CA20" i="4"/>
  <c r="BZ20" i="4"/>
  <c r="BV20" i="4"/>
  <c r="BU20" i="4"/>
  <c r="BT20" i="4"/>
  <c r="BP20" i="4"/>
  <c r="BO20" i="4"/>
  <c r="BN20" i="4"/>
  <c r="BJ20" i="4"/>
  <c r="BI20" i="4"/>
  <c r="BH20" i="4"/>
  <c r="BD20" i="4"/>
  <c r="BC20" i="4"/>
  <c r="BB20" i="4"/>
  <c r="AS20" i="4"/>
  <c r="K20" i="4"/>
  <c r="E20" i="4"/>
  <c r="EP19" i="4"/>
  <c r="EO19" i="4"/>
  <c r="EN19" i="4"/>
  <c r="EJ19" i="4"/>
  <c r="EI19" i="4"/>
  <c r="EH19" i="4"/>
  <c r="ED19" i="4"/>
  <c r="EC19" i="4"/>
  <c r="EB19" i="4"/>
  <c r="DX19" i="4"/>
  <c r="DW19" i="4"/>
  <c r="DV19" i="4"/>
  <c r="DR19" i="4"/>
  <c r="DQ19" i="4"/>
  <c r="DP19" i="4"/>
  <c r="DL19" i="4"/>
  <c r="DK19" i="4"/>
  <c r="DJ19" i="4"/>
  <c r="DF19" i="4"/>
  <c r="DE19" i="4"/>
  <c r="DD19" i="4"/>
  <c r="CZ19" i="4"/>
  <c r="CY19" i="4"/>
  <c r="CX19" i="4"/>
  <c r="CT19" i="4"/>
  <c r="CS19" i="4"/>
  <c r="CR19" i="4"/>
  <c r="CN19" i="4"/>
  <c r="CM19" i="4"/>
  <c r="CL19" i="4"/>
  <c r="CH19" i="4"/>
  <c r="CG19" i="4"/>
  <c r="CF19" i="4"/>
  <c r="CB19" i="4"/>
  <c r="CA19" i="4"/>
  <c r="BZ19" i="4"/>
  <c r="BV19" i="4"/>
  <c r="BU19" i="4"/>
  <c r="BT19" i="4"/>
  <c r="BP19" i="4"/>
  <c r="BO19" i="4"/>
  <c r="BN19" i="4"/>
  <c r="BJ19" i="4"/>
  <c r="BI19" i="4"/>
  <c r="BH19" i="4"/>
  <c r="BD19" i="4"/>
  <c r="BC19" i="4"/>
  <c r="BB19" i="4"/>
  <c r="AS19" i="4"/>
  <c r="K19" i="4"/>
  <c r="E19" i="4"/>
  <c r="EP18" i="4"/>
  <c r="EO18" i="4"/>
  <c r="EN18" i="4"/>
  <c r="EJ18" i="4"/>
  <c r="EI18" i="4"/>
  <c r="EH18" i="4"/>
  <c r="ED18" i="4"/>
  <c r="EC18" i="4"/>
  <c r="EB18" i="4"/>
  <c r="DX18" i="4"/>
  <c r="DW18" i="4"/>
  <c r="DV18" i="4"/>
  <c r="DR18" i="4"/>
  <c r="DQ18" i="4"/>
  <c r="DP18" i="4"/>
  <c r="DL18" i="4"/>
  <c r="DK18" i="4"/>
  <c r="DJ18" i="4"/>
  <c r="DF18" i="4"/>
  <c r="DE18" i="4"/>
  <c r="DD18" i="4"/>
  <c r="CZ18" i="4"/>
  <c r="CY18" i="4"/>
  <c r="CX18" i="4"/>
  <c r="CT18" i="4"/>
  <c r="CS18" i="4"/>
  <c r="CR18" i="4"/>
  <c r="CN18" i="4"/>
  <c r="CM18" i="4"/>
  <c r="CL18" i="4"/>
  <c r="CH18" i="4"/>
  <c r="CG18" i="4"/>
  <c r="CF18" i="4"/>
  <c r="CB18" i="4"/>
  <c r="CA18" i="4"/>
  <c r="BZ18" i="4"/>
  <c r="BV18" i="4"/>
  <c r="BU18" i="4"/>
  <c r="BT18" i="4"/>
  <c r="BP18" i="4"/>
  <c r="BO18" i="4"/>
  <c r="BN18" i="4"/>
  <c r="BJ18" i="4"/>
  <c r="BI18" i="4"/>
  <c r="BH18" i="4"/>
  <c r="BD18" i="4"/>
  <c r="BC18" i="4"/>
  <c r="BB18" i="4"/>
  <c r="AS18" i="4"/>
  <c r="K18" i="4"/>
  <c r="E18" i="4"/>
  <c r="EP17" i="4"/>
  <c r="EO17" i="4"/>
  <c r="EN17" i="4"/>
  <c r="EJ17" i="4"/>
  <c r="EI17" i="4"/>
  <c r="EH17" i="4"/>
  <c r="ED17" i="4"/>
  <c r="EC17" i="4"/>
  <c r="EB17" i="4"/>
  <c r="DX17" i="4"/>
  <c r="DW17" i="4"/>
  <c r="DV17" i="4"/>
  <c r="DR17" i="4"/>
  <c r="DQ17" i="4"/>
  <c r="DP17" i="4"/>
  <c r="DL17" i="4"/>
  <c r="DK17" i="4"/>
  <c r="DJ17" i="4"/>
  <c r="DF17" i="4"/>
  <c r="DE17" i="4"/>
  <c r="DD17" i="4"/>
  <c r="CZ17" i="4"/>
  <c r="CY17" i="4"/>
  <c r="CX17" i="4"/>
  <c r="CT17" i="4"/>
  <c r="CS17" i="4"/>
  <c r="CR17" i="4"/>
  <c r="CN17" i="4"/>
  <c r="CM17" i="4"/>
  <c r="CL17" i="4"/>
  <c r="CH17" i="4"/>
  <c r="CG17" i="4"/>
  <c r="CF17" i="4"/>
  <c r="CB17" i="4"/>
  <c r="CA17" i="4"/>
  <c r="BZ17" i="4"/>
  <c r="BV17" i="4"/>
  <c r="BU17" i="4"/>
  <c r="BT17" i="4"/>
  <c r="BP17" i="4"/>
  <c r="BO17" i="4"/>
  <c r="BN17" i="4"/>
  <c r="BJ17" i="4"/>
  <c r="BI17" i="4"/>
  <c r="BH17" i="4"/>
  <c r="BD17" i="4"/>
  <c r="BC17" i="4"/>
  <c r="BB17" i="4"/>
  <c r="AS17" i="4"/>
  <c r="K17" i="4"/>
  <c r="E17" i="4"/>
  <c r="EP16" i="4"/>
  <c r="EO16" i="4"/>
  <c r="EN16" i="4"/>
  <c r="EJ16" i="4"/>
  <c r="EI16" i="4"/>
  <c r="EH16" i="4"/>
  <c r="ED16" i="4"/>
  <c r="EC16" i="4"/>
  <c r="EB16" i="4"/>
  <c r="DX16" i="4"/>
  <c r="DW16" i="4"/>
  <c r="DV16" i="4"/>
  <c r="DR16" i="4"/>
  <c r="DQ16" i="4"/>
  <c r="DP16" i="4"/>
  <c r="DL16" i="4"/>
  <c r="DK16" i="4"/>
  <c r="DJ16" i="4"/>
  <c r="DF16" i="4"/>
  <c r="DE16" i="4"/>
  <c r="DD16" i="4"/>
  <c r="CZ16" i="4"/>
  <c r="CY16" i="4"/>
  <c r="CX16" i="4"/>
  <c r="CT16" i="4"/>
  <c r="CS16" i="4"/>
  <c r="CR16" i="4"/>
  <c r="CN16" i="4"/>
  <c r="CM16" i="4"/>
  <c r="CL16" i="4"/>
  <c r="CH16" i="4"/>
  <c r="CG16" i="4"/>
  <c r="CF16" i="4"/>
  <c r="CB16" i="4"/>
  <c r="CA16" i="4"/>
  <c r="BZ16" i="4"/>
  <c r="BV16" i="4"/>
  <c r="BU16" i="4"/>
  <c r="BT16" i="4"/>
  <c r="BP16" i="4"/>
  <c r="BO16" i="4"/>
  <c r="BN16" i="4"/>
  <c r="BJ16" i="4"/>
  <c r="BI16" i="4"/>
  <c r="BH16" i="4"/>
  <c r="BD16" i="4"/>
  <c r="BC16" i="4"/>
  <c r="BB16" i="4"/>
  <c r="AS16" i="4"/>
  <c r="K16" i="4"/>
  <c r="E16" i="4"/>
  <c r="EP15" i="4"/>
  <c r="EO15" i="4"/>
  <c r="EN15" i="4"/>
  <c r="EJ15" i="4"/>
  <c r="EI15" i="4"/>
  <c r="EH15" i="4"/>
  <c r="ED15" i="4"/>
  <c r="EC15" i="4"/>
  <c r="EB15" i="4"/>
  <c r="DX15" i="4"/>
  <c r="DW15" i="4"/>
  <c r="DV15" i="4"/>
  <c r="DR15" i="4"/>
  <c r="DQ15" i="4"/>
  <c r="DP15" i="4"/>
  <c r="DL15" i="4"/>
  <c r="DK15" i="4"/>
  <c r="DJ15" i="4"/>
  <c r="DF15" i="4"/>
  <c r="DE15" i="4"/>
  <c r="DD15" i="4"/>
  <c r="CZ15" i="4"/>
  <c r="CY15" i="4"/>
  <c r="CX15" i="4"/>
  <c r="CT15" i="4"/>
  <c r="CS15" i="4"/>
  <c r="CR15" i="4"/>
  <c r="CN15" i="4"/>
  <c r="CM15" i="4"/>
  <c r="CL15" i="4"/>
  <c r="CH15" i="4"/>
  <c r="CG15" i="4"/>
  <c r="CF15" i="4"/>
  <c r="CB15" i="4"/>
  <c r="CA15" i="4"/>
  <c r="BZ15" i="4"/>
  <c r="BV15" i="4"/>
  <c r="BU15" i="4"/>
  <c r="BT15" i="4"/>
  <c r="BP15" i="4"/>
  <c r="BO15" i="4"/>
  <c r="BN15" i="4"/>
  <c r="BJ15" i="4"/>
  <c r="BI15" i="4"/>
  <c r="BH15" i="4"/>
  <c r="BD15" i="4"/>
  <c r="BC15" i="4"/>
  <c r="BB15" i="4"/>
  <c r="AS15" i="4"/>
  <c r="AX15" i="4" s="1"/>
  <c r="K15" i="4"/>
  <c r="E15" i="4"/>
  <c r="EP14" i="4"/>
  <c r="EO14" i="4"/>
  <c r="EN14" i="4"/>
  <c r="EJ14" i="4"/>
  <c r="EI14" i="4"/>
  <c r="EH14" i="4"/>
  <c r="ED14" i="4"/>
  <c r="EC14" i="4"/>
  <c r="EB14" i="4"/>
  <c r="DX14" i="4"/>
  <c r="DW14" i="4"/>
  <c r="DV14" i="4"/>
  <c r="DR14" i="4"/>
  <c r="DQ14" i="4"/>
  <c r="DP14" i="4"/>
  <c r="DL14" i="4"/>
  <c r="DK14" i="4"/>
  <c r="DJ14" i="4"/>
  <c r="DF14" i="4"/>
  <c r="DE14" i="4"/>
  <c r="DD14" i="4"/>
  <c r="CZ14" i="4"/>
  <c r="CY14" i="4"/>
  <c r="CX14" i="4"/>
  <c r="CT14" i="4"/>
  <c r="CS14" i="4"/>
  <c r="CR14" i="4"/>
  <c r="CN14" i="4"/>
  <c r="CM14" i="4"/>
  <c r="CL14" i="4"/>
  <c r="CH14" i="4"/>
  <c r="CG14" i="4"/>
  <c r="CF14" i="4"/>
  <c r="CB14" i="4"/>
  <c r="CA14" i="4"/>
  <c r="BZ14" i="4"/>
  <c r="BV14" i="4"/>
  <c r="BU14" i="4"/>
  <c r="BT14" i="4"/>
  <c r="BP14" i="4"/>
  <c r="BO14" i="4"/>
  <c r="BN14" i="4"/>
  <c r="BJ14" i="4"/>
  <c r="BI14" i="4"/>
  <c r="BH14" i="4"/>
  <c r="BD14" i="4"/>
  <c r="BC14" i="4"/>
  <c r="BB14" i="4"/>
  <c r="AS14" i="4"/>
  <c r="AX14" i="4" s="1"/>
  <c r="K14" i="4"/>
  <c r="E14" i="4"/>
  <c r="EP13" i="4"/>
  <c r="EO13" i="4"/>
  <c r="EN13" i="4"/>
  <c r="EJ13" i="4"/>
  <c r="EI13" i="4"/>
  <c r="EH13" i="4"/>
  <c r="ED13" i="4"/>
  <c r="EC13" i="4"/>
  <c r="EB13" i="4"/>
  <c r="DX13" i="4"/>
  <c r="DW13" i="4"/>
  <c r="DV13" i="4"/>
  <c r="DR13" i="4"/>
  <c r="DQ13" i="4"/>
  <c r="DP13" i="4"/>
  <c r="DL13" i="4"/>
  <c r="DK13" i="4"/>
  <c r="DJ13" i="4"/>
  <c r="DF13" i="4"/>
  <c r="DE13" i="4"/>
  <c r="DD13" i="4"/>
  <c r="CZ13" i="4"/>
  <c r="CY13" i="4"/>
  <c r="CX13" i="4"/>
  <c r="CT13" i="4"/>
  <c r="CS13" i="4"/>
  <c r="CR13" i="4"/>
  <c r="CN13" i="4"/>
  <c r="CM13" i="4"/>
  <c r="CL13" i="4"/>
  <c r="CH13" i="4"/>
  <c r="CG13" i="4"/>
  <c r="CF13" i="4"/>
  <c r="CB13" i="4"/>
  <c r="CA13" i="4"/>
  <c r="BZ13" i="4"/>
  <c r="BV13" i="4"/>
  <c r="BU13" i="4"/>
  <c r="BT13" i="4"/>
  <c r="BP13" i="4"/>
  <c r="BO13" i="4"/>
  <c r="BN13" i="4"/>
  <c r="BJ13" i="4"/>
  <c r="BI13" i="4"/>
  <c r="BH13" i="4"/>
  <c r="BD13" i="4"/>
  <c r="BC13" i="4"/>
  <c r="BB13" i="4"/>
  <c r="AS13" i="4"/>
  <c r="AX13" i="4" s="1"/>
  <c r="K13" i="4"/>
  <c r="E13" i="4"/>
  <c r="EP12" i="4"/>
  <c r="EO12" i="4"/>
  <c r="EN12" i="4"/>
  <c r="EJ12" i="4"/>
  <c r="EI12" i="4"/>
  <c r="EH12" i="4"/>
  <c r="ED12" i="4"/>
  <c r="EC12" i="4"/>
  <c r="EB12" i="4"/>
  <c r="DX12" i="4"/>
  <c r="DW12" i="4"/>
  <c r="DV12" i="4"/>
  <c r="DR12" i="4"/>
  <c r="DQ12" i="4"/>
  <c r="DP12" i="4"/>
  <c r="DL12" i="4"/>
  <c r="DK12" i="4"/>
  <c r="DJ12" i="4"/>
  <c r="DF12" i="4"/>
  <c r="DE12" i="4"/>
  <c r="DD12" i="4"/>
  <c r="CZ12" i="4"/>
  <c r="CY12" i="4"/>
  <c r="CX12" i="4"/>
  <c r="CT12" i="4"/>
  <c r="CS12" i="4"/>
  <c r="CR12" i="4"/>
  <c r="CN12" i="4"/>
  <c r="CM12" i="4"/>
  <c r="CL12" i="4"/>
  <c r="CH12" i="4"/>
  <c r="CG12" i="4"/>
  <c r="CF12" i="4"/>
  <c r="CB12" i="4"/>
  <c r="CA12" i="4"/>
  <c r="BZ12" i="4"/>
  <c r="BV12" i="4"/>
  <c r="BU12" i="4"/>
  <c r="BT12" i="4"/>
  <c r="BP12" i="4"/>
  <c r="BO12" i="4"/>
  <c r="BN12" i="4"/>
  <c r="BJ12" i="4"/>
  <c r="BI12" i="4"/>
  <c r="BH12" i="4"/>
  <c r="BD12" i="4"/>
  <c r="BC12" i="4"/>
  <c r="BB12" i="4"/>
  <c r="AS12" i="4"/>
  <c r="K12" i="4"/>
  <c r="E12" i="4"/>
  <c r="EP11" i="4"/>
  <c r="EO11" i="4"/>
  <c r="EN11" i="4"/>
  <c r="EJ11" i="4"/>
  <c r="EI11" i="4"/>
  <c r="EH11" i="4"/>
  <c r="ED11" i="4"/>
  <c r="EC11" i="4"/>
  <c r="EB11" i="4"/>
  <c r="DX11" i="4"/>
  <c r="DW11" i="4"/>
  <c r="DV11" i="4"/>
  <c r="DR11" i="4"/>
  <c r="DQ11" i="4"/>
  <c r="DP11" i="4"/>
  <c r="DL11" i="4"/>
  <c r="DK11" i="4"/>
  <c r="DJ11" i="4"/>
  <c r="DF11" i="4"/>
  <c r="DE11" i="4"/>
  <c r="DD11" i="4"/>
  <c r="CZ11" i="4"/>
  <c r="CY11" i="4"/>
  <c r="CX11" i="4"/>
  <c r="CT11" i="4"/>
  <c r="CS11" i="4"/>
  <c r="CR11" i="4"/>
  <c r="CN11" i="4"/>
  <c r="CM11" i="4"/>
  <c r="CL11" i="4"/>
  <c r="CH11" i="4"/>
  <c r="CG11" i="4"/>
  <c r="CF11" i="4"/>
  <c r="CB11" i="4"/>
  <c r="CA11" i="4"/>
  <c r="BZ11" i="4"/>
  <c r="BV11" i="4"/>
  <c r="BU11" i="4"/>
  <c r="BT11" i="4"/>
  <c r="BP11" i="4"/>
  <c r="BO11" i="4"/>
  <c r="BN11" i="4"/>
  <c r="BJ11" i="4"/>
  <c r="BI11" i="4"/>
  <c r="BH11" i="4"/>
  <c r="BD11" i="4"/>
  <c r="BC11" i="4"/>
  <c r="BB11" i="4"/>
  <c r="AS11" i="4"/>
  <c r="K11" i="4"/>
  <c r="E11" i="4"/>
  <c r="EP10" i="4"/>
  <c r="EO10" i="4"/>
  <c r="EN10" i="4"/>
  <c r="EJ10" i="4"/>
  <c r="EI10" i="4"/>
  <c r="EH10" i="4"/>
  <c r="ED10" i="4"/>
  <c r="EC10" i="4"/>
  <c r="EB10" i="4"/>
  <c r="DX10" i="4"/>
  <c r="DW10" i="4"/>
  <c r="DV10" i="4"/>
  <c r="DR10" i="4"/>
  <c r="DQ10" i="4"/>
  <c r="DP10" i="4"/>
  <c r="DL10" i="4"/>
  <c r="DK10" i="4"/>
  <c r="DJ10" i="4"/>
  <c r="DF10" i="4"/>
  <c r="DE10" i="4"/>
  <c r="DD10" i="4"/>
  <c r="CZ10" i="4"/>
  <c r="CY10" i="4"/>
  <c r="CX10" i="4"/>
  <c r="CT10" i="4"/>
  <c r="CS10" i="4"/>
  <c r="CR10" i="4"/>
  <c r="CN10" i="4"/>
  <c r="CM10" i="4"/>
  <c r="CL10" i="4"/>
  <c r="CH10" i="4"/>
  <c r="CG10" i="4"/>
  <c r="CF10" i="4"/>
  <c r="CB10" i="4"/>
  <c r="CA10" i="4"/>
  <c r="BZ10" i="4"/>
  <c r="BV10" i="4"/>
  <c r="BU10" i="4"/>
  <c r="BT10" i="4"/>
  <c r="BP10" i="4"/>
  <c r="BO10" i="4"/>
  <c r="BN10" i="4"/>
  <c r="BJ10" i="4"/>
  <c r="BI10" i="4"/>
  <c r="BH10" i="4"/>
  <c r="BD10" i="4"/>
  <c r="BC10" i="4"/>
  <c r="BB10" i="4"/>
  <c r="AS10" i="4"/>
  <c r="AV10" i="4" s="1"/>
  <c r="K10" i="4"/>
  <c r="AQ10" i="4" s="1"/>
  <c r="E10" i="4"/>
  <c r="EP9" i="4"/>
  <c r="EO9" i="4"/>
  <c r="EN9" i="4"/>
  <c r="EJ9" i="4"/>
  <c r="EI9" i="4"/>
  <c r="EH9" i="4"/>
  <c r="ED9" i="4"/>
  <c r="EC9" i="4"/>
  <c r="EB9" i="4"/>
  <c r="DX9" i="4"/>
  <c r="DW9" i="4"/>
  <c r="DV9" i="4"/>
  <c r="DR9" i="4"/>
  <c r="DQ9" i="4"/>
  <c r="DP9" i="4"/>
  <c r="DL9" i="4"/>
  <c r="DK9" i="4"/>
  <c r="DJ9" i="4"/>
  <c r="DF9" i="4"/>
  <c r="DE9" i="4"/>
  <c r="DD9" i="4"/>
  <c r="CZ9" i="4"/>
  <c r="CY9" i="4"/>
  <c r="CX9" i="4"/>
  <c r="CT9" i="4"/>
  <c r="CS9" i="4"/>
  <c r="CR9" i="4"/>
  <c r="CN9" i="4"/>
  <c r="CM9" i="4"/>
  <c r="CL9" i="4"/>
  <c r="CH9" i="4"/>
  <c r="CG9" i="4"/>
  <c r="CF9" i="4"/>
  <c r="CB9" i="4"/>
  <c r="CA9" i="4"/>
  <c r="BZ9" i="4"/>
  <c r="BV9" i="4"/>
  <c r="BU9" i="4"/>
  <c r="BT9" i="4"/>
  <c r="BP9" i="4"/>
  <c r="BO9" i="4"/>
  <c r="BN9" i="4"/>
  <c r="BJ9" i="4"/>
  <c r="BI9" i="4"/>
  <c r="BH9" i="4"/>
  <c r="BD9" i="4"/>
  <c r="BC9" i="4"/>
  <c r="BB9" i="4"/>
  <c r="AS9" i="4"/>
  <c r="AW9" i="4" s="1"/>
  <c r="K9" i="4"/>
  <c r="E9" i="4"/>
  <c r="EP8" i="4"/>
  <c r="EO8" i="4"/>
  <c r="EN8" i="4"/>
  <c r="EJ8" i="4"/>
  <c r="EI8" i="4"/>
  <c r="EH8" i="4"/>
  <c r="ED8" i="4"/>
  <c r="EC8" i="4"/>
  <c r="EB8" i="4"/>
  <c r="DX8" i="4"/>
  <c r="DW8" i="4"/>
  <c r="DV8" i="4"/>
  <c r="DR8" i="4"/>
  <c r="DQ8" i="4"/>
  <c r="DP8" i="4"/>
  <c r="DL8" i="4"/>
  <c r="DK8" i="4"/>
  <c r="DJ8" i="4"/>
  <c r="DF8" i="4"/>
  <c r="DE8" i="4"/>
  <c r="DD8" i="4"/>
  <c r="CZ8" i="4"/>
  <c r="CY8" i="4"/>
  <c r="CX8" i="4"/>
  <c r="CT8" i="4"/>
  <c r="CS8" i="4"/>
  <c r="CR8" i="4"/>
  <c r="CN8" i="4"/>
  <c r="CM8" i="4"/>
  <c r="CL8" i="4"/>
  <c r="CH8" i="4"/>
  <c r="CG8" i="4"/>
  <c r="CF8" i="4"/>
  <c r="CB8" i="4"/>
  <c r="CA8" i="4"/>
  <c r="BZ8" i="4"/>
  <c r="BV8" i="4"/>
  <c r="BU8" i="4"/>
  <c r="BT8" i="4"/>
  <c r="BP8" i="4"/>
  <c r="BO8" i="4"/>
  <c r="BN8" i="4"/>
  <c r="BJ8" i="4"/>
  <c r="BI8" i="4"/>
  <c r="BH8" i="4"/>
  <c r="BD8" i="4"/>
  <c r="BC8" i="4"/>
  <c r="BB8" i="4"/>
  <c r="AS8" i="4"/>
  <c r="AX8" i="4" s="1"/>
  <c r="K8" i="4"/>
  <c r="E8" i="4"/>
  <c r="EP7" i="4"/>
  <c r="EO7" i="4"/>
  <c r="EN7" i="4"/>
  <c r="EJ7" i="4"/>
  <c r="EI7" i="4"/>
  <c r="EH7" i="4"/>
  <c r="ED7" i="4"/>
  <c r="EC7" i="4"/>
  <c r="EB7" i="4"/>
  <c r="DX7" i="4"/>
  <c r="DW7" i="4"/>
  <c r="DV7" i="4"/>
  <c r="DR7" i="4"/>
  <c r="DQ7" i="4"/>
  <c r="DP7" i="4"/>
  <c r="DL7" i="4"/>
  <c r="DK7" i="4"/>
  <c r="DJ7" i="4"/>
  <c r="DF7" i="4"/>
  <c r="DE7" i="4"/>
  <c r="DD7" i="4"/>
  <c r="CZ7" i="4"/>
  <c r="CY7" i="4"/>
  <c r="CX7" i="4"/>
  <c r="CT7" i="4"/>
  <c r="CS7" i="4"/>
  <c r="CR7" i="4"/>
  <c r="CN7" i="4"/>
  <c r="CM7" i="4"/>
  <c r="CL7" i="4"/>
  <c r="CH7" i="4"/>
  <c r="CG7" i="4"/>
  <c r="CF7" i="4"/>
  <c r="CB7" i="4"/>
  <c r="CA7" i="4"/>
  <c r="BZ7" i="4"/>
  <c r="BV7" i="4"/>
  <c r="BU7" i="4"/>
  <c r="BT7" i="4"/>
  <c r="BP7" i="4"/>
  <c r="BO7" i="4"/>
  <c r="BN7" i="4"/>
  <c r="BJ7" i="4"/>
  <c r="BI7" i="4"/>
  <c r="BH7" i="4"/>
  <c r="BD7" i="4"/>
  <c r="BC7" i="4"/>
  <c r="BB7" i="4"/>
  <c r="AS7" i="4"/>
  <c r="K7" i="4"/>
  <c r="AO7" i="4" s="1"/>
  <c r="E7" i="4"/>
  <c r="EP6" i="4"/>
  <c r="EO6" i="4"/>
  <c r="EN6" i="4"/>
  <c r="EJ6" i="4"/>
  <c r="EI6" i="4"/>
  <c r="EH6" i="4"/>
  <c r="ED6" i="4"/>
  <c r="EC6" i="4"/>
  <c r="EB6" i="4"/>
  <c r="DX6" i="4"/>
  <c r="DW6" i="4"/>
  <c r="DV6" i="4"/>
  <c r="DR6" i="4"/>
  <c r="DQ6" i="4"/>
  <c r="DP6" i="4"/>
  <c r="DL6" i="4"/>
  <c r="DK6" i="4"/>
  <c r="DJ6" i="4"/>
  <c r="DF6" i="4"/>
  <c r="DE6" i="4"/>
  <c r="DD6" i="4"/>
  <c r="CZ6" i="4"/>
  <c r="CY6" i="4"/>
  <c r="CX6" i="4"/>
  <c r="CT6" i="4"/>
  <c r="CS6" i="4"/>
  <c r="CR6" i="4"/>
  <c r="CN6" i="4"/>
  <c r="CM6" i="4"/>
  <c r="CL6" i="4"/>
  <c r="CH6" i="4"/>
  <c r="CG6" i="4"/>
  <c r="CF6" i="4"/>
  <c r="CB6" i="4"/>
  <c r="CA6" i="4"/>
  <c r="BZ6" i="4"/>
  <c r="BV6" i="4"/>
  <c r="BU6" i="4"/>
  <c r="BT6" i="4"/>
  <c r="BP6" i="4"/>
  <c r="BO6" i="4"/>
  <c r="BN6" i="4"/>
  <c r="BJ6" i="4"/>
  <c r="BI6" i="4"/>
  <c r="BH6" i="4"/>
  <c r="BD6" i="4"/>
  <c r="BC6" i="4"/>
  <c r="BB6" i="4"/>
  <c r="AS6" i="4"/>
  <c r="K6" i="4"/>
  <c r="AP6" i="4" s="1"/>
  <c r="E6" i="4"/>
  <c r="EP5" i="4"/>
  <c r="EO5" i="4"/>
  <c r="EN5" i="4"/>
  <c r="EJ5" i="4"/>
  <c r="EI5" i="4"/>
  <c r="EH5" i="4"/>
  <c r="ED5" i="4"/>
  <c r="EC5" i="4"/>
  <c r="EB5" i="4"/>
  <c r="DX5" i="4"/>
  <c r="DW5" i="4"/>
  <c r="DV5" i="4"/>
  <c r="DR5" i="4"/>
  <c r="DQ5" i="4"/>
  <c r="DP5" i="4"/>
  <c r="DL5" i="4"/>
  <c r="DK5" i="4"/>
  <c r="DJ5" i="4"/>
  <c r="DF5" i="4"/>
  <c r="DE5" i="4"/>
  <c r="DD5" i="4"/>
  <c r="CZ5" i="4"/>
  <c r="CY5" i="4"/>
  <c r="CX5" i="4"/>
  <c r="CT5" i="4"/>
  <c r="CS5" i="4"/>
  <c r="CR5" i="4"/>
  <c r="CN5" i="4"/>
  <c r="CM5" i="4"/>
  <c r="CL5" i="4"/>
  <c r="CH5" i="4"/>
  <c r="CG5" i="4"/>
  <c r="CF5" i="4"/>
  <c r="CB5" i="4"/>
  <c r="CA5" i="4"/>
  <c r="BZ5" i="4"/>
  <c r="BV5" i="4"/>
  <c r="BU5" i="4"/>
  <c r="BT5" i="4"/>
  <c r="BP5" i="4"/>
  <c r="BO5" i="4"/>
  <c r="BN5" i="4"/>
  <c r="BJ5" i="4"/>
  <c r="BI5" i="4"/>
  <c r="BH5" i="4"/>
  <c r="BD5" i="4"/>
  <c r="BC5" i="4"/>
  <c r="BB5" i="4"/>
  <c r="AS5" i="4"/>
  <c r="AX5" i="4" s="1"/>
  <c r="K5" i="4"/>
  <c r="AP5" i="4" s="1"/>
  <c r="E5" i="4"/>
  <c r="GY52" i="1"/>
  <c r="GS52" i="1"/>
  <c r="GM52" i="1"/>
  <c r="GG52" i="1"/>
  <c r="GA52" i="1"/>
  <c r="FU52" i="1"/>
  <c r="FO52" i="1"/>
  <c r="FI52" i="1"/>
  <c r="FA52" i="1"/>
  <c r="FB52" i="1" s="1"/>
  <c r="EU52" i="1"/>
  <c r="EV52" i="1" s="1"/>
  <c r="ET52" i="1"/>
  <c r="EN52" i="1"/>
  <c r="EO52" i="1" s="1"/>
  <c r="AG52" i="1"/>
  <c r="U52" i="1"/>
  <c r="I52" i="1"/>
  <c r="FF52" i="1" s="1"/>
  <c r="HE51" i="1"/>
  <c r="GY51" i="1"/>
  <c r="GS51" i="1"/>
  <c r="GM51" i="1"/>
  <c r="GG51" i="1"/>
  <c r="GA51" i="1"/>
  <c r="FU51" i="1"/>
  <c r="FO51" i="1"/>
  <c r="FI51" i="1"/>
  <c r="FA51" i="1"/>
  <c r="FB51" i="1" s="1"/>
  <c r="EZ51" i="1"/>
  <c r="EU51" i="1"/>
  <c r="EV51" i="1" s="1"/>
  <c r="ET51" i="1"/>
  <c r="EN51" i="1"/>
  <c r="EO51" i="1" s="1"/>
  <c r="EM51" i="1"/>
  <c r="AG51" i="1"/>
  <c r="U51" i="1"/>
  <c r="I51" i="1"/>
  <c r="FF51" i="1" s="1"/>
  <c r="HW50" i="1"/>
  <c r="HX50" i="1" s="1"/>
  <c r="ID50" i="1" s="1"/>
  <c r="HV50" i="1"/>
  <c r="IB50" i="1" s="1"/>
  <c r="HQ50" i="1"/>
  <c r="HE50" i="1"/>
  <c r="GY50" i="1"/>
  <c r="GS50" i="1"/>
  <c r="GM50" i="1"/>
  <c r="GG50" i="1"/>
  <c r="GA50" i="1"/>
  <c r="FU50" i="1"/>
  <c r="FO50" i="1"/>
  <c r="FI50" i="1"/>
  <c r="FA50" i="1"/>
  <c r="FB50" i="1" s="1"/>
  <c r="EZ50" i="1"/>
  <c r="EU50" i="1"/>
  <c r="EV50" i="1" s="1"/>
  <c r="ET50" i="1"/>
  <c r="EN50" i="1"/>
  <c r="EO50" i="1" s="1"/>
  <c r="EM50" i="1"/>
  <c r="AG50" i="1"/>
  <c r="U50" i="1"/>
  <c r="I50" i="1"/>
  <c r="FF50" i="1" s="1"/>
  <c r="HW49" i="1"/>
  <c r="IC49" i="1" s="1"/>
  <c r="HV49" i="1"/>
  <c r="IB49" i="1" s="1"/>
  <c r="HQ49" i="1"/>
  <c r="HE49" i="1"/>
  <c r="EN49" i="1" s="1"/>
  <c r="EO49" i="1" s="1"/>
  <c r="GY49" i="1"/>
  <c r="GS49" i="1"/>
  <c r="GM49" i="1"/>
  <c r="GG49" i="1"/>
  <c r="GA49" i="1"/>
  <c r="FU49" i="1"/>
  <c r="FO49" i="1"/>
  <c r="FI49" i="1"/>
  <c r="FB49" i="1"/>
  <c r="FA49" i="1"/>
  <c r="EZ49" i="1"/>
  <c r="EU49" i="1"/>
  <c r="EV49" i="1" s="1"/>
  <c r="ET49" i="1"/>
  <c r="EM49" i="1"/>
  <c r="AG49" i="1"/>
  <c r="U49" i="1"/>
  <c r="I49" i="1"/>
  <c r="FF49" i="1" s="1"/>
  <c r="HW48" i="1"/>
  <c r="IC48" i="1" s="1"/>
  <c r="HV48" i="1"/>
  <c r="IB48" i="1" s="1"/>
  <c r="HT48" i="1"/>
  <c r="HS48" i="1"/>
  <c r="HR48" i="1"/>
  <c r="HQ48" i="1"/>
  <c r="HN48" i="1"/>
  <c r="HM48" i="1"/>
  <c r="HL48" i="1"/>
  <c r="HH48" i="1"/>
  <c r="HG48" i="1"/>
  <c r="HF48" i="1"/>
  <c r="HE48" i="1"/>
  <c r="HB48" i="1"/>
  <c r="HA48" i="1"/>
  <c r="GZ48" i="1"/>
  <c r="GY48" i="1"/>
  <c r="GV48" i="1"/>
  <c r="GU48" i="1"/>
  <c r="GT48" i="1"/>
  <c r="GS48" i="1"/>
  <c r="GP48" i="1"/>
  <c r="GO48" i="1"/>
  <c r="GN48" i="1"/>
  <c r="GM48" i="1"/>
  <c r="GJ48" i="1"/>
  <c r="GI48" i="1"/>
  <c r="GH48" i="1"/>
  <c r="GG48" i="1"/>
  <c r="GD48" i="1"/>
  <c r="GC48" i="1"/>
  <c r="GB48" i="1"/>
  <c r="GA48" i="1"/>
  <c r="FX48" i="1"/>
  <c r="FW48" i="1"/>
  <c r="FV48" i="1"/>
  <c r="FU48" i="1"/>
  <c r="FR48" i="1"/>
  <c r="FQ48" i="1"/>
  <c r="FP48" i="1"/>
  <c r="FO48" i="1"/>
  <c r="FL48" i="1"/>
  <c r="FK48" i="1"/>
  <c r="FJ48" i="1"/>
  <c r="FI48" i="1"/>
  <c r="FA48" i="1"/>
  <c r="FB48" i="1" s="1"/>
  <c r="EZ48" i="1"/>
  <c r="EV48" i="1"/>
  <c r="EU48" i="1"/>
  <c r="ET48" i="1"/>
  <c r="EN48" i="1"/>
  <c r="EO48" i="1" s="1"/>
  <c r="EM48" i="1"/>
  <c r="AG48" i="1"/>
  <c r="U48" i="1"/>
  <c r="I48" i="1"/>
  <c r="FF48" i="1" s="1"/>
  <c r="IC47" i="1"/>
  <c r="HX47" i="1"/>
  <c r="ID47" i="1" s="1"/>
  <c r="HW47" i="1"/>
  <c r="HV47" i="1"/>
  <c r="IB47" i="1" s="1"/>
  <c r="HT47" i="1"/>
  <c r="HS47" i="1"/>
  <c r="HR47" i="1"/>
  <c r="HQ47" i="1"/>
  <c r="HN47" i="1"/>
  <c r="HM47" i="1"/>
  <c r="HL47" i="1"/>
  <c r="HH47" i="1"/>
  <c r="HG47" i="1"/>
  <c r="HF47" i="1"/>
  <c r="HE47" i="1"/>
  <c r="EN47" i="1" s="1"/>
  <c r="EO47" i="1" s="1"/>
  <c r="HB47" i="1"/>
  <c r="HA47" i="1"/>
  <c r="GZ47" i="1"/>
  <c r="GY47" i="1"/>
  <c r="GV47" i="1"/>
  <c r="GU47" i="1"/>
  <c r="GT47" i="1"/>
  <c r="GS47" i="1"/>
  <c r="GP47" i="1"/>
  <c r="GO47" i="1"/>
  <c r="GN47" i="1"/>
  <c r="GM47" i="1"/>
  <c r="GJ47" i="1"/>
  <c r="GI47" i="1"/>
  <c r="GH47" i="1"/>
  <c r="GG47" i="1"/>
  <c r="GD47" i="1"/>
  <c r="GC47" i="1"/>
  <c r="GB47" i="1"/>
  <c r="GA47" i="1"/>
  <c r="FX47" i="1"/>
  <c r="FW47" i="1"/>
  <c r="FV47" i="1"/>
  <c r="FU47" i="1"/>
  <c r="FR47" i="1"/>
  <c r="FQ47" i="1"/>
  <c r="FP47" i="1"/>
  <c r="FO47" i="1"/>
  <c r="FL47" i="1"/>
  <c r="FK47" i="1"/>
  <c r="FJ47" i="1"/>
  <c r="FI47" i="1"/>
  <c r="FA47" i="1"/>
  <c r="FB47" i="1" s="1"/>
  <c r="EZ47" i="1"/>
  <c r="EU47" i="1"/>
  <c r="EV47" i="1" s="1"/>
  <c r="ET47" i="1"/>
  <c r="EM47" i="1"/>
  <c r="AG47" i="1"/>
  <c r="U47" i="1"/>
  <c r="I47" i="1"/>
  <c r="FF47" i="1" s="1"/>
  <c r="IB46" i="1"/>
  <c r="HW46" i="1"/>
  <c r="IC46" i="1" s="1"/>
  <c r="HV46" i="1"/>
  <c r="HT46" i="1"/>
  <c r="HS46" i="1"/>
  <c r="HR46" i="1"/>
  <c r="HQ46" i="1"/>
  <c r="HN46" i="1"/>
  <c r="HM46" i="1"/>
  <c r="HL46" i="1"/>
  <c r="HH46" i="1"/>
  <c r="HG46" i="1"/>
  <c r="HF46" i="1"/>
  <c r="HE46" i="1"/>
  <c r="EN46" i="1" s="1"/>
  <c r="EO46" i="1" s="1"/>
  <c r="HB46" i="1"/>
  <c r="HA46" i="1"/>
  <c r="GZ46" i="1"/>
  <c r="GY46" i="1"/>
  <c r="GV46" i="1"/>
  <c r="GU46" i="1"/>
  <c r="GT46" i="1"/>
  <c r="GS46" i="1"/>
  <c r="GP46" i="1"/>
  <c r="GO46" i="1"/>
  <c r="GN46" i="1"/>
  <c r="GM46" i="1"/>
  <c r="GJ46" i="1"/>
  <c r="GI46" i="1"/>
  <c r="GH46" i="1"/>
  <c r="GG46" i="1"/>
  <c r="GD46" i="1"/>
  <c r="GC46" i="1"/>
  <c r="GB46" i="1"/>
  <c r="GA46" i="1"/>
  <c r="FX46" i="1"/>
  <c r="FW46" i="1"/>
  <c r="FV46" i="1"/>
  <c r="FU46" i="1"/>
  <c r="FR46" i="1"/>
  <c r="FQ46" i="1"/>
  <c r="FP46" i="1"/>
  <c r="FO46" i="1"/>
  <c r="FL46" i="1"/>
  <c r="FK46" i="1"/>
  <c r="FJ46" i="1"/>
  <c r="FI46" i="1"/>
  <c r="FA46" i="1"/>
  <c r="FB46" i="1" s="1"/>
  <c r="EZ46" i="1"/>
  <c r="EV46" i="1"/>
  <c r="EU46" i="1"/>
  <c r="ET46" i="1"/>
  <c r="EM46" i="1"/>
  <c r="AG46" i="1"/>
  <c r="O10" i="2" s="1"/>
  <c r="U46" i="1"/>
  <c r="BI29" i="2" s="1"/>
  <c r="BK29" i="2" s="1"/>
  <c r="I46" i="1"/>
  <c r="FF46" i="1" s="1"/>
  <c r="HW45" i="1"/>
  <c r="IC45" i="1" s="1"/>
  <c r="HV45" i="1"/>
  <c r="IB45" i="1" s="1"/>
  <c r="HT45" i="1"/>
  <c r="HS45" i="1"/>
  <c r="HR45" i="1"/>
  <c r="HQ45" i="1"/>
  <c r="HN45" i="1"/>
  <c r="HM45" i="1"/>
  <c r="HL45" i="1"/>
  <c r="HH45" i="1"/>
  <c r="HG45" i="1"/>
  <c r="HF45" i="1"/>
  <c r="HE45" i="1"/>
  <c r="HB45" i="1"/>
  <c r="HA45" i="1"/>
  <c r="GZ45" i="1"/>
  <c r="GY45" i="1"/>
  <c r="GV45" i="1"/>
  <c r="GU45" i="1"/>
  <c r="GT45" i="1"/>
  <c r="GS45" i="1"/>
  <c r="GP45" i="1"/>
  <c r="GO45" i="1"/>
  <c r="GN45" i="1"/>
  <c r="GM45" i="1"/>
  <c r="GJ45" i="1"/>
  <c r="GI45" i="1"/>
  <c r="GH45" i="1"/>
  <c r="GG45" i="1"/>
  <c r="GD45" i="1"/>
  <c r="GC45" i="1"/>
  <c r="GB45" i="1"/>
  <c r="GA45" i="1"/>
  <c r="FX45" i="1"/>
  <c r="FW45" i="1"/>
  <c r="FV45" i="1"/>
  <c r="FU45" i="1"/>
  <c r="FR45" i="1"/>
  <c r="FQ45" i="1"/>
  <c r="FP45" i="1"/>
  <c r="FO45" i="1"/>
  <c r="FL45" i="1"/>
  <c r="FK45" i="1"/>
  <c r="FJ45" i="1"/>
  <c r="FI45" i="1"/>
  <c r="FA45" i="1"/>
  <c r="FB45" i="1" s="1"/>
  <c r="EZ45" i="1"/>
  <c r="EU45" i="1"/>
  <c r="EV45" i="1" s="1"/>
  <c r="ET45" i="1"/>
  <c r="EN45" i="1"/>
  <c r="EO45" i="1" s="1"/>
  <c r="EM45" i="1"/>
  <c r="AG45" i="1"/>
  <c r="U45" i="1"/>
  <c r="I45" i="1"/>
  <c r="FF45" i="1" s="1"/>
  <c r="HW44" i="1"/>
  <c r="HX44" i="1" s="1"/>
  <c r="ID44" i="1" s="1"/>
  <c r="HV44" i="1"/>
  <c r="IB44" i="1" s="1"/>
  <c r="HT44" i="1"/>
  <c r="HS44" i="1"/>
  <c r="HR44" i="1"/>
  <c r="HQ44" i="1"/>
  <c r="HN44" i="1"/>
  <c r="HM44" i="1"/>
  <c r="HL44" i="1"/>
  <c r="HH44" i="1"/>
  <c r="HG44" i="1"/>
  <c r="HF44" i="1"/>
  <c r="HE44" i="1"/>
  <c r="HB44" i="1"/>
  <c r="HA44" i="1"/>
  <c r="GZ44" i="1"/>
  <c r="GY44" i="1"/>
  <c r="GV44" i="1"/>
  <c r="GU44" i="1"/>
  <c r="GT44" i="1"/>
  <c r="GS44" i="1"/>
  <c r="GP44" i="1"/>
  <c r="GO44" i="1"/>
  <c r="GN44" i="1"/>
  <c r="GM44" i="1"/>
  <c r="GJ44" i="1"/>
  <c r="GI44" i="1"/>
  <c r="GH44" i="1"/>
  <c r="GG44" i="1"/>
  <c r="GD44" i="1"/>
  <c r="GC44" i="1"/>
  <c r="GB44" i="1"/>
  <c r="GA44" i="1"/>
  <c r="FX44" i="1"/>
  <c r="FW44" i="1"/>
  <c r="FV44" i="1"/>
  <c r="FU44" i="1"/>
  <c r="FR44" i="1"/>
  <c r="FQ44" i="1"/>
  <c r="FP44" i="1"/>
  <c r="FO44" i="1"/>
  <c r="FL44" i="1"/>
  <c r="FK44" i="1"/>
  <c r="FJ44" i="1"/>
  <c r="FI44" i="1"/>
  <c r="FA44" i="1"/>
  <c r="FB44" i="1" s="1"/>
  <c r="EZ44" i="1"/>
  <c r="EU44" i="1"/>
  <c r="EV44" i="1" s="1"/>
  <c r="ET44" i="1"/>
  <c r="EN44" i="1"/>
  <c r="EO44" i="1" s="1"/>
  <c r="EM44" i="1"/>
  <c r="AG44" i="1"/>
  <c r="U44" i="1"/>
  <c r="I44" i="1"/>
  <c r="FF44" i="1" s="1"/>
  <c r="HW43" i="1"/>
  <c r="HX43" i="1" s="1"/>
  <c r="ID43" i="1" s="1"/>
  <c r="HV43" i="1"/>
  <c r="IB43" i="1" s="1"/>
  <c r="HT43" i="1"/>
  <c r="HS43" i="1"/>
  <c r="HR43" i="1"/>
  <c r="HQ43" i="1"/>
  <c r="HN43" i="1"/>
  <c r="HM43" i="1"/>
  <c r="HL43" i="1"/>
  <c r="HH43" i="1"/>
  <c r="HG43" i="1"/>
  <c r="HF43" i="1"/>
  <c r="HE43" i="1"/>
  <c r="HB43" i="1"/>
  <c r="HA43" i="1"/>
  <c r="GZ43" i="1"/>
  <c r="GY43" i="1"/>
  <c r="GV43" i="1"/>
  <c r="GU43" i="1"/>
  <c r="GT43" i="1"/>
  <c r="GS43" i="1"/>
  <c r="GP43" i="1"/>
  <c r="GO43" i="1"/>
  <c r="GN43" i="1"/>
  <c r="GM43" i="1"/>
  <c r="GJ43" i="1"/>
  <c r="GI43" i="1"/>
  <c r="GH43" i="1"/>
  <c r="GG43" i="1"/>
  <c r="GD43" i="1"/>
  <c r="GC43" i="1"/>
  <c r="GB43" i="1"/>
  <c r="GA43" i="1"/>
  <c r="FX43" i="1"/>
  <c r="FW43" i="1"/>
  <c r="FV43" i="1"/>
  <c r="FU43" i="1"/>
  <c r="FR43" i="1"/>
  <c r="FQ43" i="1"/>
  <c r="FP43" i="1"/>
  <c r="FO43" i="1"/>
  <c r="FL43" i="1"/>
  <c r="FK43" i="1"/>
  <c r="FJ43" i="1"/>
  <c r="FI43" i="1"/>
  <c r="FA43" i="1"/>
  <c r="FB43" i="1" s="1"/>
  <c r="EZ43" i="1"/>
  <c r="FE48" i="1" s="1"/>
  <c r="EU43" i="1"/>
  <c r="EV43" i="1" s="1"/>
  <c r="ET43" i="1"/>
  <c r="EO43" i="1"/>
  <c r="EN43" i="1"/>
  <c r="EM43" i="1"/>
  <c r="AG43" i="1"/>
  <c r="U43" i="1"/>
  <c r="I43" i="1"/>
  <c r="FF43" i="1" s="1"/>
  <c r="IB42" i="1"/>
  <c r="HW42" i="1"/>
  <c r="IC42" i="1" s="1"/>
  <c r="HV42" i="1"/>
  <c r="HT42" i="1"/>
  <c r="HS42" i="1"/>
  <c r="HR42" i="1"/>
  <c r="HQ42" i="1"/>
  <c r="HN42" i="1"/>
  <c r="HM42" i="1"/>
  <c r="HL42" i="1"/>
  <c r="HH42" i="1"/>
  <c r="HG42" i="1"/>
  <c r="HF42" i="1"/>
  <c r="HE42" i="1"/>
  <c r="EN42" i="1" s="1"/>
  <c r="EO42" i="1" s="1"/>
  <c r="HB42" i="1"/>
  <c r="HA42" i="1"/>
  <c r="GZ42" i="1"/>
  <c r="GY42" i="1"/>
  <c r="GV42" i="1"/>
  <c r="GU42" i="1"/>
  <c r="GT42" i="1"/>
  <c r="GS42" i="1"/>
  <c r="GP42" i="1"/>
  <c r="GO42" i="1"/>
  <c r="GN42" i="1"/>
  <c r="GM42" i="1"/>
  <c r="GJ42" i="1"/>
  <c r="GI42" i="1"/>
  <c r="GH42" i="1"/>
  <c r="GG42" i="1"/>
  <c r="GD42" i="1"/>
  <c r="GC42" i="1"/>
  <c r="GB42" i="1"/>
  <c r="GA42" i="1"/>
  <c r="FX42" i="1"/>
  <c r="FW42" i="1"/>
  <c r="FV42" i="1"/>
  <c r="FU42" i="1"/>
  <c r="FR42" i="1"/>
  <c r="FQ42" i="1"/>
  <c r="FP42" i="1"/>
  <c r="FO42" i="1"/>
  <c r="FL42" i="1"/>
  <c r="FK42" i="1"/>
  <c r="FJ42" i="1"/>
  <c r="FI42" i="1"/>
  <c r="FA42" i="1"/>
  <c r="FB42" i="1" s="1"/>
  <c r="EZ42" i="1"/>
  <c r="EV42" i="1"/>
  <c r="EU42" i="1"/>
  <c r="ET42" i="1"/>
  <c r="EM42" i="1"/>
  <c r="EQ47" i="1" s="1"/>
  <c r="AG42" i="1"/>
  <c r="U42" i="1"/>
  <c r="I42" i="1"/>
  <c r="FF42" i="1" s="1"/>
  <c r="HW41" i="1"/>
  <c r="IC41" i="1" s="1"/>
  <c r="HV41" i="1"/>
  <c r="IB41" i="1" s="1"/>
  <c r="HT41" i="1"/>
  <c r="HS41" i="1"/>
  <c r="HR41" i="1"/>
  <c r="HQ41" i="1"/>
  <c r="HN41" i="1"/>
  <c r="HM41" i="1"/>
  <c r="HL41" i="1"/>
  <c r="HH41" i="1"/>
  <c r="HG41" i="1"/>
  <c r="HF41" i="1"/>
  <c r="HE41" i="1"/>
  <c r="EN41" i="1" s="1"/>
  <c r="EO41" i="1" s="1"/>
  <c r="HB41" i="1"/>
  <c r="HA41" i="1"/>
  <c r="GZ41" i="1"/>
  <c r="GY41" i="1"/>
  <c r="GV41" i="1"/>
  <c r="GU41" i="1"/>
  <c r="GT41" i="1"/>
  <c r="GS41" i="1"/>
  <c r="GP41" i="1"/>
  <c r="GO41" i="1"/>
  <c r="GN41" i="1"/>
  <c r="GM41" i="1"/>
  <c r="GJ41" i="1"/>
  <c r="GI41" i="1"/>
  <c r="GH41" i="1"/>
  <c r="GG41" i="1"/>
  <c r="GD41" i="1"/>
  <c r="GC41" i="1"/>
  <c r="GB41" i="1"/>
  <c r="GA41" i="1"/>
  <c r="FX41" i="1"/>
  <c r="FW41" i="1"/>
  <c r="FV41" i="1"/>
  <c r="FU41" i="1"/>
  <c r="FR41" i="1"/>
  <c r="FQ41" i="1"/>
  <c r="FP41" i="1"/>
  <c r="FO41" i="1"/>
  <c r="FL41" i="1"/>
  <c r="FK41" i="1"/>
  <c r="FJ41" i="1"/>
  <c r="FI41" i="1"/>
  <c r="FF41" i="1"/>
  <c r="FA41" i="1"/>
  <c r="FB41" i="1" s="1"/>
  <c r="EZ41" i="1"/>
  <c r="EU41" i="1"/>
  <c r="EV41" i="1" s="1"/>
  <c r="ET41" i="1"/>
  <c r="EM41" i="1"/>
  <c r="AG41" i="1"/>
  <c r="U41" i="1"/>
  <c r="I41" i="1"/>
  <c r="HW40" i="1"/>
  <c r="IC40" i="1" s="1"/>
  <c r="HV40" i="1"/>
  <c r="IB40" i="1" s="1"/>
  <c r="HT40" i="1"/>
  <c r="HS40" i="1"/>
  <c r="HR40" i="1"/>
  <c r="HQ40" i="1"/>
  <c r="HN40" i="1"/>
  <c r="HM40" i="1"/>
  <c r="HL40" i="1"/>
  <c r="HH40" i="1"/>
  <c r="HG40" i="1"/>
  <c r="HF40" i="1"/>
  <c r="HE40" i="1"/>
  <c r="HB40" i="1"/>
  <c r="HA40" i="1"/>
  <c r="GZ40" i="1"/>
  <c r="GY40" i="1"/>
  <c r="GV40" i="1"/>
  <c r="GU40" i="1"/>
  <c r="GT40" i="1"/>
  <c r="GS40" i="1"/>
  <c r="GP40" i="1"/>
  <c r="GO40" i="1"/>
  <c r="GN40" i="1"/>
  <c r="GM40" i="1"/>
  <c r="GJ40" i="1"/>
  <c r="GI40" i="1"/>
  <c r="GH40" i="1"/>
  <c r="GG40" i="1"/>
  <c r="GD40" i="1"/>
  <c r="GC40" i="1"/>
  <c r="GB40" i="1"/>
  <c r="GA40" i="1"/>
  <c r="FX40" i="1"/>
  <c r="FW40" i="1"/>
  <c r="FV40" i="1"/>
  <c r="FU40" i="1"/>
  <c r="FR40" i="1"/>
  <c r="FQ40" i="1"/>
  <c r="FP40" i="1"/>
  <c r="FO40" i="1"/>
  <c r="FL40" i="1"/>
  <c r="FK40" i="1"/>
  <c r="FJ40" i="1"/>
  <c r="FI40" i="1"/>
  <c r="FF40" i="1"/>
  <c r="FA40" i="1"/>
  <c r="FB40" i="1" s="1"/>
  <c r="EZ40" i="1"/>
  <c r="EU40" i="1"/>
  <c r="EV40" i="1" s="1"/>
  <c r="ET40" i="1"/>
  <c r="EN40" i="1"/>
  <c r="EO40" i="1" s="1"/>
  <c r="EM40" i="1"/>
  <c r="AG40" i="1"/>
  <c r="U40" i="1"/>
  <c r="I40" i="1"/>
  <c r="HW39" i="1"/>
  <c r="HX39" i="1" s="1"/>
  <c r="ID39" i="1" s="1"/>
  <c r="HV39" i="1"/>
  <c r="IB39" i="1" s="1"/>
  <c r="HT39" i="1"/>
  <c r="HS39" i="1"/>
  <c r="HR39" i="1"/>
  <c r="HQ39" i="1"/>
  <c r="HN39" i="1"/>
  <c r="HM39" i="1"/>
  <c r="HL39" i="1"/>
  <c r="HH39" i="1"/>
  <c r="HG39" i="1"/>
  <c r="HF39" i="1"/>
  <c r="HE39" i="1"/>
  <c r="HB39" i="1"/>
  <c r="HA39" i="1"/>
  <c r="GZ39" i="1"/>
  <c r="GY39" i="1"/>
  <c r="GV39" i="1"/>
  <c r="GU39" i="1"/>
  <c r="GT39" i="1"/>
  <c r="GS39" i="1"/>
  <c r="GP39" i="1"/>
  <c r="GO39" i="1"/>
  <c r="GN39" i="1"/>
  <c r="GM39" i="1"/>
  <c r="GJ39" i="1"/>
  <c r="GI39" i="1"/>
  <c r="GH39" i="1"/>
  <c r="GG39" i="1"/>
  <c r="GD39" i="1"/>
  <c r="GC39" i="1"/>
  <c r="GB39" i="1"/>
  <c r="GA39" i="1"/>
  <c r="FX39" i="1"/>
  <c r="FW39" i="1"/>
  <c r="FV39" i="1"/>
  <c r="FU39" i="1"/>
  <c r="FR39" i="1"/>
  <c r="FQ39" i="1"/>
  <c r="FP39" i="1"/>
  <c r="FO39" i="1"/>
  <c r="FL39" i="1"/>
  <c r="FK39" i="1"/>
  <c r="FJ39" i="1"/>
  <c r="FI39" i="1"/>
  <c r="FA39" i="1"/>
  <c r="FB39" i="1" s="1"/>
  <c r="EZ39" i="1"/>
  <c r="FC44" i="1" s="1"/>
  <c r="EU39" i="1"/>
  <c r="EV39" i="1" s="1"/>
  <c r="ET39" i="1"/>
  <c r="EO39" i="1"/>
  <c r="EN39" i="1"/>
  <c r="EM39" i="1"/>
  <c r="AG39" i="1"/>
  <c r="U39" i="1"/>
  <c r="I39" i="1"/>
  <c r="FF39" i="1" s="1"/>
  <c r="HW38" i="1"/>
  <c r="IC38" i="1" s="1"/>
  <c r="HV38" i="1"/>
  <c r="IB38" i="1" s="1"/>
  <c r="HT38" i="1"/>
  <c r="HS38" i="1"/>
  <c r="HR38" i="1"/>
  <c r="HQ38" i="1"/>
  <c r="HN38" i="1"/>
  <c r="HM38" i="1"/>
  <c r="HL38" i="1"/>
  <c r="HH38" i="1"/>
  <c r="HG38" i="1"/>
  <c r="HF38" i="1"/>
  <c r="HE38" i="1"/>
  <c r="EN38" i="1" s="1"/>
  <c r="EO38" i="1" s="1"/>
  <c r="HB38" i="1"/>
  <c r="HA38" i="1"/>
  <c r="GZ38" i="1"/>
  <c r="GY38" i="1"/>
  <c r="GV38" i="1"/>
  <c r="GU38" i="1"/>
  <c r="GT38" i="1"/>
  <c r="GS38" i="1"/>
  <c r="GP38" i="1"/>
  <c r="GO38" i="1"/>
  <c r="GN38" i="1"/>
  <c r="GM38" i="1"/>
  <c r="GJ38" i="1"/>
  <c r="GI38" i="1"/>
  <c r="GH38" i="1"/>
  <c r="GG38" i="1"/>
  <c r="GD38" i="1"/>
  <c r="GC38" i="1"/>
  <c r="GB38" i="1"/>
  <c r="GA38" i="1"/>
  <c r="FX38" i="1"/>
  <c r="FW38" i="1"/>
  <c r="FV38" i="1"/>
  <c r="FU38" i="1"/>
  <c r="FR38" i="1"/>
  <c r="FQ38" i="1"/>
  <c r="FP38" i="1"/>
  <c r="FO38" i="1"/>
  <c r="FL38" i="1"/>
  <c r="FK38" i="1"/>
  <c r="FJ38" i="1"/>
  <c r="FI38" i="1"/>
  <c r="FA38" i="1"/>
  <c r="FB38" i="1" s="1"/>
  <c r="EZ38" i="1"/>
  <c r="FC43" i="1" s="1"/>
  <c r="EV38" i="1"/>
  <c r="EU38" i="1"/>
  <c r="ET38" i="1"/>
  <c r="EM38" i="1"/>
  <c r="ER43" i="1" s="1"/>
  <c r="AG38" i="1"/>
  <c r="U38" i="1"/>
  <c r="I38" i="1"/>
  <c r="FF38" i="1" s="1"/>
  <c r="HW37" i="1"/>
  <c r="IC37" i="1" s="1"/>
  <c r="HV37" i="1"/>
  <c r="HT37" i="1"/>
  <c r="HS37" i="1"/>
  <c r="HR37" i="1"/>
  <c r="HQ37" i="1"/>
  <c r="HN37" i="1"/>
  <c r="HM37" i="1"/>
  <c r="HL37" i="1"/>
  <c r="HH37" i="1"/>
  <c r="HG37" i="1"/>
  <c r="HF37" i="1"/>
  <c r="HE37" i="1"/>
  <c r="EN37" i="1" s="1"/>
  <c r="EO37" i="1" s="1"/>
  <c r="HB37" i="1"/>
  <c r="HA37" i="1"/>
  <c r="GZ37" i="1"/>
  <c r="GY37" i="1"/>
  <c r="GV37" i="1"/>
  <c r="GU37" i="1"/>
  <c r="GT37" i="1"/>
  <c r="GS37" i="1"/>
  <c r="GP37" i="1"/>
  <c r="GO37" i="1"/>
  <c r="GN37" i="1"/>
  <c r="GM37" i="1"/>
  <c r="GJ37" i="1"/>
  <c r="GI37" i="1"/>
  <c r="GH37" i="1"/>
  <c r="GG37" i="1"/>
  <c r="GD37" i="1"/>
  <c r="GC37" i="1"/>
  <c r="GB37" i="1"/>
  <c r="GA37" i="1"/>
  <c r="FX37" i="1"/>
  <c r="FW37" i="1"/>
  <c r="FV37" i="1"/>
  <c r="FU37" i="1"/>
  <c r="FR37" i="1"/>
  <c r="FQ37" i="1"/>
  <c r="FP37" i="1"/>
  <c r="FO37" i="1"/>
  <c r="FL37" i="1"/>
  <c r="FK37" i="1"/>
  <c r="FJ37" i="1"/>
  <c r="FI37" i="1"/>
  <c r="FA37" i="1"/>
  <c r="FB37" i="1" s="1"/>
  <c r="EZ37" i="1"/>
  <c r="EU37" i="1"/>
  <c r="EV37" i="1" s="1"/>
  <c r="ET37" i="1"/>
  <c r="EM37" i="1"/>
  <c r="AG37" i="1"/>
  <c r="U37" i="1"/>
  <c r="I37" i="1"/>
  <c r="FF37" i="1" s="1"/>
  <c r="HW36" i="1"/>
  <c r="IC36" i="1" s="1"/>
  <c r="HV36" i="1"/>
  <c r="HT36" i="1"/>
  <c r="HS36" i="1"/>
  <c r="HR36" i="1"/>
  <c r="HQ36" i="1"/>
  <c r="HN36" i="1"/>
  <c r="HM36" i="1"/>
  <c r="HL36" i="1"/>
  <c r="HH36" i="1"/>
  <c r="HG36" i="1"/>
  <c r="HF36" i="1"/>
  <c r="HE36" i="1"/>
  <c r="HB36" i="1"/>
  <c r="HA36" i="1"/>
  <c r="GZ36" i="1"/>
  <c r="GY36" i="1"/>
  <c r="GV36" i="1"/>
  <c r="GU36" i="1"/>
  <c r="GT36" i="1"/>
  <c r="GS36" i="1"/>
  <c r="GP36" i="1"/>
  <c r="GO36" i="1"/>
  <c r="GN36" i="1"/>
  <c r="GM36" i="1"/>
  <c r="GJ36" i="1"/>
  <c r="GI36" i="1"/>
  <c r="GH36" i="1"/>
  <c r="GG36" i="1"/>
  <c r="GD36" i="1"/>
  <c r="GC36" i="1"/>
  <c r="GB36" i="1"/>
  <c r="GA36" i="1"/>
  <c r="FX36" i="1"/>
  <c r="FW36" i="1"/>
  <c r="FV36" i="1"/>
  <c r="FU36" i="1"/>
  <c r="FR36" i="1"/>
  <c r="FQ36" i="1"/>
  <c r="FP36" i="1"/>
  <c r="FO36" i="1"/>
  <c r="FL36" i="1"/>
  <c r="FK36" i="1"/>
  <c r="FJ36" i="1"/>
  <c r="FI36" i="1"/>
  <c r="FF36" i="1"/>
  <c r="FA36" i="1"/>
  <c r="FB36" i="1" s="1"/>
  <c r="EZ36" i="1"/>
  <c r="EU36" i="1"/>
  <c r="EV36" i="1" s="1"/>
  <c r="ET36" i="1"/>
  <c r="EN36" i="1"/>
  <c r="EO36" i="1" s="1"/>
  <c r="EM36" i="1"/>
  <c r="AG36" i="1"/>
  <c r="U36" i="1"/>
  <c r="I36" i="1"/>
  <c r="HW35" i="1"/>
  <c r="HX35" i="1" s="1"/>
  <c r="ID35" i="1" s="1"/>
  <c r="HV35" i="1"/>
  <c r="IB35" i="1" s="1"/>
  <c r="HT35" i="1"/>
  <c r="HS35" i="1"/>
  <c r="HR35" i="1"/>
  <c r="HQ35" i="1"/>
  <c r="HN35" i="1"/>
  <c r="HM35" i="1"/>
  <c r="HL35" i="1"/>
  <c r="HH35" i="1"/>
  <c r="HG35" i="1"/>
  <c r="HF35" i="1"/>
  <c r="HE35" i="1"/>
  <c r="HB35" i="1"/>
  <c r="HA35" i="1"/>
  <c r="GZ35" i="1"/>
  <c r="GY35" i="1"/>
  <c r="GV35" i="1"/>
  <c r="GU35" i="1"/>
  <c r="GT35" i="1"/>
  <c r="GS35" i="1"/>
  <c r="GP35" i="1"/>
  <c r="GO35" i="1"/>
  <c r="GN35" i="1"/>
  <c r="GM35" i="1"/>
  <c r="GJ35" i="1"/>
  <c r="GI35" i="1"/>
  <c r="GH35" i="1"/>
  <c r="GG35" i="1"/>
  <c r="GD35" i="1"/>
  <c r="GC35" i="1"/>
  <c r="GB35" i="1"/>
  <c r="GA35" i="1"/>
  <c r="FX35" i="1"/>
  <c r="FW35" i="1"/>
  <c r="FV35" i="1"/>
  <c r="FU35" i="1"/>
  <c r="FR35" i="1"/>
  <c r="FQ35" i="1"/>
  <c r="FP35" i="1"/>
  <c r="FO35" i="1"/>
  <c r="FL35" i="1"/>
  <c r="FK35" i="1"/>
  <c r="FJ35" i="1"/>
  <c r="FI35" i="1"/>
  <c r="FA35" i="1"/>
  <c r="FB35" i="1" s="1"/>
  <c r="EZ35" i="1"/>
  <c r="FD40" i="1" s="1"/>
  <c r="EU35" i="1"/>
  <c r="EV35" i="1" s="1"/>
  <c r="ET35" i="1"/>
  <c r="EO35" i="1"/>
  <c r="EN35" i="1"/>
  <c r="EM35" i="1"/>
  <c r="AG35" i="1"/>
  <c r="U35" i="1"/>
  <c r="I35" i="1"/>
  <c r="FF35" i="1" s="1"/>
  <c r="HW34" i="1"/>
  <c r="IC34" i="1" s="1"/>
  <c r="HV34" i="1"/>
  <c r="IB34" i="1" s="1"/>
  <c r="HT34" i="1"/>
  <c r="HS34" i="1"/>
  <c r="HR34" i="1"/>
  <c r="HQ34" i="1"/>
  <c r="HN34" i="1"/>
  <c r="HM34" i="1"/>
  <c r="HL34" i="1"/>
  <c r="HH34" i="1"/>
  <c r="HG34" i="1"/>
  <c r="HF34" i="1"/>
  <c r="HE34" i="1"/>
  <c r="EN34" i="1" s="1"/>
  <c r="EO34" i="1" s="1"/>
  <c r="HB34" i="1"/>
  <c r="HA34" i="1"/>
  <c r="GZ34" i="1"/>
  <c r="GY34" i="1"/>
  <c r="GV34" i="1"/>
  <c r="GU34" i="1"/>
  <c r="GT34" i="1"/>
  <c r="GS34" i="1"/>
  <c r="GP34" i="1"/>
  <c r="GO34" i="1"/>
  <c r="GN34" i="1"/>
  <c r="GM34" i="1"/>
  <c r="GJ34" i="1"/>
  <c r="GI34" i="1"/>
  <c r="GH34" i="1"/>
  <c r="GG34" i="1"/>
  <c r="GD34" i="1"/>
  <c r="GC34" i="1"/>
  <c r="GB34" i="1"/>
  <c r="GA34" i="1"/>
  <c r="FX34" i="1"/>
  <c r="FW34" i="1"/>
  <c r="FV34" i="1"/>
  <c r="FU34" i="1"/>
  <c r="FR34" i="1"/>
  <c r="FQ34" i="1"/>
  <c r="FP34" i="1"/>
  <c r="FO34" i="1"/>
  <c r="FL34" i="1"/>
  <c r="FK34" i="1"/>
  <c r="FJ34" i="1"/>
  <c r="FI34" i="1"/>
  <c r="FA34" i="1"/>
  <c r="FB34" i="1" s="1"/>
  <c r="EZ34" i="1"/>
  <c r="EV34" i="1"/>
  <c r="EU34" i="1"/>
  <c r="ET34" i="1"/>
  <c r="EM34" i="1"/>
  <c r="AG34" i="1"/>
  <c r="U34" i="1"/>
  <c r="I34" i="1"/>
  <c r="FF34" i="1" s="1"/>
  <c r="HW33" i="1"/>
  <c r="IC33" i="1" s="1"/>
  <c r="HV33" i="1"/>
  <c r="HT33" i="1"/>
  <c r="HS33" i="1"/>
  <c r="HR33" i="1"/>
  <c r="HQ33" i="1"/>
  <c r="HN33" i="1"/>
  <c r="HM33" i="1"/>
  <c r="HL33" i="1"/>
  <c r="HH33" i="1"/>
  <c r="HG33" i="1"/>
  <c r="HF33" i="1"/>
  <c r="HE33" i="1"/>
  <c r="HB33" i="1"/>
  <c r="HA33" i="1"/>
  <c r="GZ33" i="1"/>
  <c r="GY33" i="1"/>
  <c r="GV33" i="1"/>
  <c r="GU33" i="1"/>
  <c r="GT33" i="1"/>
  <c r="GS33" i="1"/>
  <c r="GP33" i="1"/>
  <c r="GO33" i="1"/>
  <c r="GN33" i="1"/>
  <c r="GM33" i="1"/>
  <c r="GJ33" i="1"/>
  <c r="GI33" i="1"/>
  <c r="GH33" i="1"/>
  <c r="GG33" i="1"/>
  <c r="GD33" i="1"/>
  <c r="GC33" i="1"/>
  <c r="GB33" i="1"/>
  <c r="GA33" i="1"/>
  <c r="FX33" i="1"/>
  <c r="FW33" i="1"/>
  <c r="FV33" i="1"/>
  <c r="FU33" i="1"/>
  <c r="FR33" i="1"/>
  <c r="FQ33" i="1"/>
  <c r="FP33" i="1"/>
  <c r="FO33" i="1"/>
  <c r="FL33" i="1"/>
  <c r="FK33" i="1"/>
  <c r="FJ33" i="1"/>
  <c r="FI33" i="1"/>
  <c r="FB33" i="1"/>
  <c r="FA33" i="1"/>
  <c r="EZ33" i="1"/>
  <c r="EU33" i="1"/>
  <c r="EV33" i="1" s="1"/>
  <c r="ET33" i="1"/>
  <c r="EN33" i="1"/>
  <c r="EO33" i="1" s="1"/>
  <c r="EM33" i="1"/>
  <c r="AG33" i="1"/>
  <c r="U33" i="1"/>
  <c r="I33" i="1"/>
  <c r="FF33" i="1" s="1"/>
  <c r="HW32" i="1"/>
  <c r="IC32" i="1" s="1"/>
  <c r="HV32" i="1"/>
  <c r="HT32" i="1"/>
  <c r="HS32" i="1"/>
  <c r="HR32" i="1"/>
  <c r="HQ32" i="1"/>
  <c r="HN32" i="1"/>
  <c r="HM32" i="1"/>
  <c r="HL32" i="1"/>
  <c r="HH32" i="1"/>
  <c r="HG32" i="1"/>
  <c r="HF32" i="1"/>
  <c r="HE32" i="1"/>
  <c r="HB32" i="1"/>
  <c r="HA32" i="1"/>
  <c r="GZ32" i="1"/>
  <c r="GY32" i="1"/>
  <c r="GV32" i="1"/>
  <c r="GU32" i="1"/>
  <c r="GT32" i="1"/>
  <c r="GS32" i="1"/>
  <c r="GP32" i="1"/>
  <c r="GO32" i="1"/>
  <c r="GN32" i="1"/>
  <c r="GM32" i="1"/>
  <c r="GJ32" i="1"/>
  <c r="GI32" i="1"/>
  <c r="GH32" i="1"/>
  <c r="GG32" i="1"/>
  <c r="GD32" i="1"/>
  <c r="GC32" i="1"/>
  <c r="GB32" i="1"/>
  <c r="GA32" i="1"/>
  <c r="FX32" i="1"/>
  <c r="FW32" i="1"/>
  <c r="FV32" i="1"/>
  <c r="FU32" i="1"/>
  <c r="FR32" i="1"/>
  <c r="FQ32" i="1"/>
  <c r="FP32" i="1"/>
  <c r="FO32" i="1"/>
  <c r="FL32" i="1"/>
  <c r="FK32" i="1"/>
  <c r="FJ32" i="1"/>
  <c r="FI32" i="1"/>
  <c r="FF32" i="1"/>
  <c r="FA32" i="1"/>
  <c r="FB32" i="1" s="1"/>
  <c r="EZ32" i="1"/>
  <c r="EU32" i="1"/>
  <c r="EV32" i="1" s="1"/>
  <c r="ET32" i="1"/>
  <c r="EN32" i="1"/>
  <c r="EO32" i="1" s="1"/>
  <c r="EM32" i="1"/>
  <c r="AG32" i="1"/>
  <c r="U32" i="1"/>
  <c r="I32" i="1"/>
  <c r="IB31" i="1"/>
  <c r="HW31" i="1"/>
  <c r="HX31" i="1" s="1"/>
  <c r="ID31" i="1" s="1"/>
  <c r="HV31" i="1"/>
  <c r="HT31" i="1"/>
  <c r="HS31" i="1"/>
  <c r="HR31" i="1"/>
  <c r="HQ31" i="1"/>
  <c r="HN31" i="1"/>
  <c r="HM31" i="1"/>
  <c r="HL31" i="1"/>
  <c r="HH31" i="1"/>
  <c r="HG31" i="1"/>
  <c r="HF31" i="1"/>
  <c r="HE31" i="1"/>
  <c r="HB31" i="1"/>
  <c r="HA31" i="1"/>
  <c r="GZ31" i="1"/>
  <c r="GY31" i="1"/>
  <c r="GV31" i="1"/>
  <c r="GU31" i="1"/>
  <c r="GT31" i="1"/>
  <c r="GS31" i="1"/>
  <c r="GP31" i="1"/>
  <c r="GO31" i="1"/>
  <c r="GN31" i="1"/>
  <c r="GM31" i="1"/>
  <c r="GJ31" i="1"/>
  <c r="GI31" i="1"/>
  <c r="GH31" i="1"/>
  <c r="GG31" i="1"/>
  <c r="GD31" i="1"/>
  <c r="GC31" i="1"/>
  <c r="GB31" i="1"/>
  <c r="GA31" i="1"/>
  <c r="FX31" i="1"/>
  <c r="FW31" i="1"/>
  <c r="FV31" i="1"/>
  <c r="FU31" i="1"/>
  <c r="FR31" i="1"/>
  <c r="FQ31" i="1"/>
  <c r="FP31" i="1"/>
  <c r="FO31" i="1"/>
  <c r="FL31" i="1"/>
  <c r="FK31" i="1"/>
  <c r="FJ31" i="1"/>
  <c r="FI31" i="1"/>
  <c r="FA31" i="1"/>
  <c r="FB31" i="1" s="1"/>
  <c r="EZ31" i="1"/>
  <c r="EU31" i="1"/>
  <c r="EV31" i="1" s="1"/>
  <c r="ET31" i="1"/>
  <c r="EN31" i="1"/>
  <c r="EO31" i="1" s="1"/>
  <c r="EM31" i="1"/>
  <c r="AG31" i="1"/>
  <c r="U31" i="1"/>
  <c r="I31" i="1"/>
  <c r="FF31" i="1" s="1"/>
  <c r="HW30" i="1"/>
  <c r="IC30" i="1" s="1"/>
  <c r="HV30" i="1"/>
  <c r="IB30" i="1" s="1"/>
  <c r="HU30" i="1"/>
  <c r="HU31" i="1" s="1"/>
  <c r="HU32" i="1" s="1"/>
  <c r="HU33" i="1" s="1"/>
  <c r="HU34" i="1" s="1"/>
  <c r="HU35" i="1" s="1"/>
  <c r="HU36" i="1" s="1"/>
  <c r="HU37" i="1" s="1"/>
  <c r="HU38" i="1" s="1"/>
  <c r="HU39" i="1" s="1"/>
  <c r="HU40" i="1" s="1"/>
  <c r="HU41" i="1" s="1"/>
  <c r="HU42" i="1" s="1"/>
  <c r="HU43" i="1" s="1"/>
  <c r="HU44" i="1" s="1"/>
  <c r="HU45" i="1" s="1"/>
  <c r="HU46" i="1" s="1"/>
  <c r="HU47" i="1" s="1"/>
  <c r="HU48" i="1" s="1"/>
  <c r="HT30" i="1"/>
  <c r="HS30" i="1"/>
  <c r="HR30" i="1"/>
  <c r="HQ30" i="1"/>
  <c r="HN30" i="1"/>
  <c r="HM30" i="1"/>
  <c r="HL30" i="1"/>
  <c r="HH30" i="1"/>
  <c r="HG30" i="1"/>
  <c r="HF30" i="1"/>
  <c r="HE30" i="1"/>
  <c r="EN30" i="1" s="1"/>
  <c r="EO30" i="1" s="1"/>
  <c r="HB30" i="1"/>
  <c r="HA30" i="1"/>
  <c r="GZ30" i="1"/>
  <c r="GY30" i="1"/>
  <c r="GV30" i="1"/>
  <c r="GU30" i="1"/>
  <c r="GT30" i="1"/>
  <c r="GS30" i="1"/>
  <c r="GP30" i="1"/>
  <c r="GO30" i="1"/>
  <c r="GN30" i="1"/>
  <c r="GM30" i="1"/>
  <c r="GJ30" i="1"/>
  <c r="GI30" i="1"/>
  <c r="GH30" i="1"/>
  <c r="GG30" i="1"/>
  <c r="GD30" i="1"/>
  <c r="GC30" i="1"/>
  <c r="GB30" i="1"/>
  <c r="GA30" i="1"/>
  <c r="FX30" i="1"/>
  <c r="FW30" i="1"/>
  <c r="FV30" i="1"/>
  <c r="FU30" i="1"/>
  <c r="FR30" i="1"/>
  <c r="FQ30" i="1"/>
  <c r="FP30" i="1"/>
  <c r="FO30" i="1"/>
  <c r="FL30" i="1"/>
  <c r="FK30" i="1"/>
  <c r="FJ30" i="1"/>
  <c r="FI30" i="1"/>
  <c r="FA30" i="1"/>
  <c r="FB30" i="1" s="1"/>
  <c r="EZ30" i="1"/>
  <c r="EU30" i="1"/>
  <c r="EV30" i="1" s="1"/>
  <c r="ET30" i="1"/>
  <c r="EM30" i="1"/>
  <c r="EQ35" i="1" s="1"/>
  <c r="AG30" i="1"/>
  <c r="U30" i="1"/>
  <c r="I30" i="1"/>
  <c r="FF30" i="1" s="1"/>
  <c r="HX29" i="1"/>
  <c r="ID29" i="1" s="1"/>
  <c r="HW29" i="1"/>
  <c r="IC29" i="1" s="1"/>
  <c r="HV29" i="1"/>
  <c r="HT29" i="1"/>
  <c r="HS29" i="1"/>
  <c r="HR29" i="1"/>
  <c r="HQ29" i="1"/>
  <c r="HN29" i="1"/>
  <c r="HM29" i="1"/>
  <c r="HL29" i="1"/>
  <c r="HH29" i="1"/>
  <c r="HG29" i="1"/>
  <c r="HF29" i="1"/>
  <c r="HE29" i="1"/>
  <c r="HB29" i="1"/>
  <c r="HA29" i="1"/>
  <c r="GZ29" i="1"/>
  <c r="GY29" i="1"/>
  <c r="GV29" i="1"/>
  <c r="GU29" i="1"/>
  <c r="GT29" i="1"/>
  <c r="GS29" i="1"/>
  <c r="GP29" i="1"/>
  <c r="GO29" i="1"/>
  <c r="GN29" i="1"/>
  <c r="GM29" i="1"/>
  <c r="GJ29" i="1"/>
  <c r="GI29" i="1"/>
  <c r="GH29" i="1"/>
  <c r="GG29" i="1"/>
  <c r="GD29" i="1"/>
  <c r="GC29" i="1"/>
  <c r="GB29" i="1"/>
  <c r="GA29" i="1"/>
  <c r="FX29" i="1"/>
  <c r="FW29" i="1"/>
  <c r="FV29" i="1"/>
  <c r="FU29" i="1"/>
  <c r="FR29" i="1"/>
  <c r="FQ29" i="1"/>
  <c r="FP29" i="1"/>
  <c r="FO29" i="1"/>
  <c r="FL29" i="1"/>
  <c r="FK29" i="1"/>
  <c r="FJ29" i="1"/>
  <c r="FI29" i="1"/>
  <c r="FA29" i="1"/>
  <c r="FB29" i="1" s="1"/>
  <c r="EZ29" i="1"/>
  <c r="EU29" i="1"/>
  <c r="EV29" i="1" s="1"/>
  <c r="ET29" i="1"/>
  <c r="EN29" i="1"/>
  <c r="EO29" i="1" s="1"/>
  <c r="EM29" i="1"/>
  <c r="AG29" i="1"/>
  <c r="U29" i="1"/>
  <c r="I29" i="1"/>
  <c r="FF29" i="1" s="1"/>
  <c r="IC28" i="1"/>
  <c r="IB28" i="1"/>
  <c r="HW28" i="1"/>
  <c r="HX28" i="1" s="1"/>
  <c r="ID28" i="1" s="1"/>
  <c r="HV28" i="1"/>
  <c r="HT28" i="1"/>
  <c r="HS28" i="1"/>
  <c r="HR28" i="1"/>
  <c r="HQ28" i="1"/>
  <c r="HN28" i="1"/>
  <c r="HM28" i="1"/>
  <c r="HL28" i="1"/>
  <c r="HH28" i="1"/>
  <c r="HG28" i="1"/>
  <c r="HF28" i="1"/>
  <c r="HE28" i="1"/>
  <c r="HB28" i="1"/>
  <c r="HA28" i="1"/>
  <c r="GZ28" i="1"/>
  <c r="GY28" i="1"/>
  <c r="GV28" i="1"/>
  <c r="GU28" i="1"/>
  <c r="GT28" i="1"/>
  <c r="GS28" i="1"/>
  <c r="GP28" i="1"/>
  <c r="GO28" i="1"/>
  <c r="GN28" i="1"/>
  <c r="GM28" i="1"/>
  <c r="GJ28" i="1"/>
  <c r="GI28" i="1"/>
  <c r="GH28" i="1"/>
  <c r="GG28" i="1"/>
  <c r="GD28" i="1"/>
  <c r="GC28" i="1"/>
  <c r="GB28" i="1"/>
  <c r="GA28" i="1"/>
  <c r="FX28" i="1"/>
  <c r="FW28" i="1"/>
  <c r="FV28" i="1"/>
  <c r="FU28" i="1"/>
  <c r="FR28" i="1"/>
  <c r="FQ28" i="1"/>
  <c r="FP28" i="1"/>
  <c r="FO28" i="1"/>
  <c r="FL28" i="1"/>
  <c r="FK28" i="1"/>
  <c r="FJ28" i="1"/>
  <c r="FI28" i="1"/>
  <c r="FA28" i="1"/>
  <c r="FB28" i="1" s="1"/>
  <c r="EZ28" i="1"/>
  <c r="EU28" i="1"/>
  <c r="EV28" i="1" s="1"/>
  <c r="ET28" i="1"/>
  <c r="EN28" i="1"/>
  <c r="EO28" i="1" s="1"/>
  <c r="EM28" i="1"/>
  <c r="AG28" i="1"/>
  <c r="U28" i="1"/>
  <c r="I28" i="1"/>
  <c r="FF28" i="1" s="1"/>
  <c r="HW27" i="1"/>
  <c r="HV27" i="1"/>
  <c r="IB27" i="1" s="1"/>
  <c r="HT27" i="1"/>
  <c r="HS27" i="1"/>
  <c r="HR27" i="1"/>
  <c r="HQ27" i="1"/>
  <c r="HN27" i="1"/>
  <c r="HM27" i="1"/>
  <c r="HL27" i="1"/>
  <c r="HH27" i="1"/>
  <c r="HG27" i="1"/>
  <c r="HF27" i="1"/>
  <c r="HE27" i="1"/>
  <c r="HB27" i="1"/>
  <c r="HA27" i="1"/>
  <c r="GZ27" i="1"/>
  <c r="GY27" i="1"/>
  <c r="GV27" i="1"/>
  <c r="GU27" i="1"/>
  <c r="GT27" i="1"/>
  <c r="GS27" i="1"/>
  <c r="GP27" i="1"/>
  <c r="GO27" i="1"/>
  <c r="GN27" i="1"/>
  <c r="GM27" i="1"/>
  <c r="GJ27" i="1"/>
  <c r="GI27" i="1"/>
  <c r="GH27" i="1"/>
  <c r="GG27" i="1"/>
  <c r="GD27" i="1"/>
  <c r="GC27" i="1"/>
  <c r="GB27" i="1"/>
  <c r="GA27" i="1"/>
  <c r="FX27" i="1"/>
  <c r="FW27" i="1"/>
  <c r="FV27" i="1"/>
  <c r="FU27" i="1"/>
  <c r="FR27" i="1"/>
  <c r="FQ27" i="1"/>
  <c r="FP27" i="1"/>
  <c r="FO27" i="1"/>
  <c r="FL27" i="1"/>
  <c r="FK27" i="1"/>
  <c r="FJ27" i="1"/>
  <c r="FI27" i="1"/>
  <c r="FF27" i="1"/>
  <c r="FA27" i="1"/>
  <c r="FB27" i="1" s="1"/>
  <c r="EZ27" i="1"/>
  <c r="EU27" i="1"/>
  <c r="EV27" i="1" s="1"/>
  <c r="ET27" i="1"/>
  <c r="EY32" i="1" s="1"/>
  <c r="EN27" i="1"/>
  <c r="EO27" i="1" s="1"/>
  <c r="EM27" i="1"/>
  <c r="AG27" i="1"/>
  <c r="U27" i="1"/>
  <c r="I27" i="1"/>
  <c r="IB26" i="1"/>
  <c r="HW26" i="1"/>
  <c r="HV26" i="1"/>
  <c r="HT26" i="1"/>
  <c r="HS26" i="1"/>
  <c r="HR26" i="1"/>
  <c r="HQ26" i="1"/>
  <c r="HN26" i="1"/>
  <c r="HM26" i="1"/>
  <c r="HL26" i="1"/>
  <c r="HH26" i="1"/>
  <c r="HG26" i="1"/>
  <c r="HF26" i="1"/>
  <c r="HE26" i="1"/>
  <c r="EN26" i="1" s="1"/>
  <c r="EO26" i="1" s="1"/>
  <c r="HB26" i="1"/>
  <c r="HA26" i="1"/>
  <c r="GZ26" i="1"/>
  <c r="GY26" i="1"/>
  <c r="GV26" i="1"/>
  <c r="GU26" i="1"/>
  <c r="GT26" i="1"/>
  <c r="GS26" i="1"/>
  <c r="GP26" i="1"/>
  <c r="GO26" i="1"/>
  <c r="GN26" i="1"/>
  <c r="GM26" i="1"/>
  <c r="GJ26" i="1"/>
  <c r="GI26" i="1"/>
  <c r="GH26" i="1"/>
  <c r="GG26" i="1"/>
  <c r="GD26" i="1"/>
  <c r="GC26" i="1"/>
  <c r="GB26" i="1"/>
  <c r="GA26" i="1"/>
  <c r="FX26" i="1"/>
  <c r="FW26" i="1"/>
  <c r="FV26" i="1"/>
  <c r="FU26" i="1"/>
  <c r="FR26" i="1"/>
  <c r="FQ26" i="1"/>
  <c r="FP26" i="1"/>
  <c r="FO26" i="1"/>
  <c r="FL26" i="1"/>
  <c r="FK26" i="1"/>
  <c r="FJ26" i="1"/>
  <c r="FI26" i="1"/>
  <c r="FA26" i="1"/>
  <c r="FB26" i="1" s="1"/>
  <c r="EZ26" i="1"/>
  <c r="EU26" i="1"/>
  <c r="EV26" i="1" s="1"/>
  <c r="ET26" i="1"/>
  <c r="EW31" i="1" s="1"/>
  <c r="EM26" i="1"/>
  <c r="AG26" i="1"/>
  <c r="U26" i="1"/>
  <c r="I26" i="1"/>
  <c r="FF26" i="1" s="1"/>
  <c r="HT25" i="1"/>
  <c r="HS25" i="1"/>
  <c r="HR25" i="1"/>
  <c r="HQ25" i="1"/>
  <c r="HN25" i="1"/>
  <c r="HM25" i="1"/>
  <c r="HL25" i="1"/>
  <c r="HK25" i="1"/>
  <c r="HH25" i="1"/>
  <c r="HG25" i="1"/>
  <c r="HF25" i="1"/>
  <c r="HE25" i="1"/>
  <c r="EN25" i="1" s="1"/>
  <c r="EO25" i="1" s="1"/>
  <c r="HB25" i="1"/>
  <c r="HA25" i="1"/>
  <c r="GZ25" i="1"/>
  <c r="GY25" i="1"/>
  <c r="GV25" i="1"/>
  <c r="GU25" i="1"/>
  <c r="GT25" i="1"/>
  <c r="GS25" i="1"/>
  <c r="GP25" i="1"/>
  <c r="GO25" i="1"/>
  <c r="GN25" i="1"/>
  <c r="GM25" i="1"/>
  <c r="GJ25" i="1"/>
  <c r="GI25" i="1"/>
  <c r="GH25" i="1"/>
  <c r="GG25" i="1"/>
  <c r="GD25" i="1"/>
  <c r="GC25" i="1"/>
  <c r="GB25" i="1"/>
  <c r="GA25" i="1"/>
  <c r="FX25" i="1"/>
  <c r="FW25" i="1"/>
  <c r="FV25" i="1"/>
  <c r="FU25" i="1"/>
  <c r="FR25" i="1"/>
  <c r="FQ25" i="1"/>
  <c r="FP25" i="1"/>
  <c r="FO25" i="1"/>
  <c r="FL25" i="1"/>
  <c r="FK25" i="1"/>
  <c r="FJ25" i="1"/>
  <c r="FI25" i="1"/>
  <c r="FA25" i="1"/>
  <c r="FB25" i="1" s="1"/>
  <c r="EZ25" i="1"/>
  <c r="EU25" i="1"/>
  <c r="EV25" i="1" s="1"/>
  <c r="ET25" i="1"/>
  <c r="EM25" i="1"/>
  <c r="AG25" i="1"/>
  <c r="U25" i="1"/>
  <c r="I25" i="1"/>
  <c r="FF25" i="1" s="1"/>
  <c r="HT24" i="1"/>
  <c r="HS24" i="1"/>
  <c r="HR24" i="1"/>
  <c r="HQ24" i="1"/>
  <c r="HN24" i="1"/>
  <c r="HM24" i="1"/>
  <c r="HL24" i="1"/>
  <c r="HH24" i="1"/>
  <c r="HG24" i="1"/>
  <c r="HF24" i="1"/>
  <c r="HB24" i="1"/>
  <c r="HA24" i="1"/>
  <c r="GZ24" i="1"/>
  <c r="GV24" i="1"/>
  <c r="GU24" i="1"/>
  <c r="GT24" i="1"/>
  <c r="GP24" i="1"/>
  <c r="GO24" i="1"/>
  <c r="GN24" i="1"/>
  <c r="GJ24" i="1"/>
  <c r="GI24" i="1"/>
  <c r="GH24" i="1"/>
  <c r="GD24" i="1"/>
  <c r="GC24" i="1"/>
  <c r="GB24" i="1"/>
  <c r="FX24" i="1"/>
  <c r="FW24" i="1"/>
  <c r="FV24" i="1"/>
  <c r="FR24" i="1"/>
  <c r="FQ24" i="1"/>
  <c r="FP24" i="1"/>
  <c r="FL24" i="1"/>
  <c r="FK24" i="1"/>
  <c r="FJ24" i="1"/>
  <c r="FI24" i="1"/>
  <c r="FB24" i="1"/>
  <c r="EZ24" i="1"/>
  <c r="EV24" i="1"/>
  <c r="ET24" i="1"/>
  <c r="EO24" i="1"/>
  <c r="EM24" i="1"/>
  <c r="AG24" i="1"/>
  <c r="U24" i="1"/>
  <c r="I24" i="1"/>
  <c r="FF24" i="1" s="1"/>
  <c r="HT23" i="1"/>
  <c r="HS23" i="1"/>
  <c r="HR23" i="1"/>
  <c r="HN23" i="1"/>
  <c r="HM23" i="1"/>
  <c r="HL23" i="1"/>
  <c r="HH23" i="1"/>
  <c r="HG23" i="1"/>
  <c r="HF23" i="1"/>
  <c r="HB23" i="1"/>
  <c r="HA23" i="1"/>
  <c r="GZ23" i="1"/>
  <c r="GV23" i="1"/>
  <c r="GU23" i="1"/>
  <c r="GT23" i="1"/>
  <c r="GP23" i="1"/>
  <c r="GO23" i="1"/>
  <c r="GN23" i="1"/>
  <c r="GJ23" i="1"/>
  <c r="GI23" i="1"/>
  <c r="GH23" i="1"/>
  <c r="GD23" i="1"/>
  <c r="GC23" i="1"/>
  <c r="GB23" i="1"/>
  <c r="FX23" i="1"/>
  <c r="FW23" i="1"/>
  <c r="FV23" i="1"/>
  <c r="FR23" i="1"/>
  <c r="FQ23" i="1"/>
  <c r="FP23" i="1"/>
  <c r="FL23" i="1"/>
  <c r="FK23" i="1"/>
  <c r="FJ23" i="1"/>
  <c r="EZ23" i="1"/>
  <c r="ET23" i="1"/>
  <c r="EX28" i="1" s="1"/>
  <c r="EM23" i="1"/>
  <c r="AG23" i="1"/>
  <c r="U23" i="1"/>
  <c r="I23" i="1"/>
  <c r="FF23" i="1" s="1"/>
  <c r="HT22" i="1"/>
  <c r="HS22" i="1"/>
  <c r="HR22" i="1"/>
  <c r="HN22" i="1"/>
  <c r="HM22" i="1"/>
  <c r="HL22" i="1"/>
  <c r="HH22" i="1"/>
  <c r="HG22" i="1"/>
  <c r="HF22" i="1"/>
  <c r="HB22" i="1"/>
  <c r="HA22" i="1"/>
  <c r="GZ22" i="1"/>
  <c r="GV22" i="1"/>
  <c r="GU22" i="1"/>
  <c r="GT22" i="1"/>
  <c r="GP22" i="1"/>
  <c r="GO22" i="1"/>
  <c r="GN22" i="1"/>
  <c r="GJ22" i="1"/>
  <c r="GI22" i="1"/>
  <c r="GH22" i="1"/>
  <c r="GD22" i="1"/>
  <c r="GC22" i="1"/>
  <c r="GB22" i="1"/>
  <c r="FX22" i="1"/>
  <c r="FW22" i="1"/>
  <c r="FV22" i="1"/>
  <c r="FR22" i="1"/>
  <c r="FQ22" i="1"/>
  <c r="FP22" i="1"/>
  <c r="FL22" i="1"/>
  <c r="FK22" i="1"/>
  <c r="FJ22" i="1"/>
  <c r="EZ22" i="1"/>
  <c r="ET22" i="1"/>
  <c r="EY27" i="1" s="1"/>
  <c r="EM22" i="1"/>
  <c r="AG22" i="1"/>
  <c r="U22" i="1"/>
  <c r="I22" i="1"/>
  <c r="FF22" i="1" s="1"/>
  <c r="HT21" i="1"/>
  <c r="HS21" i="1"/>
  <c r="HR21" i="1"/>
  <c r="HN21" i="1"/>
  <c r="HM21" i="1"/>
  <c r="HL21" i="1"/>
  <c r="HH21" i="1"/>
  <c r="HG21" i="1"/>
  <c r="HF21" i="1"/>
  <c r="HB21" i="1"/>
  <c r="HA21" i="1"/>
  <c r="GZ21" i="1"/>
  <c r="GV21" i="1"/>
  <c r="GU21" i="1"/>
  <c r="GT21" i="1"/>
  <c r="GP21" i="1"/>
  <c r="GO21" i="1"/>
  <c r="GN21" i="1"/>
  <c r="GJ21" i="1"/>
  <c r="GI21" i="1"/>
  <c r="GH21" i="1"/>
  <c r="GD21" i="1"/>
  <c r="GC21" i="1"/>
  <c r="GB21" i="1"/>
  <c r="FX21" i="1"/>
  <c r="FW21" i="1"/>
  <c r="FV21" i="1"/>
  <c r="FR21" i="1"/>
  <c r="FQ21" i="1"/>
  <c r="FP21" i="1"/>
  <c r="FL21" i="1"/>
  <c r="FK21" i="1"/>
  <c r="FJ21" i="1"/>
  <c r="EZ21" i="1"/>
  <c r="ET21" i="1"/>
  <c r="EM21" i="1"/>
  <c r="AG21" i="1"/>
  <c r="U21" i="1"/>
  <c r="I21" i="1"/>
  <c r="FF21" i="1" s="1"/>
  <c r="HT20" i="1"/>
  <c r="HS20" i="1"/>
  <c r="HR20" i="1"/>
  <c r="HN20" i="1"/>
  <c r="HM20" i="1"/>
  <c r="HL20" i="1"/>
  <c r="HH20" i="1"/>
  <c r="HG20" i="1"/>
  <c r="HF20" i="1"/>
  <c r="HB20" i="1"/>
  <c r="HA20" i="1"/>
  <c r="GZ20" i="1"/>
  <c r="GV20" i="1"/>
  <c r="GU20" i="1"/>
  <c r="GT20" i="1"/>
  <c r="GP20" i="1"/>
  <c r="GO20" i="1"/>
  <c r="GN20" i="1"/>
  <c r="GJ20" i="1"/>
  <c r="GI20" i="1"/>
  <c r="GH20" i="1"/>
  <c r="GD20" i="1"/>
  <c r="GC20" i="1"/>
  <c r="GB20" i="1"/>
  <c r="FX20" i="1"/>
  <c r="FW20" i="1"/>
  <c r="FV20" i="1"/>
  <c r="FR20" i="1"/>
  <c r="FQ20" i="1"/>
  <c r="FP20" i="1"/>
  <c r="FL20" i="1"/>
  <c r="FK20" i="1"/>
  <c r="FJ20" i="1"/>
  <c r="EZ20" i="1"/>
  <c r="ET20" i="1"/>
  <c r="EM20" i="1"/>
  <c r="AG20" i="1"/>
  <c r="U20" i="1"/>
  <c r="I20" i="1"/>
  <c r="FF20" i="1" s="1"/>
  <c r="HT19" i="1"/>
  <c r="HS19" i="1"/>
  <c r="HR19" i="1"/>
  <c r="HN19" i="1"/>
  <c r="HM19" i="1"/>
  <c r="HL19" i="1"/>
  <c r="HH19" i="1"/>
  <c r="HG19" i="1"/>
  <c r="HF19" i="1"/>
  <c r="HB19" i="1"/>
  <c r="HA19" i="1"/>
  <c r="GZ19" i="1"/>
  <c r="GV19" i="1"/>
  <c r="GU19" i="1"/>
  <c r="GT19" i="1"/>
  <c r="GP19" i="1"/>
  <c r="GO19" i="1"/>
  <c r="GN19" i="1"/>
  <c r="GJ19" i="1"/>
  <c r="GI19" i="1"/>
  <c r="GH19" i="1"/>
  <c r="GD19" i="1"/>
  <c r="GC19" i="1"/>
  <c r="GB19" i="1"/>
  <c r="FX19" i="1"/>
  <c r="FW19" i="1"/>
  <c r="FV19" i="1"/>
  <c r="FR19" i="1"/>
  <c r="FQ19" i="1"/>
  <c r="FP19" i="1"/>
  <c r="FL19" i="1"/>
  <c r="FK19" i="1"/>
  <c r="FJ19" i="1"/>
  <c r="EZ19" i="1"/>
  <c r="ET19" i="1"/>
  <c r="EM19" i="1"/>
  <c r="AG19" i="1"/>
  <c r="U19" i="1"/>
  <c r="I19" i="1"/>
  <c r="FF19" i="1" s="1"/>
  <c r="HT18" i="1"/>
  <c r="HS18" i="1"/>
  <c r="HR18" i="1"/>
  <c r="HN18" i="1"/>
  <c r="HM18" i="1"/>
  <c r="HL18" i="1"/>
  <c r="HH18" i="1"/>
  <c r="HG18" i="1"/>
  <c r="HF18" i="1"/>
  <c r="HB18" i="1"/>
  <c r="HA18" i="1"/>
  <c r="GZ18" i="1"/>
  <c r="GV18" i="1"/>
  <c r="GU18" i="1"/>
  <c r="GT18" i="1"/>
  <c r="GP18" i="1"/>
  <c r="GO18" i="1"/>
  <c r="GN18" i="1"/>
  <c r="GJ18" i="1"/>
  <c r="GI18" i="1"/>
  <c r="GH18" i="1"/>
  <c r="GD18" i="1"/>
  <c r="GC18" i="1"/>
  <c r="GB18" i="1"/>
  <c r="FX18" i="1"/>
  <c r="FW18" i="1"/>
  <c r="FV18" i="1"/>
  <c r="FR18" i="1"/>
  <c r="FQ18" i="1"/>
  <c r="FP18" i="1"/>
  <c r="FL18" i="1"/>
  <c r="FK18" i="1"/>
  <c r="FJ18" i="1"/>
  <c r="EZ18" i="1"/>
  <c r="ET18" i="1"/>
  <c r="EM18" i="1"/>
  <c r="AG18" i="1"/>
  <c r="U18" i="1"/>
  <c r="I18" i="1"/>
  <c r="FF18" i="1" s="1"/>
  <c r="HT17" i="1"/>
  <c r="HS17" i="1"/>
  <c r="HR17" i="1"/>
  <c r="HN17" i="1"/>
  <c r="HM17" i="1"/>
  <c r="HL17" i="1"/>
  <c r="HH17" i="1"/>
  <c r="HG17" i="1"/>
  <c r="HF17" i="1"/>
  <c r="HB17" i="1"/>
  <c r="HA17" i="1"/>
  <c r="GZ17" i="1"/>
  <c r="GV17" i="1"/>
  <c r="GU17" i="1"/>
  <c r="GT17" i="1"/>
  <c r="GP17" i="1"/>
  <c r="GO17" i="1"/>
  <c r="GN17" i="1"/>
  <c r="GJ17" i="1"/>
  <c r="GI17" i="1"/>
  <c r="GH17" i="1"/>
  <c r="GD17" i="1"/>
  <c r="GC17" i="1"/>
  <c r="GB17" i="1"/>
  <c r="FX17" i="1"/>
  <c r="FW17" i="1"/>
  <c r="FV17" i="1"/>
  <c r="FR17" i="1"/>
  <c r="FQ17" i="1"/>
  <c r="FP17" i="1"/>
  <c r="FL17" i="1"/>
  <c r="FK17" i="1"/>
  <c r="FJ17" i="1"/>
  <c r="EZ17" i="1"/>
  <c r="ET17" i="1"/>
  <c r="EM17" i="1"/>
  <c r="AG17" i="1"/>
  <c r="U17" i="1"/>
  <c r="I17" i="1"/>
  <c r="FF17" i="1" s="1"/>
  <c r="HT16" i="1"/>
  <c r="HS16" i="1"/>
  <c r="HR16" i="1"/>
  <c r="HN16" i="1"/>
  <c r="HM16" i="1"/>
  <c r="HL16" i="1"/>
  <c r="HH16" i="1"/>
  <c r="HG16" i="1"/>
  <c r="HF16" i="1"/>
  <c r="HB16" i="1"/>
  <c r="HA16" i="1"/>
  <c r="GZ16" i="1"/>
  <c r="GV16" i="1"/>
  <c r="GU16" i="1"/>
  <c r="GT16" i="1"/>
  <c r="GP16" i="1"/>
  <c r="GO16" i="1"/>
  <c r="GN16" i="1"/>
  <c r="GJ16" i="1"/>
  <c r="GI16" i="1"/>
  <c r="GH16" i="1"/>
  <c r="GD16" i="1"/>
  <c r="GC16" i="1"/>
  <c r="GB16" i="1"/>
  <c r="FX16" i="1"/>
  <c r="FW16" i="1"/>
  <c r="FV16" i="1"/>
  <c r="FR16" i="1"/>
  <c r="FQ16" i="1"/>
  <c r="FP16" i="1"/>
  <c r="FL16" i="1"/>
  <c r="FK16" i="1"/>
  <c r="FJ16" i="1"/>
  <c r="EZ16" i="1"/>
  <c r="ET16" i="1"/>
  <c r="EM16" i="1"/>
  <c r="AG16" i="1"/>
  <c r="U16" i="1"/>
  <c r="I16" i="1"/>
  <c r="FF16" i="1" s="1"/>
  <c r="HT15" i="1"/>
  <c r="HS15" i="1"/>
  <c r="HR15" i="1"/>
  <c r="HN15" i="1"/>
  <c r="HM15" i="1"/>
  <c r="HL15" i="1"/>
  <c r="HH15" i="1"/>
  <c r="HG15" i="1"/>
  <c r="HF15" i="1"/>
  <c r="HB15" i="1"/>
  <c r="HA15" i="1"/>
  <c r="GZ15" i="1"/>
  <c r="GV15" i="1"/>
  <c r="GU15" i="1"/>
  <c r="GT15" i="1"/>
  <c r="GP15" i="1"/>
  <c r="GO15" i="1"/>
  <c r="GN15" i="1"/>
  <c r="GJ15" i="1"/>
  <c r="GI15" i="1"/>
  <c r="GH15" i="1"/>
  <c r="GD15" i="1"/>
  <c r="GC15" i="1"/>
  <c r="GB15" i="1"/>
  <c r="FX15" i="1"/>
  <c r="FW15" i="1"/>
  <c r="FV15" i="1"/>
  <c r="FR15" i="1"/>
  <c r="FQ15" i="1"/>
  <c r="FP15" i="1"/>
  <c r="FL15" i="1"/>
  <c r="FK15" i="1"/>
  <c r="FJ15" i="1"/>
  <c r="EZ15" i="1"/>
  <c r="ET15" i="1"/>
  <c r="EM15" i="1"/>
  <c r="AG15" i="1"/>
  <c r="U15" i="1"/>
  <c r="I15" i="1"/>
  <c r="FF15" i="1" s="1"/>
  <c r="HT14" i="1"/>
  <c r="HS14" i="1"/>
  <c r="HR14" i="1"/>
  <c r="HN14" i="1"/>
  <c r="HM14" i="1"/>
  <c r="HL14" i="1"/>
  <c r="HH14" i="1"/>
  <c r="HG14" i="1"/>
  <c r="HF14" i="1"/>
  <c r="HB14" i="1"/>
  <c r="HA14" i="1"/>
  <c r="GZ14" i="1"/>
  <c r="GV14" i="1"/>
  <c r="GU14" i="1"/>
  <c r="GT14" i="1"/>
  <c r="GP14" i="1"/>
  <c r="GO14" i="1"/>
  <c r="GN14" i="1"/>
  <c r="GJ14" i="1"/>
  <c r="GI14" i="1"/>
  <c r="GH14" i="1"/>
  <c r="GD14" i="1"/>
  <c r="GC14" i="1"/>
  <c r="GB14" i="1"/>
  <c r="FX14" i="1"/>
  <c r="FW14" i="1"/>
  <c r="FV14" i="1"/>
  <c r="FR14" i="1"/>
  <c r="FQ14" i="1"/>
  <c r="FP14" i="1"/>
  <c r="FL14" i="1"/>
  <c r="FK14" i="1"/>
  <c r="FJ14" i="1"/>
  <c r="EZ14" i="1"/>
  <c r="FD19" i="1" s="1"/>
  <c r="ET14" i="1"/>
  <c r="EM14" i="1"/>
  <c r="ER19" i="1" s="1"/>
  <c r="AG14" i="1"/>
  <c r="U14" i="1"/>
  <c r="I14" i="1"/>
  <c r="FF14" i="1" s="1"/>
  <c r="HT13" i="1"/>
  <c r="HS13" i="1"/>
  <c r="HR13" i="1"/>
  <c r="HN13" i="1"/>
  <c r="HM13" i="1"/>
  <c r="HL13" i="1"/>
  <c r="HH13" i="1"/>
  <c r="HG13" i="1"/>
  <c r="HF13" i="1"/>
  <c r="HB13" i="1"/>
  <c r="HA13" i="1"/>
  <c r="GZ13" i="1"/>
  <c r="GV13" i="1"/>
  <c r="GU13" i="1"/>
  <c r="GT13" i="1"/>
  <c r="GP13" i="1"/>
  <c r="GO13" i="1"/>
  <c r="GN13" i="1"/>
  <c r="GJ13" i="1"/>
  <c r="GI13" i="1"/>
  <c r="GH13" i="1"/>
  <c r="GD13" i="1"/>
  <c r="GC13" i="1"/>
  <c r="GB13" i="1"/>
  <c r="FX13" i="1"/>
  <c r="FW13" i="1"/>
  <c r="FV13" i="1"/>
  <c r="FR13" i="1"/>
  <c r="FQ13" i="1"/>
  <c r="FP13" i="1"/>
  <c r="FL13" i="1"/>
  <c r="FK13" i="1"/>
  <c r="FJ13" i="1"/>
  <c r="EZ13" i="1"/>
  <c r="ET13" i="1"/>
  <c r="EY18" i="1" s="1"/>
  <c r="EM13" i="1"/>
  <c r="AG13" i="1"/>
  <c r="U13" i="1"/>
  <c r="I13" i="1"/>
  <c r="FF13" i="1" s="1"/>
  <c r="HT12" i="1"/>
  <c r="HS12" i="1"/>
  <c r="HR12" i="1"/>
  <c r="HN12" i="1"/>
  <c r="HM12" i="1"/>
  <c r="HL12" i="1"/>
  <c r="HH12" i="1"/>
  <c r="HG12" i="1"/>
  <c r="HF12" i="1"/>
  <c r="HB12" i="1"/>
  <c r="HA12" i="1"/>
  <c r="GZ12" i="1"/>
  <c r="GV12" i="1"/>
  <c r="GU12" i="1"/>
  <c r="GT12" i="1"/>
  <c r="GP12" i="1"/>
  <c r="GO12" i="1"/>
  <c r="GN12" i="1"/>
  <c r="GJ12" i="1"/>
  <c r="GI12" i="1"/>
  <c r="GH12" i="1"/>
  <c r="GD12" i="1"/>
  <c r="GC12" i="1"/>
  <c r="GB12" i="1"/>
  <c r="FX12" i="1"/>
  <c r="FW12" i="1"/>
  <c r="FV12" i="1"/>
  <c r="FR12" i="1"/>
  <c r="FQ12" i="1"/>
  <c r="FP12" i="1"/>
  <c r="FL12" i="1"/>
  <c r="FK12" i="1"/>
  <c r="FJ12" i="1"/>
  <c r="EZ12" i="1"/>
  <c r="ET12" i="1"/>
  <c r="EM12" i="1"/>
  <c r="EP17" i="1" s="1"/>
  <c r="AG12" i="1"/>
  <c r="U12" i="1"/>
  <c r="I12" i="1"/>
  <c r="FF12" i="1" s="1"/>
  <c r="HT11" i="1"/>
  <c r="HS11" i="1"/>
  <c r="HR11" i="1"/>
  <c r="HN11" i="1"/>
  <c r="HM11" i="1"/>
  <c r="HL11" i="1"/>
  <c r="HH11" i="1"/>
  <c r="HG11" i="1"/>
  <c r="HF11" i="1"/>
  <c r="HB11" i="1"/>
  <c r="HA11" i="1"/>
  <c r="GZ11" i="1"/>
  <c r="GV11" i="1"/>
  <c r="GU11" i="1"/>
  <c r="GT11" i="1"/>
  <c r="GP11" i="1"/>
  <c r="GO11" i="1"/>
  <c r="GN11" i="1"/>
  <c r="GJ11" i="1"/>
  <c r="GI11" i="1"/>
  <c r="GH11" i="1"/>
  <c r="GD11" i="1"/>
  <c r="GC11" i="1"/>
  <c r="GB11" i="1"/>
  <c r="FX11" i="1"/>
  <c r="FW11" i="1"/>
  <c r="FV11" i="1"/>
  <c r="FR11" i="1"/>
  <c r="FQ11" i="1"/>
  <c r="FP11" i="1"/>
  <c r="FL11" i="1"/>
  <c r="FK11" i="1"/>
  <c r="FJ11" i="1"/>
  <c r="EZ11" i="1"/>
  <c r="ET11" i="1"/>
  <c r="EM11" i="1"/>
  <c r="AG11" i="1"/>
  <c r="U11" i="1"/>
  <c r="I11" i="1"/>
  <c r="FF11" i="1" s="1"/>
  <c r="HT10" i="1"/>
  <c r="HS10" i="1"/>
  <c r="HR10" i="1"/>
  <c r="HN10" i="1"/>
  <c r="HM10" i="1"/>
  <c r="HL10" i="1"/>
  <c r="HH10" i="1"/>
  <c r="HG10" i="1"/>
  <c r="HF10" i="1"/>
  <c r="HB10" i="1"/>
  <c r="HA10" i="1"/>
  <c r="GZ10" i="1"/>
  <c r="GV10" i="1"/>
  <c r="GU10" i="1"/>
  <c r="GT10" i="1"/>
  <c r="GP10" i="1"/>
  <c r="GO10" i="1"/>
  <c r="GN10" i="1"/>
  <c r="GJ10" i="1"/>
  <c r="GI10" i="1"/>
  <c r="GH10" i="1"/>
  <c r="GD10" i="1"/>
  <c r="GC10" i="1"/>
  <c r="GB10" i="1"/>
  <c r="FX10" i="1"/>
  <c r="FW10" i="1"/>
  <c r="FV10" i="1"/>
  <c r="FR10" i="1"/>
  <c r="FQ10" i="1"/>
  <c r="FP10" i="1"/>
  <c r="FL10" i="1"/>
  <c r="FK10" i="1"/>
  <c r="FJ10" i="1"/>
  <c r="EZ10" i="1"/>
  <c r="ET10" i="1"/>
  <c r="EM10" i="1"/>
  <c r="AG10" i="1"/>
  <c r="U10" i="1"/>
  <c r="I10" i="1"/>
  <c r="FF10" i="1" s="1"/>
  <c r="HT9" i="1"/>
  <c r="HS9" i="1"/>
  <c r="HR9" i="1"/>
  <c r="HN9" i="1"/>
  <c r="HM9" i="1"/>
  <c r="HL9" i="1"/>
  <c r="HH9" i="1"/>
  <c r="HG9" i="1"/>
  <c r="HF9" i="1"/>
  <c r="HB9" i="1"/>
  <c r="HA9" i="1"/>
  <c r="GZ9" i="1"/>
  <c r="GV9" i="1"/>
  <c r="GU9" i="1"/>
  <c r="GT9" i="1"/>
  <c r="GP9" i="1"/>
  <c r="GO9" i="1"/>
  <c r="GN9" i="1"/>
  <c r="GJ9" i="1"/>
  <c r="GI9" i="1"/>
  <c r="GH9" i="1"/>
  <c r="GD9" i="1"/>
  <c r="GC9" i="1"/>
  <c r="GB9" i="1"/>
  <c r="FX9" i="1"/>
  <c r="FW9" i="1"/>
  <c r="FV9" i="1"/>
  <c r="FR9" i="1"/>
  <c r="FQ9" i="1"/>
  <c r="FP9" i="1"/>
  <c r="FL9" i="1"/>
  <c r="FK9" i="1"/>
  <c r="FJ9" i="1"/>
  <c r="EZ9" i="1"/>
  <c r="ET9" i="1"/>
  <c r="EY9" i="1" s="1"/>
  <c r="EM9" i="1"/>
  <c r="AG9" i="1"/>
  <c r="U9" i="1"/>
  <c r="I9" i="1"/>
  <c r="FF9" i="1" s="1"/>
  <c r="HT8" i="1"/>
  <c r="HS8" i="1"/>
  <c r="HR8" i="1"/>
  <c r="HN8" i="1"/>
  <c r="HM8" i="1"/>
  <c r="HL8" i="1"/>
  <c r="HH8" i="1"/>
  <c r="HG8" i="1"/>
  <c r="HF8" i="1"/>
  <c r="HB8" i="1"/>
  <c r="HA8" i="1"/>
  <c r="GZ8" i="1"/>
  <c r="GV8" i="1"/>
  <c r="GU8" i="1"/>
  <c r="GT8" i="1"/>
  <c r="GP8" i="1"/>
  <c r="GO8" i="1"/>
  <c r="GN8" i="1"/>
  <c r="GJ8" i="1"/>
  <c r="GI8" i="1"/>
  <c r="GH8" i="1"/>
  <c r="GD8" i="1"/>
  <c r="GC8" i="1"/>
  <c r="GB8" i="1"/>
  <c r="FX8" i="1"/>
  <c r="FW8" i="1"/>
  <c r="FV8" i="1"/>
  <c r="FR8" i="1"/>
  <c r="FQ8" i="1"/>
  <c r="FP8" i="1"/>
  <c r="FL8" i="1"/>
  <c r="FK8" i="1"/>
  <c r="FJ8" i="1"/>
  <c r="EZ8" i="1"/>
  <c r="FC8" i="1" s="1"/>
  <c r="EX8" i="1"/>
  <c r="ET8" i="1"/>
  <c r="EY8" i="1" s="1"/>
  <c r="EM8" i="1"/>
  <c r="EP8" i="1" s="1"/>
  <c r="AG8" i="1"/>
  <c r="U8" i="1"/>
  <c r="I8" i="1"/>
  <c r="FF8" i="1" s="1"/>
  <c r="HT7" i="1"/>
  <c r="HS7" i="1"/>
  <c r="HR7" i="1"/>
  <c r="HN7" i="1"/>
  <c r="HM7" i="1"/>
  <c r="HL7" i="1"/>
  <c r="HH7" i="1"/>
  <c r="HG7" i="1"/>
  <c r="HF7" i="1"/>
  <c r="HB7" i="1"/>
  <c r="HA7" i="1"/>
  <c r="GZ7" i="1"/>
  <c r="GV7" i="1"/>
  <c r="GU7" i="1"/>
  <c r="GT7" i="1"/>
  <c r="GP7" i="1"/>
  <c r="GO7" i="1"/>
  <c r="GN7" i="1"/>
  <c r="GJ7" i="1"/>
  <c r="GI7" i="1"/>
  <c r="GH7" i="1"/>
  <c r="GD7" i="1"/>
  <c r="GC7" i="1"/>
  <c r="GB7" i="1"/>
  <c r="FX7" i="1"/>
  <c r="FW7" i="1"/>
  <c r="FV7" i="1"/>
  <c r="FR7" i="1"/>
  <c r="FQ7" i="1"/>
  <c r="FP7" i="1"/>
  <c r="FL7" i="1"/>
  <c r="FK7" i="1"/>
  <c r="FJ7" i="1"/>
  <c r="EZ7" i="1"/>
  <c r="FE7" i="1" s="1"/>
  <c r="EY7" i="1"/>
  <c r="ET7" i="1"/>
  <c r="EX7" i="1" s="1"/>
  <c r="EM7" i="1"/>
  <c r="EQ7" i="1" s="1"/>
  <c r="AG7" i="1"/>
  <c r="U7" i="1"/>
  <c r="I7" i="1"/>
  <c r="FF7" i="1" s="1"/>
  <c r="HT6" i="1"/>
  <c r="HS6" i="1"/>
  <c r="HR6" i="1"/>
  <c r="HN6" i="1"/>
  <c r="HM6" i="1"/>
  <c r="HL6" i="1"/>
  <c r="HH6" i="1"/>
  <c r="HG6" i="1"/>
  <c r="HF6" i="1"/>
  <c r="HB6" i="1"/>
  <c r="HA6" i="1"/>
  <c r="GZ6" i="1"/>
  <c r="GV6" i="1"/>
  <c r="GU6" i="1"/>
  <c r="GT6" i="1"/>
  <c r="GP6" i="1"/>
  <c r="GO6" i="1"/>
  <c r="GN6" i="1"/>
  <c r="GJ6" i="1"/>
  <c r="GI6" i="1"/>
  <c r="GH6" i="1"/>
  <c r="GD6" i="1"/>
  <c r="GC6" i="1"/>
  <c r="GB6" i="1"/>
  <c r="FX6" i="1"/>
  <c r="FW6" i="1"/>
  <c r="FV6" i="1"/>
  <c r="FR6" i="1"/>
  <c r="FQ6" i="1"/>
  <c r="FP6" i="1"/>
  <c r="FL6" i="1"/>
  <c r="FK6" i="1"/>
  <c r="FJ6" i="1"/>
  <c r="EZ6" i="1"/>
  <c r="ET6" i="1"/>
  <c r="EM6" i="1"/>
  <c r="ER6" i="1" s="1"/>
  <c r="AG6" i="1"/>
  <c r="U6" i="1"/>
  <c r="I6" i="1"/>
  <c r="FF6" i="1" s="1"/>
  <c r="HT5" i="1"/>
  <c r="HS5" i="1"/>
  <c r="HR5" i="1"/>
  <c r="HN5" i="1"/>
  <c r="HM5" i="1"/>
  <c r="HL5" i="1"/>
  <c r="HH5" i="1"/>
  <c r="HG5" i="1"/>
  <c r="HF5" i="1"/>
  <c r="HB5" i="1"/>
  <c r="HA5" i="1"/>
  <c r="GZ5" i="1"/>
  <c r="GV5" i="1"/>
  <c r="GU5" i="1"/>
  <c r="GT5" i="1"/>
  <c r="GP5" i="1"/>
  <c r="GO5" i="1"/>
  <c r="GN5" i="1"/>
  <c r="GJ5" i="1"/>
  <c r="GI5" i="1"/>
  <c r="GH5" i="1"/>
  <c r="GD5" i="1"/>
  <c r="GC5" i="1"/>
  <c r="GB5" i="1"/>
  <c r="FX5" i="1"/>
  <c r="FW5" i="1"/>
  <c r="FV5" i="1"/>
  <c r="FR5" i="1"/>
  <c r="FQ5" i="1"/>
  <c r="FP5" i="1"/>
  <c r="FL5" i="1"/>
  <c r="FK5" i="1"/>
  <c r="FJ5" i="1"/>
  <c r="EZ5" i="1"/>
  <c r="FC5" i="1" s="1"/>
  <c r="ET5" i="1"/>
  <c r="EX5" i="1" s="1"/>
  <c r="EM5" i="1"/>
  <c r="ER5" i="1" s="1"/>
  <c r="AG5" i="1"/>
  <c r="U5" i="1"/>
  <c r="I5" i="1"/>
  <c r="FF5" i="1" s="1"/>
  <c r="AI54" i="29" l="1"/>
  <c r="AJ53" i="29"/>
  <c r="AF47" i="2"/>
  <c r="BN25" i="4"/>
  <c r="EY29" i="4"/>
  <c r="ET33" i="4"/>
  <c r="EZ33" i="4" s="1"/>
  <c r="BU25" i="4"/>
  <c r="DX25" i="4"/>
  <c r="ET43" i="4"/>
  <c r="EZ43" i="4" s="1"/>
  <c r="AQ6" i="4"/>
  <c r="AH50" i="2"/>
  <c r="AO14" i="4"/>
  <c r="AT41" i="2"/>
  <c r="AV41" i="2" s="1"/>
  <c r="AQ27" i="4"/>
  <c r="EV37" i="4"/>
  <c r="FB37" i="4" s="1"/>
  <c r="AF50" i="2"/>
  <c r="X63" i="29"/>
  <c r="X64" i="29" s="1"/>
  <c r="W64" i="29"/>
  <c r="AI149" i="29"/>
  <c r="AI150" i="29" s="1"/>
  <c r="AI57" i="29"/>
  <c r="AI123" i="29"/>
  <c r="AI43" i="29"/>
  <c r="AI71" i="29"/>
  <c r="AV14" i="4"/>
  <c r="BH25" i="4"/>
  <c r="CA25" i="4"/>
  <c r="ET35" i="4"/>
  <c r="EZ35" i="4" s="1"/>
  <c r="ET40" i="4"/>
  <c r="EZ40" i="4" s="1"/>
  <c r="CB25" i="4"/>
  <c r="EY38" i="4"/>
  <c r="AQ20" i="4"/>
  <c r="EY36" i="4"/>
  <c r="EY31" i="4"/>
  <c r="ET41" i="4"/>
  <c r="EZ41" i="4" s="1"/>
  <c r="AV18" i="4"/>
  <c r="AO15" i="4"/>
  <c r="AX22" i="4"/>
  <c r="DE25" i="4"/>
  <c r="EY28" i="4"/>
  <c r="EW47" i="4"/>
  <c r="FC47" i="4" s="1"/>
  <c r="AO10" i="4"/>
  <c r="EW35" i="4"/>
  <c r="FC35" i="4" s="1"/>
  <c r="AP10" i="4"/>
  <c r="DK25" i="4"/>
  <c r="ET42" i="4"/>
  <c r="EZ42" i="4" s="1"/>
  <c r="AQ24" i="4"/>
  <c r="AW17" i="4"/>
  <c r="AX16" i="4"/>
  <c r="AV6" i="4"/>
  <c r="AW7" i="4"/>
  <c r="AQ9" i="4"/>
  <c r="AX21" i="4"/>
  <c r="AQ19" i="4"/>
  <c r="AO22" i="4"/>
  <c r="AP22" i="4"/>
  <c r="CG25" i="4"/>
  <c r="DL25" i="4"/>
  <c r="EW29" i="4"/>
  <c r="FC29" i="4" s="1"/>
  <c r="AH53" i="2"/>
  <c r="AQ5" i="4"/>
  <c r="AW6" i="4"/>
  <c r="AQ17" i="4"/>
  <c r="AP14" i="4"/>
  <c r="AQ25" i="4"/>
  <c r="EU32" i="4"/>
  <c r="FA32" i="4" s="1"/>
  <c r="EX30" i="4"/>
  <c r="EU41" i="4"/>
  <c r="FA41" i="4" s="1"/>
  <c r="EX42" i="4"/>
  <c r="EY47" i="4"/>
  <c r="AX6" i="4"/>
  <c r="AP13" i="4"/>
  <c r="AX9" i="4"/>
  <c r="AW10" i="4"/>
  <c r="AX23" i="4"/>
  <c r="AV25" i="4"/>
  <c r="AV15" i="4"/>
  <c r="AW25" i="4"/>
  <c r="BI25" i="4"/>
  <c r="BV25" i="4"/>
  <c r="CM25" i="4"/>
  <c r="DQ25" i="4"/>
  <c r="EU26" i="4"/>
  <c r="FA26" i="4" s="1"/>
  <c r="ET32" i="4"/>
  <c r="EZ32" i="4" s="1"/>
  <c r="ET34" i="4"/>
  <c r="EZ34" i="4" s="1"/>
  <c r="EW44" i="4"/>
  <c r="FC44" i="4" s="1"/>
  <c r="EV46" i="4"/>
  <c r="FB46" i="4" s="1"/>
  <c r="AV11" i="4"/>
  <c r="AQ11" i="4"/>
  <c r="AX10" i="4"/>
  <c r="AW15" i="4"/>
  <c r="AQ23" i="4"/>
  <c r="AO28" i="4"/>
  <c r="CN25" i="4"/>
  <c r="EW26" i="4"/>
  <c r="FC26" i="4" s="1"/>
  <c r="ET27" i="4"/>
  <c r="EZ27" i="4" s="1"/>
  <c r="AO6" i="4"/>
  <c r="AQ12" i="4"/>
  <c r="AV8" i="4"/>
  <c r="AQ15" i="4"/>
  <c r="AQ18" i="4"/>
  <c r="AW14" i="4"/>
  <c r="AQ26" i="4"/>
  <c r="AO23" i="4"/>
  <c r="DW25" i="4"/>
  <c r="EW33" i="4"/>
  <c r="FC33" i="4" s="1"/>
  <c r="EW34" i="4"/>
  <c r="FC34" i="4" s="1"/>
  <c r="EW38" i="4"/>
  <c r="FC38" i="4" s="1"/>
  <c r="EW42" i="4"/>
  <c r="FC42" i="4" s="1"/>
  <c r="AV7" i="4"/>
  <c r="AP9" i="4"/>
  <c r="AQ16" i="4"/>
  <c r="AV24" i="4"/>
  <c r="AP21" i="4"/>
  <c r="EV41" i="4"/>
  <c r="FB41" i="4" s="1"/>
  <c r="ET48" i="4"/>
  <c r="EZ48" i="4" s="1"/>
  <c r="AE27" i="6"/>
  <c r="BZ27" i="6"/>
  <c r="CF27" i="6" s="1"/>
  <c r="CB29" i="6"/>
  <c r="CH29" i="6" s="1"/>
  <c r="AE95" i="29"/>
  <c r="AD96" i="29"/>
  <c r="AF29" i="6"/>
  <c r="CD29" i="6"/>
  <c r="CB36" i="6"/>
  <c r="CH36" i="6" s="1"/>
  <c r="CB37" i="6"/>
  <c r="CH37" i="6" s="1"/>
  <c r="BZ39" i="6"/>
  <c r="CF39" i="6" s="1"/>
  <c r="AF37" i="6"/>
  <c r="CD33" i="6"/>
  <c r="CA40" i="6"/>
  <c r="CG40" i="6" s="1"/>
  <c r="AE39" i="6"/>
  <c r="CC34" i="6"/>
  <c r="BZ43" i="6"/>
  <c r="CF43" i="6" s="1"/>
  <c r="AF28" i="6"/>
  <c r="CD41" i="6"/>
  <c r="AB95" i="29"/>
  <c r="AB96" i="29" s="1"/>
  <c r="AA96" i="29"/>
  <c r="BN30" i="5"/>
  <c r="BT30" i="5" s="1"/>
  <c r="BI77" i="2"/>
  <c r="BK77" i="2" s="1"/>
  <c r="AH79" i="2"/>
  <c r="AF7" i="5"/>
  <c r="AH73" i="2"/>
  <c r="BN26" i="5"/>
  <c r="BT26" i="5" s="1"/>
  <c r="EP32" i="1"/>
  <c r="EW35" i="1"/>
  <c r="HX33" i="1"/>
  <c r="ID33" i="1" s="1"/>
  <c r="FC39" i="1"/>
  <c r="EX45" i="1"/>
  <c r="FE49" i="1"/>
  <c r="IC44" i="1"/>
  <c r="FE51" i="1"/>
  <c r="EY16" i="1"/>
  <c r="ER31" i="1"/>
  <c r="FC50" i="1"/>
  <c r="EW5" i="1"/>
  <c r="FD11" i="1"/>
  <c r="EQ8" i="1"/>
  <c r="ER14" i="1"/>
  <c r="ER26" i="1"/>
  <c r="EX33" i="1"/>
  <c r="EW34" i="1"/>
  <c r="ER38" i="1"/>
  <c r="EQ42" i="1"/>
  <c r="EY44" i="1"/>
  <c r="FD45" i="1"/>
  <c r="FE44" i="1"/>
  <c r="FE15" i="1"/>
  <c r="EY22" i="1"/>
  <c r="EY23" i="1"/>
  <c r="FE28" i="1"/>
  <c r="FD36" i="1"/>
  <c r="EW32" i="1"/>
  <c r="EX41" i="1"/>
  <c r="FE45" i="1"/>
  <c r="EQ52" i="1"/>
  <c r="EX51" i="1"/>
  <c r="FD33" i="1"/>
  <c r="FE37" i="1"/>
  <c r="ER51" i="1"/>
  <c r="FE14" i="1"/>
  <c r="HX32" i="1"/>
  <c r="ID32" i="1" s="1"/>
  <c r="FD41" i="1"/>
  <c r="HX36" i="1"/>
  <c r="ID36" i="1" s="1"/>
  <c r="EQ19" i="1"/>
  <c r="EY30" i="1"/>
  <c r="EP36" i="1"/>
  <c r="FC42" i="1"/>
  <c r="EY50" i="1"/>
  <c r="FC52" i="1"/>
  <c r="EQ27" i="1"/>
  <c r="FC34" i="1"/>
  <c r="EP38" i="1"/>
  <c r="EY41" i="1"/>
  <c r="EW44" i="1"/>
  <c r="EW45" i="1"/>
  <c r="EY10" i="1"/>
  <c r="EP9" i="1"/>
  <c r="FD16" i="1"/>
  <c r="EP12" i="1"/>
  <c r="FE31" i="1"/>
  <c r="ER37" i="1"/>
  <c r="EW33" i="1"/>
  <c r="EP44" i="1"/>
  <c r="EQ46" i="1"/>
  <c r="FC46" i="1"/>
  <c r="EP42" i="1"/>
  <c r="EY45" i="1"/>
  <c r="EP46" i="1"/>
  <c r="HX48" i="1"/>
  <c r="ID48" i="1" s="1"/>
  <c r="IC50" i="1"/>
  <c r="EY11" i="1"/>
  <c r="EQ9" i="1"/>
  <c r="EQ12" i="1"/>
  <c r="EQ29" i="1"/>
  <c r="FE35" i="1"/>
  <c r="EY36" i="1"/>
  <c r="EY33" i="1"/>
  <c r="EQ39" i="1"/>
  <c r="EP40" i="1"/>
  <c r="FC35" i="1"/>
  <c r="EP37" i="1"/>
  <c r="HX37" i="1"/>
  <c r="ID37" i="1" s="1"/>
  <c r="EW43" i="1"/>
  <c r="ER42" i="1"/>
  <c r="EP48" i="1"/>
  <c r="ER50" i="1"/>
  <c r="ER46" i="1"/>
  <c r="FE9" i="1"/>
  <c r="EY6" i="1"/>
  <c r="EX12" i="1"/>
  <c r="FD8" i="1"/>
  <c r="ER9" i="1"/>
  <c r="EY17" i="1"/>
  <c r="EP21" i="1"/>
  <c r="EP28" i="1"/>
  <c r="FC30" i="1"/>
  <c r="FE32" i="1"/>
  <c r="EX37" i="1"/>
  <c r="FC38" i="1"/>
  <c r="EW39" i="1"/>
  <c r="ER41" i="1"/>
  <c r="FC36" i="1"/>
  <c r="EX42" i="1"/>
  <c r="ER45" i="1"/>
  <c r="FC40" i="1"/>
  <c r="HX40" i="1"/>
  <c r="ID40" i="1" s="1"/>
  <c r="EP41" i="1"/>
  <c r="HX41" i="1"/>
  <c r="ID41" i="1" s="1"/>
  <c r="EW47" i="1"/>
  <c r="HX45" i="1"/>
  <c r="ID45" i="1" s="1"/>
  <c r="EW51" i="1"/>
  <c r="ER47" i="1"/>
  <c r="FE11" i="1"/>
  <c r="FC17" i="1"/>
  <c r="EP13" i="1"/>
  <c r="EX19" i="1"/>
  <c r="ER22" i="1"/>
  <c r="EQ23" i="1"/>
  <c r="EQ26" i="1"/>
  <c r="EY29" i="1"/>
  <c r="EP31" i="1"/>
  <c r="EX31" i="1"/>
  <c r="EQ38" i="1"/>
  <c r="FE36" i="1"/>
  <c r="ER39" i="1"/>
  <c r="FE40" i="1"/>
  <c r="EX46" i="1"/>
  <c r="FE41" i="1"/>
  <c r="ER49" i="1"/>
  <c r="EP45" i="1"/>
  <c r="EY52" i="1"/>
  <c r="ER52" i="1"/>
  <c r="ER35" i="1"/>
  <c r="EY38" i="1"/>
  <c r="FC12" i="1"/>
  <c r="EW16" i="1"/>
  <c r="EW13" i="1"/>
  <c r="FC9" i="1"/>
  <c r="ER15" i="1"/>
  <c r="EQ16" i="1"/>
  <c r="FD12" i="1"/>
  <c r="FC13" i="1"/>
  <c r="EX16" i="1"/>
  <c r="FD23" i="1"/>
  <c r="FD26" i="1"/>
  <c r="FC27" i="1"/>
  <c r="FE29" i="1"/>
  <c r="FD37" i="1"/>
  <c r="EX38" i="1"/>
  <c r="FE33" i="1"/>
  <c r="EY34" i="1"/>
  <c r="EY40" i="1"/>
  <c r="EW37" i="1"/>
  <c r="FE43" i="1"/>
  <c r="EY42" i="1"/>
  <c r="EY48" i="1"/>
  <c r="EY49" i="1"/>
  <c r="EY46" i="1"/>
  <c r="EX15" i="1"/>
  <c r="EW8" i="1"/>
  <c r="FD9" i="1"/>
  <c r="EY15" i="1"/>
  <c r="EQ11" i="1"/>
  <c r="FC24" i="1"/>
  <c r="FD20" i="1"/>
  <c r="ER28" i="1"/>
  <c r="EX29" i="1"/>
  <c r="FE39" i="1"/>
  <c r="EW36" i="1"/>
  <c r="EY37" i="1"/>
  <c r="EQ43" i="1"/>
  <c r="FD44" i="1"/>
  <c r="EW40" i="1"/>
  <c r="EW41" i="1"/>
  <c r="FE47" i="1"/>
  <c r="AF37" i="5"/>
  <c r="AF79" i="2"/>
  <c r="AD15" i="5"/>
  <c r="AE34" i="5"/>
  <c r="BS43" i="5"/>
  <c r="BS50" i="5"/>
  <c r="BQ30" i="5"/>
  <c r="BW30" i="5" s="1"/>
  <c r="X95" i="29"/>
  <c r="AD42" i="6"/>
  <c r="AE32" i="6"/>
  <c r="CA32" i="6"/>
  <c r="CG32" i="6" s="1"/>
  <c r="AD28" i="6"/>
  <c r="BZ28" i="6"/>
  <c r="CF28" i="6" s="1"/>
  <c r="AF40" i="6"/>
  <c r="CB41" i="6"/>
  <c r="CH41" i="6" s="1"/>
  <c r="CB45" i="6"/>
  <c r="CH45" i="6" s="1"/>
  <c r="BY48" i="6"/>
  <c r="CE48" i="6" s="1"/>
  <c r="CB28" i="6"/>
  <c r="CH28" i="6" s="1"/>
  <c r="AD32" i="6"/>
  <c r="AF39" i="6"/>
  <c r="AE31" i="6"/>
  <c r="CB31" i="6"/>
  <c r="CH31" i="6" s="1"/>
  <c r="AD27" i="6"/>
  <c r="CC28" i="6"/>
  <c r="AE35" i="6"/>
  <c r="AF32" i="6"/>
  <c r="CC32" i="6"/>
  <c r="AF35" i="6"/>
  <c r="AF41" i="6"/>
  <c r="AF45" i="6"/>
  <c r="CB40" i="6"/>
  <c r="CH40" i="6" s="1"/>
  <c r="BY44" i="6"/>
  <c r="CE44" i="6" s="1"/>
  <c r="BY49" i="6"/>
  <c r="CE49" i="6" s="1"/>
  <c r="CB35" i="6"/>
  <c r="CH35" i="6" s="1"/>
  <c r="CB32" i="6"/>
  <c r="CH32" i="6" s="1"/>
  <c r="BZ35" i="6"/>
  <c r="CF35" i="6" s="1"/>
  <c r="CA28" i="6"/>
  <c r="CG28" i="6" s="1"/>
  <c r="AF27" i="6"/>
  <c r="CB27" i="6"/>
  <c r="CH27" i="6" s="1"/>
  <c r="CB30" i="6"/>
  <c r="CH30" i="6" s="1"/>
  <c r="AF38" i="6"/>
  <c r="BZ33" i="6"/>
  <c r="CF33" i="6" s="1"/>
  <c r="CC36" i="6"/>
  <c r="CC40" i="6"/>
  <c r="CB44" i="6"/>
  <c r="CH44" i="6" s="1"/>
  <c r="CD39" i="6"/>
  <c r="AF43" i="6"/>
  <c r="CD43" i="6"/>
  <c r="AD26" i="6"/>
  <c r="BZ26" i="6"/>
  <c r="CF26" i="6" s="1"/>
  <c r="CD27" i="6"/>
  <c r="AF34" i="6"/>
  <c r="AD30" i="6"/>
  <c r="CC30" i="6"/>
  <c r="CA36" i="6"/>
  <c r="CG36" i="6" s="1"/>
  <c r="AF42" i="6"/>
  <c r="CD37" i="6"/>
  <c r="CB43" i="6"/>
  <c r="CH43" i="6" s="1"/>
  <c r="AF46" i="6"/>
  <c r="AT120" i="2" s="1"/>
  <c r="AV120" i="2" s="1"/>
  <c r="CB47" i="6"/>
  <c r="CH47" i="6" s="1"/>
  <c r="BY50" i="6"/>
  <c r="CE50" i="6" s="1"/>
  <c r="AD9" i="6"/>
  <c r="AE10" i="6"/>
  <c r="AF26" i="6"/>
  <c r="CB26" i="6"/>
  <c r="CH26" i="6" s="1"/>
  <c r="AF36" i="6"/>
  <c r="CB39" i="6"/>
  <c r="CH39" i="6" s="1"/>
  <c r="AE43" i="6"/>
  <c r="AE47" i="6"/>
  <c r="CC46" i="6"/>
  <c r="AF33" i="6"/>
  <c r="CA33" i="6"/>
  <c r="CG33" i="6" s="1"/>
  <c r="AD29" i="6"/>
  <c r="BZ29" i="6"/>
  <c r="CF29" i="6" s="1"/>
  <c r="BZ31" i="6"/>
  <c r="CF31" i="6" s="1"/>
  <c r="AE8" i="5"/>
  <c r="AF20" i="5"/>
  <c r="AF13" i="5"/>
  <c r="AD24" i="5"/>
  <c r="AF26" i="5"/>
  <c r="BQ26" i="5"/>
  <c r="BW26" i="5" s="1"/>
  <c r="AF46" i="5"/>
  <c r="AT87" i="2" s="1"/>
  <c r="AV87" i="2" s="1"/>
  <c r="BQ40" i="5"/>
  <c r="BW40" i="5" s="1"/>
  <c r="BN40" i="5"/>
  <c r="BT40" i="5" s="1"/>
  <c r="AD9" i="5"/>
  <c r="AF36" i="5"/>
  <c r="BQ36" i="5"/>
  <c r="BW36" i="5" s="1"/>
  <c r="BI91" i="2"/>
  <c r="BK91" i="2" s="1"/>
  <c r="AF41" i="5"/>
  <c r="AE9" i="5"/>
  <c r="AE15" i="5"/>
  <c r="BQ33" i="5"/>
  <c r="BW33" i="5" s="1"/>
  <c r="AD42" i="5"/>
  <c r="BN35" i="5"/>
  <c r="BT35" i="5" s="1"/>
  <c r="BQ41" i="5"/>
  <c r="BW41" i="5" s="1"/>
  <c r="BN41" i="5"/>
  <c r="BT41" i="5" s="1"/>
  <c r="AH85" i="2"/>
  <c r="AD16" i="5"/>
  <c r="AF9" i="5"/>
  <c r="AE21" i="5"/>
  <c r="AF27" i="5"/>
  <c r="AF28" i="5"/>
  <c r="AE29" i="5"/>
  <c r="AF30" i="5"/>
  <c r="AF31" i="5"/>
  <c r="AF32" i="5"/>
  <c r="AD28" i="5"/>
  <c r="AD34" i="5"/>
  <c r="AE35" i="5"/>
  <c r="AF38" i="5"/>
  <c r="BR31" i="5"/>
  <c r="BO37" i="5"/>
  <c r="BU37" i="5" s="1"/>
  <c r="AF35" i="5"/>
  <c r="BQ42" i="5"/>
  <c r="BW42" i="5" s="1"/>
  <c r="BQ43" i="5"/>
  <c r="BW43" i="5" s="1"/>
  <c r="AF22" i="5"/>
  <c r="AF39" i="5"/>
  <c r="AD47" i="5"/>
  <c r="AE48" i="5"/>
  <c r="AF76" i="2"/>
  <c r="AF17" i="5"/>
  <c r="AE43" i="5"/>
  <c r="AD11" i="5"/>
  <c r="BQ31" i="5"/>
  <c r="BW31" i="5" s="1"/>
  <c r="AF40" i="5"/>
  <c r="BQ35" i="5"/>
  <c r="BW35" i="5" s="1"/>
  <c r="BS32" i="5"/>
  <c r="BQ39" i="5"/>
  <c r="BW39" i="5" s="1"/>
  <c r="AF43" i="5"/>
  <c r="BN38" i="5"/>
  <c r="BT38" i="5" s="1"/>
  <c r="AF18" i="5"/>
  <c r="AE7" i="5"/>
  <c r="AF11" i="5"/>
  <c r="AF23" i="5"/>
  <c r="BO29" i="5"/>
  <c r="BU29" i="5" s="1"/>
  <c r="AF44" i="5"/>
  <c r="AF45" i="5"/>
  <c r="BP45" i="5"/>
  <c r="BV45" i="5" s="1"/>
  <c r="AF85" i="2"/>
  <c r="BI87" i="2"/>
  <c r="BK87" i="2" s="1"/>
  <c r="BQ46" i="5"/>
  <c r="BW46" i="5" s="1"/>
  <c r="BN45" i="5"/>
  <c r="BT45" i="5" s="1"/>
  <c r="BQ47" i="5"/>
  <c r="BW47" i="5" s="1"/>
  <c r="BN46" i="5"/>
  <c r="BT46" i="5" s="1"/>
  <c r="BS46" i="5"/>
  <c r="BQ44" i="5"/>
  <c r="BW44" i="5" s="1"/>
  <c r="BN48" i="5"/>
  <c r="BT48" i="5" s="1"/>
  <c r="AD46" i="6"/>
  <c r="AT124" i="2" s="1"/>
  <c r="AV124" i="2" s="1"/>
  <c r="AF47" i="6"/>
  <c r="BZ47" i="6"/>
  <c r="CF47" i="6" s="1"/>
  <c r="CB48" i="6"/>
  <c r="CH48" i="6" s="1"/>
  <c r="AF10" i="6"/>
  <c r="AE26" i="6"/>
  <c r="BY26" i="6"/>
  <c r="CE26" i="6" s="1"/>
  <c r="CA27" i="6"/>
  <c r="CG27" i="6" s="1"/>
  <c r="AE30" i="6"/>
  <c r="BY30" i="6"/>
  <c r="CE30" i="6" s="1"/>
  <c r="CA31" i="6"/>
  <c r="CG31" i="6" s="1"/>
  <c r="AE34" i="6"/>
  <c r="BY34" i="6"/>
  <c r="CE34" i="6" s="1"/>
  <c r="CA35" i="6"/>
  <c r="CG35" i="6" s="1"/>
  <c r="AE38" i="6"/>
  <c r="BY38" i="6"/>
  <c r="CE38" i="6" s="1"/>
  <c r="CA39" i="6"/>
  <c r="CG39" i="6" s="1"/>
  <c r="AE42" i="6"/>
  <c r="BY42" i="6"/>
  <c r="CE42" i="6" s="1"/>
  <c r="CA43" i="6"/>
  <c r="CG43" i="6" s="1"/>
  <c r="AE46" i="6"/>
  <c r="AT122" i="2" s="1"/>
  <c r="AV122" i="2" s="1"/>
  <c r="BY46" i="6"/>
  <c r="CE46" i="6" s="1"/>
  <c r="CA47" i="6"/>
  <c r="CG47" i="6" s="1"/>
  <c r="CD28" i="6"/>
  <c r="AF30" i="6"/>
  <c r="BZ30" i="6"/>
  <c r="CF30" i="6" s="1"/>
  <c r="CD32" i="6"/>
  <c r="AD33" i="6"/>
  <c r="BZ34" i="6"/>
  <c r="CF34" i="6" s="1"/>
  <c r="CD36" i="6"/>
  <c r="AD37" i="6"/>
  <c r="BZ38" i="6"/>
  <c r="CF38" i="6" s="1"/>
  <c r="CD40" i="6"/>
  <c r="AD41" i="6"/>
  <c r="BZ42" i="6"/>
  <c r="CF42" i="6" s="1"/>
  <c r="AD45" i="6"/>
  <c r="BZ46" i="6"/>
  <c r="CF46" i="6" s="1"/>
  <c r="AE25" i="6"/>
  <c r="CA26" i="6"/>
  <c r="CG26" i="6" s="1"/>
  <c r="CC27" i="6"/>
  <c r="AE29" i="6"/>
  <c r="CA30" i="6"/>
  <c r="CG30" i="6" s="1"/>
  <c r="CC31" i="6"/>
  <c r="AE33" i="6"/>
  <c r="CA34" i="6"/>
  <c r="CG34" i="6" s="1"/>
  <c r="CC35" i="6"/>
  <c r="AE37" i="6"/>
  <c r="CA38" i="6"/>
  <c r="CG38" i="6" s="1"/>
  <c r="CC39" i="6"/>
  <c r="AE41" i="6"/>
  <c r="CA42" i="6"/>
  <c r="CG42" i="6" s="1"/>
  <c r="CC43" i="6"/>
  <c r="AE45" i="6"/>
  <c r="CA46" i="6"/>
  <c r="CG46" i="6" s="1"/>
  <c r="CD31" i="6"/>
  <c r="CB34" i="6"/>
  <c r="CH34" i="6" s="1"/>
  <c r="CD35" i="6"/>
  <c r="AD36" i="6"/>
  <c r="BZ37" i="6"/>
  <c r="CF37" i="6" s="1"/>
  <c r="CB38" i="6"/>
  <c r="CH38" i="6" s="1"/>
  <c r="AD40" i="6"/>
  <c r="BZ41" i="6"/>
  <c r="CF41" i="6" s="1"/>
  <c r="CB42" i="6"/>
  <c r="CH42" i="6" s="1"/>
  <c r="AD44" i="6"/>
  <c r="BZ45" i="6"/>
  <c r="CF45" i="6" s="1"/>
  <c r="CB46" i="6"/>
  <c r="CH46" i="6" s="1"/>
  <c r="AD48" i="6"/>
  <c r="AD8" i="6"/>
  <c r="AE28" i="6"/>
  <c r="CA29" i="6"/>
  <c r="CG29" i="6" s="1"/>
  <c r="AE36" i="6"/>
  <c r="CA37" i="6"/>
  <c r="CG37" i="6" s="1"/>
  <c r="AE40" i="6"/>
  <c r="CA41" i="6"/>
  <c r="CG41" i="6" s="1"/>
  <c r="AE44" i="6"/>
  <c r="CA45" i="6"/>
  <c r="CG45" i="6" s="1"/>
  <c r="AE48" i="6"/>
  <c r="AE8" i="6"/>
  <c r="AD31" i="6"/>
  <c r="BZ32" i="6"/>
  <c r="CF32" i="6" s="1"/>
  <c r="AD35" i="6"/>
  <c r="BZ36" i="6"/>
  <c r="CF36" i="6" s="1"/>
  <c r="AD39" i="6"/>
  <c r="BZ40" i="6"/>
  <c r="CF40" i="6" s="1"/>
  <c r="AD43" i="6"/>
  <c r="BZ44" i="6"/>
  <c r="CF44" i="6" s="1"/>
  <c r="AD47" i="6"/>
  <c r="BZ48" i="6"/>
  <c r="CF48" i="6" s="1"/>
  <c r="CC25" i="6"/>
  <c r="AQ21" i="4"/>
  <c r="AW24" i="4"/>
  <c r="AX27" i="4"/>
  <c r="AP28" i="4"/>
  <c r="EU28" i="4"/>
  <c r="FA28" i="4" s="1"/>
  <c r="EU31" i="4"/>
  <c r="FA31" i="4" s="1"/>
  <c r="EV32" i="4"/>
  <c r="FB32" i="4" s="1"/>
  <c r="EU36" i="4"/>
  <c r="FA36" i="4" s="1"/>
  <c r="EW37" i="4"/>
  <c r="FC37" i="4" s="1"/>
  <c r="EU45" i="4"/>
  <c r="FA45" i="4" s="1"/>
  <c r="EW46" i="4"/>
  <c r="FC46" i="4" s="1"/>
  <c r="AW18" i="4"/>
  <c r="AP7" i="4"/>
  <c r="AO8" i="4"/>
  <c r="AW11" i="4"/>
  <c r="AV12" i="4"/>
  <c r="AQ14" i="4"/>
  <c r="AP15" i="4"/>
  <c r="AO16" i="4"/>
  <c r="AX18" i="4"/>
  <c r="AW19" i="4"/>
  <c r="AV20" i="4"/>
  <c r="AQ22" i="4"/>
  <c r="AP23" i="4"/>
  <c r="AX24" i="4"/>
  <c r="AO25" i="4"/>
  <c r="AX25" i="4"/>
  <c r="CH25" i="4"/>
  <c r="DF25" i="4"/>
  <c r="DR25" i="4"/>
  <c r="EX26" i="4"/>
  <c r="AQ28" i="4"/>
  <c r="EV28" i="4"/>
  <c r="FB28" i="4" s="1"/>
  <c r="AO30" i="4"/>
  <c r="ET30" i="4"/>
  <c r="EZ30" i="4" s="1"/>
  <c r="EV31" i="4"/>
  <c r="FB31" i="4" s="1"/>
  <c r="EW32" i="4"/>
  <c r="FC32" i="4" s="1"/>
  <c r="EU35" i="4"/>
  <c r="FA35" i="4" s="1"/>
  <c r="EV36" i="4"/>
  <c r="FB36" i="4" s="1"/>
  <c r="EX37" i="4"/>
  <c r="ET39" i="4"/>
  <c r="EZ39" i="4" s="1"/>
  <c r="EU40" i="4"/>
  <c r="FA40" i="4" s="1"/>
  <c r="EW41" i="4"/>
  <c r="FC41" i="4" s="1"/>
  <c r="ET44" i="4"/>
  <c r="EZ44" i="4" s="1"/>
  <c r="EV45" i="4"/>
  <c r="FB45" i="4" s="1"/>
  <c r="ET49" i="4"/>
  <c r="EZ49" i="4" s="1"/>
  <c r="AX17" i="4"/>
  <c r="AV19" i="4"/>
  <c r="AV5" i="4"/>
  <c r="AQ7" i="4"/>
  <c r="AP8" i="4"/>
  <c r="AO9" i="4"/>
  <c r="AX11" i="4"/>
  <c r="AW12" i="4"/>
  <c r="AV13" i="4"/>
  <c r="AP16" i="4"/>
  <c r="AO17" i="4"/>
  <c r="AX19" i="4"/>
  <c r="AW20" i="4"/>
  <c r="AV21" i="4"/>
  <c r="AO24" i="4"/>
  <c r="AP25" i="4"/>
  <c r="EY26" i="4"/>
  <c r="AO27" i="4"/>
  <c r="EW28" i="4"/>
  <c r="FC28" i="4" s="1"/>
  <c r="AP30" i="4"/>
  <c r="EU30" i="4"/>
  <c r="FA30" i="4" s="1"/>
  <c r="EW31" i="4"/>
  <c r="FC31" i="4" s="1"/>
  <c r="EX32" i="4"/>
  <c r="EV35" i="4"/>
  <c r="FB35" i="4" s="1"/>
  <c r="EW36" i="4"/>
  <c r="FC36" i="4" s="1"/>
  <c r="EU39" i="4"/>
  <c r="FA39" i="4" s="1"/>
  <c r="EV40" i="4"/>
  <c r="FB40" i="4" s="1"/>
  <c r="EX41" i="4"/>
  <c r="EU44" i="4"/>
  <c r="FA44" i="4" s="1"/>
  <c r="EW45" i="4"/>
  <c r="FC45" i="4" s="1"/>
  <c r="AF53" i="2"/>
  <c r="AF44" i="2"/>
  <c r="AW5" i="4"/>
  <c r="AQ8" i="4"/>
  <c r="AX12" i="4"/>
  <c r="AW13" i="4"/>
  <c r="AP17" i="4"/>
  <c r="AO18" i="4"/>
  <c r="AX20" i="4"/>
  <c r="AW21" i="4"/>
  <c r="AV22" i="4"/>
  <c r="AP24" i="4"/>
  <c r="AP27" i="4"/>
  <c r="EU27" i="4"/>
  <c r="FA27" i="4" s="1"/>
  <c r="EX28" i="4"/>
  <c r="EV30" i="4"/>
  <c r="FB30" i="4" s="1"/>
  <c r="EU34" i="4"/>
  <c r="FA34" i="4" s="1"/>
  <c r="EX36" i="4"/>
  <c r="EV39" i="4"/>
  <c r="FB39" i="4" s="1"/>
  <c r="EW40" i="4"/>
  <c r="FC40" i="4" s="1"/>
  <c r="EU43" i="4"/>
  <c r="FA43" i="4" s="1"/>
  <c r="EV44" i="4"/>
  <c r="FB44" i="4" s="1"/>
  <c r="EU48" i="4"/>
  <c r="FA48" i="4" s="1"/>
  <c r="ET50" i="4"/>
  <c r="EZ50" i="4" s="1"/>
  <c r="AH44" i="2"/>
  <c r="AQ13" i="4"/>
  <c r="AO11" i="4"/>
  <c r="AP18" i="4"/>
  <c r="AO19" i="4"/>
  <c r="AW22" i="4"/>
  <c r="AV23" i="4"/>
  <c r="EV27" i="4"/>
  <c r="FB27" i="4" s="1"/>
  <c r="AO29" i="4"/>
  <c r="EW30" i="4"/>
  <c r="FC30" i="4" s="1"/>
  <c r="EV34" i="4"/>
  <c r="FB34" i="4" s="1"/>
  <c r="EU38" i="4"/>
  <c r="FA38" i="4" s="1"/>
  <c r="EW39" i="4"/>
  <c r="FC39" i="4" s="1"/>
  <c r="EV43" i="4"/>
  <c r="FB43" i="4" s="1"/>
  <c r="EY45" i="4"/>
  <c r="EU47" i="4"/>
  <c r="FA47" i="4" s="1"/>
  <c r="EV48" i="4"/>
  <c r="FB48" i="4" s="1"/>
  <c r="AV16" i="4"/>
  <c r="AP19" i="4"/>
  <c r="AO20" i="4"/>
  <c r="AW23" i="4"/>
  <c r="AO26" i="4"/>
  <c r="EW27" i="4"/>
  <c r="FC27" i="4" s="1"/>
  <c r="AP29" i="4"/>
  <c r="EU29" i="4"/>
  <c r="FA29" i="4" s="1"/>
  <c r="EU33" i="4"/>
  <c r="FA33" i="4" s="1"/>
  <c r="EV38" i="4"/>
  <c r="FB38" i="4" s="1"/>
  <c r="EU42" i="4"/>
  <c r="FA42" i="4" s="1"/>
  <c r="EW43" i="4"/>
  <c r="FC43" i="4" s="1"/>
  <c r="EV47" i="4"/>
  <c r="FB47" i="4" s="1"/>
  <c r="EW48" i="4"/>
  <c r="FC48" i="4" s="1"/>
  <c r="AO12" i="4"/>
  <c r="AO5" i="4"/>
  <c r="AX7" i="4"/>
  <c r="AW8" i="4"/>
  <c r="AV9" i="4"/>
  <c r="AP12" i="4"/>
  <c r="AO13" i="4"/>
  <c r="AW16" i="4"/>
  <c r="AV17" i="4"/>
  <c r="AP20" i="4"/>
  <c r="AO21" i="4"/>
  <c r="AP26" i="4"/>
  <c r="EX27" i="4"/>
  <c r="EV29" i="4"/>
  <c r="FB29" i="4" s="1"/>
  <c r="EV33" i="4"/>
  <c r="FB33" i="4" s="1"/>
  <c r="EU37" i="4"/>
  <c r="FA37" i="4" s="1"/>
  <c r="EV42" i="4"/>
  <c r="FB42" i="4" s="1"/>
  <c r="EU46" i="4"/>
  <c r="FA46" i="4" s="1"/>
  <c r="AP11" i="4"/>
  <c r="EV26" i="4"/>
  <c r="FB26" i="4" s="1"/>
  <c r="AG47" i="5"/>
  <c r="AG48" i="5" s="1"/>
  <c r="AE16" i="5"/>
  <c r="BP37" i="5"/>
  <c r="BV37" i="5" s="1"/>
  <c r="AE42" i="5"/>
  <c r="BO44" i="5"/>
  <c r="BU44" i="5" s="1"/>
  <c r="BQ45" i="5"/>
  <c r="BW45" i="5" s="1"/>
  <c r="AE47" i="5"/>
  <c r="AD6" i="5"/>
  <c r="AF8" i="5"/>
  <c r="AE11" i="5"/>
  <c r="AD14" i="5"/>
  <c r="AF16" i="5"/>
  <c r="AE19" i="5"/>
  <c r="AD22" i="5"/>
  <c r="AE24" i="5"/>
  <c r="BR26" i="5"/>
  <c r="AE28" i="5"/>
  <c r="BN28" i="5"/>
  <c r="BT28" i="5" s="1"/>
  <c r="BP29" i="5"/>
  <c r="BV29" i="5" s="1"/>
  <c r="BR30" i="5"/>
  <c r="BS31" i="5"/>
  <c r="AD32" i="5"/>
  <c r="AE33" i="5"/>
  <c r="AF34" i="5"/>
  <c r="BN34" i="5"/>
  <c r="BT34" i="5" s="1"/>
  <c r="BO35" i="5"/>
  <c r="BU35" i="5" s="1"/>
  <c r="BP36" i="5"/>
  <c r="BV36" i="5" s="1"/>
  <c r="BQ37" i="5"/>
  <c r="BW37" i="5" s="1"/>
  <c r="BR38" i="5"/>
  <c r="BS39" i="5"/>
  <c r="AD40" i="5"/>
  <c r="AE41" i="5"/>
  <c r="AF42" i="5"/>
  <c r="BN42" i="5"/>
  <c r="BT42" i="5" s="1"/>
  <c r="BO43" i="5"/>
  <c r="BU43" i="5" s="1"/>
  <c r="BP44" i="5"/>
  <c r="BV44" i="5" s="1"/>
  <c r="AD46" i="5"/>
  <c r="AT91" i="2" s="1"/>
  <c r="AV91" i="2" s="1"/>
  <c r="BI79" i="2"/>
  <c r="BK79" i="2" s="1"/>
  <c r="AF47" i="5"/>
  <c r="BN47" i="5"/>
  <c r="BT47" i="5" s="1"/>
  <c r="BO48" i="5"/>
  <c r="BU48" i="5" s="1"/>
  <c r="AH76" i="2"/>
  <c r="AE6" i="5"/>
  <c r="AE14" i="5"/>
  <c r="AD17" i="5"/>
  <c r="AF19" i="5"/>
  <c r="AE22" i="5"/>
  <c r="AF24" i="5"/>
  <c r="AD25" i="5"/>
  <c r="AD27" i="5"/>
  <c r="BO28" i="5"/>
  <c r="BU28" i="5" s="1"/>
  <c r="BQ29" i="5"/>
  <c r="BW29" i="5" s="1"/>
  <c r="AD31" i="5"/>
  <c r="AE32" i="5"/>
  <c r="AF33" i="5"/>
  <c r="BN33" i="5"/>
  <c r="BT33" i="5" s="1"/>
  <c r="BO34" i="5"/>
  <c r="BU34" i="5" s="1"/>
  <c r="BP35" i="5"/>
  <c r="BV35" i="5" s="1"/>
  <c r="BR37" i="5"/>
  <c r="AD39" i="5"/>
  <c r="AE40" i="5"/>
  <c r="BO42" i="5"/>
  <c r="BU42" i="5" s="1"/>
  <c r="BP43" i="5"/>
  <c r="BV43" i="5" s="1"/>
  <c r="AE46" i="5"/>
  <c r="AT89" i="2" s="1"/>
  <c r="AV89" i="2" s="1"/>
  <c r="BO47" i="5"/>
  <c r="BU47" i="5" s="1"/>
  <c r="BP48" i="5"/>
  <c r="BV48" i="5" s="1"/>
  <c r="AF29" i="5"/>
  <c r="AD33" i="5"/>
  <c r="AF6" i="5"/>
  <c r="AD12" i="5"/>
  <c r="AF14" i="5"/>
  <c r="AE17" i="5"/>
  <c r="AD20" i="5"/>
  <c r="AE25" i="5"/>
  <c r="AE27" i="5"/>
  <c r="BP28" i="5"/>
  <c r="BV28" i="5" s="1"/>
  <c r="BR29" i="5"/>
  <c r="AE31" i="5"/>
  <c r="BO33" i="5"/>
  <c r="BU33" i="5" s="1"/>
  <c r="BP34" i="5"/>
  <c r="BV34" i="5" s="1"/>
  <c r="BR36" i="5"/>
  <c r="BS37" i="5"/>
  <c r="AD38" i="5"/>
  <c r="AE39" i="5"/>
  <c r="BO41" i="5"/>
  <c r="BU41" i="5" s="1"/>
  <c r="BP42" i="5"/>
  <c r="BV42" i="5" s="1"/>
  <c r="AD45" i="5"/>
  <c r="BP47" i="5"/>
  <c r="BV47" i="5" s="1"/>
  <c r="BQ48" i="5"/>
  <c r="BW48" i="5" s="1"/>
  <c r="AT75" i="2"/>
  <c r="AV75" i="2" s="1"/>
  <c r="BQ38" i="5"/>
  <c r="BW38" i="5" s="1"/>
  <c r="AE12" i="5"/>
  <c r="AE20" i="5"/>
  <c r="AD23" i="5"/>
  <c r="AF25" i="5"/>
  <c r="AD26" i="5"/>
  <c r="BO27" i="5"/>
  <c r="BU27" i="5" s="1"/>
  <c r="BQ28" i="5"/>
  <c r="BW28" i="5" s="1"/>
  <c r="BS29" i="5"/>
  <c r="AD30" i="5"/>
  <c r="BO32" i="5"/>
  <c r="BU32" i="5" s="1"/>
  <c r="BP33" i="5"/>
  <c r="BV33" i="5" s="1"/>
  <c r="BR35" i="5"/>
  <c r="BS36" i="5"/>
  <c r="AD37" i="5"/>
  <c r="AE38" i="5"/>
  <c r="BO40" i="5"/>
  <c r="BU40" i="5" s="1"/>
  <c r="BP41" i="5"/>
  <c r="BV41" i="5" s="1"/>
  <c r="BS44" i="5"/>
  <c r="AE45" i="5"/>
  <c r="BO46" i="5"/>
  <c r="BU46" i="5" s="1"/>
  <c r="BN49" i="5"/>
  <c r="BT49" i="5" s="1"/>
  <c r="AD41" i="5"/>
  <c r="AF48" i="5"/>
  <c r="AD18" i="5"/>
  <c r="AE23" i="5"/>
  <c r="AE26" i="5"/>
  <c r="BP27" i="5"/>
  <c r="BV27" i="5" s="1"/>
  <c r="AE30" i="5"/>
  <c r="BO31" i="5"/>
  <c r="BU31" i="5" s="1"/>
  <c r="BP32" i="5"/>
  <c r="BV32" i="5" s="1"/>
  <c r="AD36" i="5"/>
  <c r="AE37" i="5"/>
  <c r="BO39" i="5"/>
  <c r="BU39" i="5" s="1"/>
  <c r="BP40" i="5"/>
  <c r="BV40" i="5" s="1"/>
  <c r="AD44" i="5"/>
  <c r="AT93" i="2"/>
  <c r="AV93" i="2" s="1"/>
  <c r="AF82" i="2"/>
  <c r="BP46" i="5"/>
  <c r="BV46" i="5" s="1"/>
  <c r="AD19" i="5"/>
  <c r="AF21" i="5"/>
  <c r="BO36" i="5"/>
  <c r="BU36" i="5" s="1"/>
  <c r="AD5" i="5"/>
  <c r="AE10" i="5"/>
  <c r="AD13" i="5"/>
  <c r="AE18" i="5"/>
  <c r="AD21" i="5"/>
  <c r="BO26" i="5"/>
  <c r="BU26" i="5" s="1"/>
  <c r="BQ27" i="5"/>
  <c r="BW27" i="5" s="1"/>
  <c r="AD29" i="5"/>
  <c r="BO30" i="5"/>
  <c r="BU30" i="5" s="1"/>
  <c r="BP31" i="5"/>
  <c r="BV31" i="5" s="1"/>
  <c r="BQ32" i="5"/>
  <c r="BW32" i="5" s="1"/>
  <c r="BR33" i="5"/>
  <c r="AD35" i="5"/>
  <c r="AE36" i="5"/>
  <c r="BO38" i="5"/>
  <c r="BU38" i="5" s="1"/>
  <c r="BP39" i="5"/>
  <c r="BV39" i="5" s="1"/>
  <c r="BR41" i="5"/>
  <c r="AD43" i="5"/>
  <c r="AE44" i="5"/>
  <c r="BO45" i="5"/>
  <c r="BU45" i="5" s="1"/>
  <c r="AD48" i="5"/>
  <c r="AH82" i="2"/>
  <c r="AE5" i="5"/>
  <c r="AF10" i="5"/>
  <c r="BP26" i="5"/>
  <c r="BV26" i="5" s="1"/>
  <c r="BP30" i="5"/>
  <c r="BV30" i="5" s="1"/>
  <c r="BR32" i="5"/>
  <c r="BR40" i="5"/>
  <c r="BS21" i="29"/>
  <c r="Y126" i="29"/>
  <c r="BG21" i="29"/>
  <c r="DC24" i="29"/>
  <c r="AG142" i="29"/>
  <c r="EA24" i="29"/>
  <c r="EW9" i="1"/>
  <c r="EX24" i="1"/>
  <c r="EW24" i="1"/>
  <c r="ER7" i="1"/>
  <c r="EW6" i="1"/>
  <c r="ER8" i="1"/>
  <c r="FE8" i="1"/>
  <c r="EP10" i="1"/>
  <c r="FC10" i="1"/>
  <c r="EY12" i="1"/>
  <c r="EX13" i="1"/>
  <c r="EW14" i="1"/>
  <c r="EX20" i="1"/>
  <c r="ER16" i="1"/>
  <c r="FE16" i="1"/>
  <c r="EQ17" i="1"/>
  <c r="FD17" i="1"/>
  <c r="EP18" i="1"/>
  <c r="FC18" i="1"/>
  <c r="EP24" i="1"/>
  <c r="EW20" i="1"/>
  <c r="EP26" i="1"/>
  <c r="EX22" i="1"/>
  <c r="EX30" i="1"/>
  <c r="EW30" i="1"/>
  <c r="FC26" i="1"/>
  <c r="IB36" i="1"/>
  <c r="EY14" i="1"/>
  <c r="EX26" i="1"/>
  <c r="EW26" i="1"/>
  <c r="FE22" i="1"/>
  <c r="EY5" i="1"/>
  <c r="EX6" i="1"/>
  <c r="EW7" i="1"/>
  <c r="EQ10" i="1"/>
  <c r="FD10" i="1"/>
  <c r="EP11" i="1"/>
  <c r="FC11" i="1"/>
  <c r="EY13" i="1"/>
  <c r="EX14" i="1"/>
  <c r="EW15" i="1"/>
  <c r="EW21" i="1"/>
  <c r="ER17" i="1"/>
  <c r="FE17" i="1"/>
  <c r="EQ18" i="1"/>
  <c r="FD18" i="1"/>
  <c r="EP19" i="1"/>
  <c r="EY20" i="1"/>
  <c r="FE27" i="1"/>
  <c r="FD27" i="1"/>
  <c r="EW28" i="1"/>
  <c r="EW27" i="1"/>
  <c r="EY28" i="1"/>
  <c r="EY24" i="1"/>
  <c r="FE26" i="1"/>
  <c r="FC31" i="1"/>
  <c r="FE18" i="1"/>
  <c r="EY25" i="1"/>
  <c r="FC6" i="1"/>
  <c r="EX9" i="1"/>
  <c r="EW10" i="1"/>
  <c r="ER12" i="1"/>
  <c r="FE12" i="1"/>
  <c r="EQ13" i="1"/>
  <c r="FD13" i="1"/>
  <c r="EP14" i="1"/>
  <c r="FC14" i="1"/>
  <c r="ER20" i="1"/>
  <c r="EP20" i="1"/>
  <c r="FE20" i="1"/>
  <c r="FC20" i="1"/>
  <c r="EX17" i="1"/>
  <c r="EW18" i="1"/>
  <c r="EY21" i="1"/>
  <c r="ER27" i="1"/>
  <c r="EP27" i="1"/>
  <c r="EQ34" i="1"/>
  <c r="EQ31" i="1"/>
  <c r="EQ32" i="1"/>
  <c r="FC32" i="1"/>
  <c r="ER10" i="1"/>
  <c r="ER18" i="1"/>
  <c r="IB32" i="1"/>
  <c r="ER11" i="1"/>
  <c r="FD5" i="1"/>
  <c r="FE5" i="1"/>
  <c r="EQ6" i="1"/>
  <c r="FD6" i="1"/>
  <c r="EP7" i="1"/>
  <c r="FC7" i="1"/>
  <c r="EX10" i="1"/>
  <c r="EW11" i="1"/>
  <c r="ER13" i="1"/>
  <c r="FE13" i="1"/>
  <c r="EQ14" i="1"/>
  <c r="FD14" i="1"/>
  <c r="EP15" i="1"/>
  <c r="FC15" i="1"/>
  <c r="ER21" i="1"/>
  <c r="EQ21" i="1"/>
  <c r="FE21" i="1"/>
  <c r="FD21" i="1"/>
  <c r="EX18" i="1"/>
  <c r="FD24" i="1"/>
  <c r="EQ25" i="1"/>
  <c r="EQ24" i="1"/>
  <c r="FE24" i="1"/>
  <c r="EQ30" i="1"/>
  <c r="EQ28" i="1"/>
  <c r="EY26" i="1"/>
  <c r="EX27" i="1"/>
  <c r="ER33" i="1"/>
  <c r="EP30" i="1"/>
  <c r="EP33" i="1"/>
  <c r="EP34" i="1"/>
  <c r="FE10" i="1"/>
  <c r="EW23" i="1"/>
  <c r="EP5" i="1"/>
  <c r="EW17" i="1"/>
  <c r="EX23" i="1"/>
  <c r="EX21" i="1"/>
  <c r="EQ5" i="1"/>
  <c r="EP6" i="1"/>
  <c r="FE6" i="1"/>
  <c r="FD7" i="1"/>
  <c r="EX11" i="1"/>
  <c r="EW12" i="1"/>
  <c r="EQ15" i="1"/>
  <c r="FD15" i="1"/>
  <c r="EP16" i="1"/>
  <c r="FC16" i="1"/>
  <c r="EQ22" i="1"/>
  <c r="EP22" i="1"/>
  <c r="FD22" i="1"/>
  <c r="FC22" i="1"/>
  <c r="FC19" i="1"/>
  <c r="EQ20" i="1"/>
  <c r="FC21" i="1"/>
  <c r="ER24" i="1"/>
  <c r="EP25" i="1"/>
  <c r="FD32" i="1"/>
  <c r="FC29" i="1"/>
  <c r="FD30" i="1"/>
  <c r="IC27" i="1"/>
  <c r="HX27" i="1"/>
  <c r="ID27" i="1" s="1"/>
  <c r="FC28" i="1"/>
  <c r="FD29" i="1"/>
  <c r="ER30" i="1"/>
  <c r="ER34" i="1"/>
  <c r="FE25" i="1"/>
  <c r="FC25" i="1"/>
  <c r="EW19" i="1"/>
  <c r="EY19" i="1"/>
  <c r="EP23" i="1"/>
  <c r="ER23" i="1"/>
  <c r="FC23" i="1"/>
  <c r="FE23" i="1"/>
  <c r="FE19" i="1"/>
  <c r="EX25" i="1"/>
  <c r="EW22" i="1"/>
  <c r="ER25" i="1"/>
  <c r="FD25" i="1"/>
  <c r="HX26" i="1"/>
  <c r="IC26" i="1"/>
  <c r="ER29" i="1"/>
  <c r="FD34" i="1"/>
  <c r="EX35" i="1"/>
  <c r="EQ36" i="1"/>
  <c r="FD38" i="1"/>
  <c r="EX39" i="1"/>
  <c r="EQ40" i="1"/>
  <c r="FD42" i="1"/>
  <c r="EX43" i="1"/>
  <c r="EQ44" i="1"/>
  <c r="FD46" i="1"/>
  <c r="EX47" i="1"/>
  <c r="EQ48" i="1"/>
  <c r="FD50" i="1"/>
  <c r="FD52" i="1"/>
  <c r="FE30" i="1"/>
  <c r="HX30" i="1"/>
  <c r="ID30" i="1" s="1"/>
  <c r="EY31" i="1"/>
  <c r="ER32" i="1"/>
  <c r="FC33" i="1"/>
  <c r="FE34" i="1"/>
  <c r="HX34" i="1"/>
  <c r="ID34" i="1" s="1"/>
  <c r="EP35" i="1"/>
  <c r="EY35" i="1"/>
  <c r="ER36" i="1"/>
  <c r="FC37" i="1"/>
  <c r="EW38" i="1"/>
  <c r="FE38" i="1"/>
  <c r="HX38" i="1"/>
  <c r="ID38" i="1" s="1"/>
  <c r="EP39" i="1"/>
  <c r="EY39" i="1"/>
  <c r="ER40" i="1"/>
  <c r="FC41" i="1"/>
  <c r="EW42" i="1"/>
  <c r="FE42" i="1"/>
  <c r="HX42" i="1"/>
  <c r="ID42" i="1" s="1"/>
  <c r="EP43" i="1"/>
  <c r="EY43" i="1"/>
  <c r="ER44" i="1"/>
  <c r="FC45" i="1"/>
  <c r="EW46" i="1"/>
  <c r="FE46" i="1"/>
  <c r="HX46" i="1"/>
  <c r="ID46" i="1" s="1"/>
  <c r="EP47" i="1"/>
  <c r="EY47" i="1"/>
  <c r="ER48" i="1"/>
  <c r="FC49" i="1"/>
  <c r="HX49" i="1"/>
  <c r="ID49" i="1" s="1"/>
  <c r="EW50" i="1"/>
  <c r="FE50" i="1"/>
  <c r="EP51" i="1"/>
  <c r="EY51" i="1"/>
  <c r="FE52" i="1"/>
  <c r="EX34" i="1"/>
  <c r="FD49" i="1"/>
  <c r="EX50" i="1"/>
  <c r="EQ51" i="1"/>
  <c r="FC48" i="1"/>
  <c r="EW49" i="1"/>
  <c r="EP50" i="1"/>
  <c r="EW52" i="1"/>
  <c r="EW29" i="1"/>
  <c r="HY29" i="1"/>
  <c r="IE29" i="1" s="1"/>
  <c r="IC31" i="1"/>
  <c r="IC35" i="1"/>
  <c r="IC39" i="1"/>
  <c r="IC43" i="1"/>
  <c r="FD48" i="1"/>
  <c r="EX49" i="1"/>
  <c r="EQ50" i="1"/>
  <c r="EX52" i="1"/>
  <c r="FC47" i="1"/>
  <c r="EW48" i="1"/>
  <c r="EP49" i="1"/>
  <c r="FC51" i="1"/>
  <c r="EW25" i="1"/>
  <c r="HZ26" i="1"/>
  <c r="IF26" i="1" s="1"/>
  <c r="FD28" i="1"/>
  <c r="EP29" i="1"/>
  <c r="FD31" i="1"/>
  <c r="EX32" i="1"/>
  <c r="EQ33" i="1"/>
  <c r="FD35" i="1"/>
  <c r="EX36" i="1"/>
  <c r="EQ37" i="1"/>
  <c r="FD39" i="1"/>
  <c r="EX40" i="1"/>
  <c r="EQ41" i="1"/>
  <c r="FD43" i="1"/>
  <c r="EX44" i="1"/>
  <c r="EQ45" i="1"/>
  <c r="FD47" i="1"/>
  <c r="EX48" i="1"/>
  <c r="EQ49" i="1"/>
  <c r="FD51" i="1"/>
  <c r="EP52" i="1"/>
  <c r="IA26" i="1"/>
  <c r="IG26" i="1" s="1"/>
  <c r="HY28" i="1"/>
  <c r="IE28" i="1" s="1"/>
  <c r="IB29" i="1"/>
  <c r="IB33" i="1"/>
  <c r="IB37" i="1"/>
  <c r="AG139" i="29"/>
  <c r="AH139" i="29" s="1"/>
  <c r="AI24" i="29"/>
  <c r="AU24" i="29"/>
  <c r="CQ24" i="29"/>
  <c r="AE126" i="29"/>
  <c r="C12" i="30"/>
  <c r="C11" i="30" s="1"/>
  <c r="W8" i="29"/>
  <c r="Z8" i="29"/>
  <c r="AC8" i="29"/>
  <c r="W40" i="29"/>
  <c r="AV26" i="4"/>
  <c r="AV27" i="4"/>
  <c r="AW26" i="4"/>
  <c r="AW27" i="4"/>
  <c r="AX26" i="4"/>
  <c r="AX44" i="4"/>
  <c r="AW44" i="4"/>
  <c r="AV44" i="4"/>
  <c r="AX48" i="4"/>
  <c r="AW48" i="4"/>
  <c r="AV48" i="4"/>
  <c r="AX43" i="4"/>
  <c r="AX40" i="4"/>
  <c r="AV42" i="4"/>
  <c r="AX42" i="4"/>
  <c r="AW42" i="4"/>
  <c r="AX47" i="4"/>
  <c r="AW37" i="4"/>
  <c r="AW46" i="4"/>
  <c r="AV46" i="4"/>
  <c r="AX46" i="4"/>
  <c r="AW41" i="4"/>
  <c r="AW45" i="4"/>
  <c r="AV45" i="4"/>
  <c r="AX45" i="4"/>
  <c r="AV38" i="4"/>
  <c r="AV29" i="4"/>
  <c r="AV30" i="4"/>
  <c r="AW34" i="4"/>
  <c r="AW38" i="4"/>
  <c r="AW28" i="4"/>
  <c r="AW29" i="4"/>
  <c r="AW30" i="4"/>
  <c r="AV31" i="4"/>
  <c r="AX34" i="4"/>
  <c r="AV35" i="4"/>
  <c r="AX38" i="4"/>
  <c r="AV39" i="4"/>
  <c r="AV43" i="4"/>
  <c r="AV47" i="4"/>
  <c r="AX28" i="4"/>
  <c r="AX29" i="4"/>
  <c r="AX30" i="4"/>
  <c r="AW31" i="4"/>
  <c r="AW35" i="4"/>
  <c r="AW39" i="4"/>
  <c r="AW43" i="4"/>
  <c r="AW47" i="4"/>
  <c r="AX31" i="4"/>
  <c r="AV32" i="4"/>
  <c r="AX35" i="4"/>
  <c r="AV36" i="4"/>
  <c r="AX39" i="4"/>
  <c r="AV40" i="4"/>
  <c r="AX41" i="4"/>
  <c r="AW32" i="4"/>
  <c r="AW36" i="4"/>
  <c r="AW40" i="4"/>
  <c r="AV34" i="4"/>
  <c r="AX37" i="4"/>
  <c r="AX32" i="4"/>
  <c r="AV33" i="4"/>
  <c r="AX36" i="4"/>
  <c r="AV37" i="4"/>
  <c r="AV41" i="4"/>
  <c r="AX33" i="4"/>
  <c r="AV28" i="4"/>
  <c r="AW33" i="4"/>
  <c r="V9" i="29"/>
  <c r="A85" i="29" s="1"/>
  <c r="V26" i="29" s="1"/>
  <c r="C19" i="30" s="1"/>
  <c r="AA101" i="29"/>
  <c r="AA102" i="29" s="1"/>
  <c r="X121" i="29"/>
  <c r="X117" i="29"/>
  <c r="Y117" i="29" s="1"/>
  <c r="Y118" i="29" s="1"/>
  <c r="AA115" i="29"/>
  <c r="AA116" i="29" s="1"/>
  <c r="AD121" i="29"/>
  <c r="AD113" i="29"/>
  <c r="AD114" i="29" s="1"/>
  <c r="AC112" i="29"/>
  <c r="Z114" i="29"/>
  <c r="AA119" i="29"/>
  <c r="AA107" i="29"/>
  <c r="X113" i="29"/>
  <c r="X114" i="29" s="1"/>
  <c r="X101" i="29"/>
  <c r="X102" i="29" s="1"/>
  <c r="Y8" i="29"/>
  <c r="W116" i="29"/>
  <c r="X4" i="29"/>
  <c r="AE69" i="29"/>
  <c r="AE70" i="29" s="1"/>
  <c r="AA69" i="29"/>
  <c r="AB69" i="29" s="1"/>
  <c r="AB70" i="29" s="1"/>
  <c r="AA65" i="29"/>
  <c r="AB65" i="29" s="1"/>
  <c r="AB66" i="29" s="1"/>
  <c r="AD65" i="29"/>
  <c r="AD66" i="29" s="1"/>
  <c r="Z56" i="29"/>
  <c r="W52" i="29"/>
  <c r="AB55" i="29"/>
  <c r="AB56" i="29" s="1"/>
  <c r="AA56" i="29"/>
  <c r="AD49" i="29"/>
  <c r="X55" i="29"/>
  <c r="X56" i="29" s="1"/>
  <c r="X52" i="29"/>
  <c r="AD35" i="29"/>
  <c r="AD36" i="29" s="1"/>
  <c r="AD41" i="29"/>
  <c r="W38" i="29"/>
  <c r="AE91" i="29"/>
  <c r="AE92" i="29" s="1"/>
  <c r="AA85" i="29"/>
  <c r="AA86" i="29" s="1"/>
  <c r="AB83" i="29"/>
  <c r="AB84" i="29" s="1"/>
  <c r="X85" i="29"/>
  <c r="Y85" i="29" s="1"/>
  <c r="Y86" i="29" s="1"/>
  <c r="Q22" i="2"/>
  <c r="Q19" i="2"/>
  <c r="Q10" i="2"/>
  <c r="CE21" i="29"/>
  <c r="CQ21" i="29"/>
  <c r="EA21" i="29"/>
  <c r="AI21" i="29"/>
  <c r="AU21" i="29"/>
  <c r="Q16" i="2"/>
  <c r="Q13" i="2"/>
  <c r="AA40" i="29"/>
  <c r="AB39" i="29"/>
  <c r="AB40" i="29" s="1"/>
  <c r="Z40" i="29"/>
  <c r="AF144" i="29"/>
  <c r="Z126" i="29"/>
  <c r="AE39" i="29"/>
  <c r="AD40" i="29"/>
  <c r="AE55" i="29"/>
  <c r="AD56" i="29"/>
  <c r="Y37" i="29"/>
  <c r="Y38" i="29" s="1"/>
  <c r="X38" i="29"/>
  <c r="X34" i="29" s="1"/>
  <c r="AB51" i="29"/>
  <c r="AB52" i="29" s="1"/>
  <c r="AA52" i="29"/>
  <c r="AB37" i="29"/>
  <c r="AB38" i="29" s="1"/>
  <c r="AA38" i="29"/>
  <c r="Y49" i="29"/>
  <c r="Y50" i="29" s="1"/>
  <c r="X50" i="29"/>
  <c r="AA5" i="29"/>
  <c r="Z4" i="29"/>
  <c r="Z3" i="29" s="1"/>
  <c r="Y35" i="29"/>
  <c r="Y36" i="29" s="1"/>
  <c r="X36" i="29"/>
  <c r="Y41" i="29"/>
  <c r="Y42" i="29" s="1"/>
  <c r="X42" i="29"/>
  <c r="Y4" i="29"/>
  <c r="AI20" i="29"/>
  <c r="EA20" i="29"/>
  <c r="DC21" i="29"/>
  <c r="BG24" i="29"/>
  <c r="AA35" i="29"/>
  <c r="AD37" i="29"/>
  <c r="Y39" i="29"/>
  <c r="Y40" i="29" s="1"/>
  <c r="AA41" i="29"/>
  <c r="AA49" i="29"/>
  <c r="AD51" i="29"/>
  <c r="Z106" i="29"/>
  <c r="AA105" i="29"/>
  <c r="AB109" i="29"/>
  <c r="AB110" i="29" s="1"/>
  <c r="Y111" i="29"/>
  <c r="Y112" i="29" s="1"/>
  <c r="AC120" i="29"/>
  <c r="AD119" i="29"/>
  <c r="Y101" i="29"/>
  <c r="Y102" i="29" s="1"/>
  <c r="V15" i="29"/>
  <c r="C24" i="30" s="1"/>
  <c r="AU20" i="29"/>
  <c r="BS24" i="29"/>
  <c r="W36" i="29"/>
  <c r="Z38" i="29"/>
  <c r="W50" i="29"/>
  <c r="Z52" i="29"/>
  <c r="AC56" i="29"/>
  <c r="AC48" i="29" s="1"/>
  <c r="AB103" i="29"/>
  <c r="AB104" i="29" s="1"/>
  <c r="AA104" i="29"/>
  <c r="Z122" i="29"/>
  <c r="AA121" i="29"/>
  <c r="BG20" i="29"/>
  <c r="CE24" i="29"/>
  <c r="AC40" i="29"/>
  <c r="AC34" i="29" s="1"/>
  <c r="W42" i="29"/>
  <c r="AA63" i="29"/>
  <c r="AA64" i="29" s="1"/>
  <c r="W82" i="29"/>
  <c r="X81" i="29"/>
  <c r="AE101" i="29"/>
  <c r="AD102" i="29"/>
  <c r="AC104" i="29"/>
  <c r="AD103" i="29"/>
  <c r="AE107" i="29"/>
  <c r="AE111" i="29"/>
  <c r="AD112" i="29"/>
  <c r="AB113" i="29"/>
  <c r="AB114" i="29" s="1"/>
  <c r="AA114" i="29"/>
  <c r="Y115" i="29"/>
  <c r="Y116" i="29" s="1"/>
  <c r="X116" i="29"/>
  <c r="Y105" i="29"/>
  <c r="Y106" i="29" s="1"/>
  <c r="X106" i="29"/>
  <c r="BS20" i="29"/>
  <c r="Y79" i="29"/>
  <c r="Y80" i="29" s="1"/>
  <c r="X80" i="29"/>
  <c r="CE20" i="29"/>
  <c r="AB77" i="29"/>
  <c r="AB78" i="29" s="1"/>
  <c r="AA78" i="29"/>
  <c r="Z80" i="29"/>
  <c r="AA79" i="29"/>
  <c r="Y89" i="29"/>
  <c r="Y90" i="29" s="1"/>
  <c r="X90" i="29"/>
  <c r="W92" i="29"/>
  <c r="X91" i="29"/>
  <c r="DO20" i="29"/>
  <c r="CQ20" i="29"/>
  <c r="Y67" i="29"/>
  <c r="Y68" i="29" s="1"/>
  <c r="X68" i="29"/>
  <c r="W70" i="29"/>
  <c r="X69" i="29"/>
  <c r="AC78" i="29"/>
  <c r="AD77" i="29"/>
  <c r="AE81" i="29"/>
  <c r="AB87" i="29"/>
  <c r="AB88" i="29" s="1"/>
  <c r="AA88" i="29"/>
  <c r="Z90" i="29"/>
  <c r="AA89" i="29"/>
  <c r="AB93" i="29"/>
  <c r="AB94" i="29" s="1"/>
  <c r="Z68" i="29"/>
  <c r="AA67" i="29"/>
  <c r="AE85" i="29"/>
  <c r="AD86" i="29"/>
  <c r="AC88" i="29"/>
  <c r="AD87" i="29"/>
  <c r="W108" i="29"/>
  <c r="X107" i="29"/>
  <c r="AE117" i="29"/>
  <c r="AD118" i="29"/>
  <c r="W68" i="29"/>
  <c r="Z78" i="29"/>
  <c r="W80" i="29"/>
  <c r="AC86" i="29"/>
  <c r="Z88" i="29"/>
  <c r="W90" i="29"/>
  <c r="AC102" i="29"/>
  <c r="Z104" i="29"/>
  <c r="W106" i="29"/>
  <c r="AC118" i="29"/>
  <c r="X65" i="29"/>
  <c r="AC82" i="29"/>
  <c r="AD83" i="29"/>
  <c r="Z84" i="29"/>
  <c r="AC92" i="29"/>
  <c r="AD93" i="29"/>
  <c r="Z94" i="29"/>
  <c r="AC108" i="29"/>
  <c r="AD109" i="29"/>
  <c r="Z110" i="29"/>
  <c r="AA111" i="29"/>
  <c r="W112" i="29"/>
  <c r="AC70" i="29"/>
  <c r="X77" i="29"/>
  <c r="X87" i="29"/>
  <c r="X103" i="29"/>
  <c r="AD115" i="29"/>
  <c r="AA117" i="29"/>
  <c r="X119" i="29"/>
  <c r="AD63" i="29"/>
  <c r="AD64" i="29" s="1"/>
  <c r="AD67" i="29"/>
  <c r="AD79" i="29"/>
  <c r="AA81" i="29"/>
  <c r="X83" i="29"/>
  <c r="AD89" i="29"/>
  <c r="AA91" i="29"/>
  <c r="X93" i="29"/>
  <c r="AD105" i="29"/>
  <c r="X109" i="29"/>
  <c r="AH142" i="29"/>
  <c r="AI141" i="29"/>
  <c r="AF133" i="29"/>
  <c r="AE134" i="29"/>
  <c r="AG135" i="29"/>
  <c r="AF136" i="29"/>
  <c r="AF132" i="29"/>
  <c r="AG131" i="29"/>
  <c r="AG129" i="29"/>
  <c r="AF130" i="29"/>
  <c r="AG145" i="29"/>
  <c r="AF146" i="29"/>
  <c r="AH137" i="29"/>
  <c r="AG138" i="29"/>
  <c r="AF127" i="29"/>
  <c r="AE128" i="29"/>
  <c r="AF126" i="29" s="1"/>
  <c r="AF148" i="29"/>
  <c r="AG147" i="29"/>
  <c r="AH143" i="29"/>
  <c r="AG144" i="29"/>
  <c r="AU30" i="29"/>
  <c r="E26" i="30" s="1"/>
  <c r="AU31" i="29"/>
  <c r="AI32" i="29"/>
  <c r="D25" i="30" s="1"/>
  <c r="AJ54" i="29" l="1"/>
  <c r="AK53" i="29"/>
  <c r="Y63" i="29"/>
  <c r="Y64" i="29" s="1"/>
  <c r="AJ149" i="29"/>
  <c r="AK149" i="29" s="1"/>
  <c r="AI44" i="29"/>
  <c r="AJ43" i="29"/>
  <c r="AJ71" i="29"/>
  <c r="AI72" i="29"/>
  <c r="AJ123" i="29"/>
  <c r="AI124" i="29"/>
  <c r="AI58" i="29"/>
  <c r="AJ57" i="29"/>
  <c r="Y95" i="29"/>
  <c r="Y96" i="29" s="1"/>
  <c r="Y7" i="29" s="1"/>
  <c r="X96" i="29"/>
  <c r="X7" i="29" s="1"/>
  <c r="AF95" i="29"/>
  <c r="AE96" i="29"/>
  <c r="AE7" i="29" s="1"/>
  <c r="HY44" i="1"/>
  <c r="IE44" i="1" s="1"/>
  <c r="HY45" i="1"/>
  <c r="IE45" i="1" s="1"/>
  <c r="HZ44" i="1"/>
  <c r="IF44" i="1" s="1"/>
  <c r="HZ46" i="1"/>
  <c r="IF46" i="1" s="1"/>
  <c r="IA27" i="1"/>
  <c r="IG27" i="1" s="1"/>
  <c r="IA28" i="1"/>
  <c r="IG28" i="1" s="1"/>
  <c r="HY27" i="1"/>
  <c r="IE27" i="1" s="1"/>
  <c r="HZ34" i="1"/>
  <c r="IF34" i="1" s="1"/>
  <c r="HY41" i="1"/>
  <c r="IE41" i="1" s="1"/>
  <c r="HY48" i="1"/>
  <c r="IE48" i="1" s="1"/>
  <c r="IA29" i="1"/>
  <c r="IG29" i="1" s="1"/>
  <c r="AG140" i="29"/>
  <c r="C15" i="30"/>
  <c r="C14" i="30" s="1"/>
  <c r="HY36" i="1"/>
  <c r="IE36" i="1" s="1"/>
  <c r="IA44" i="1"/>
  <c r="IG44" i="1" s="1"/>
  <c r="HZ45" i="1"/>
  <c r="IF45" i="1" s="1"/>
  <c r="IA39" i="1"/>
  <c r="IG39" i="1" s="1"/>
  <c r="HZ43" i="1"/>
  <c r="IF43" i="1" s="1"/>
  <c r="HZ40" i="1"/>
  <c r="IF40" i="1" s="1"/>
  <c r="HZ47" i="1"/>
  <c r="IF47" i="1" s="1"/>
  <c r="HY31" i="1"/>
  <c r="IE31" i="1" s="1"/>
  <c r="HY37" i="1"/>
  <c r="IE37" i="1" s="1"/>
  <c r="HY38" i="1"/>
  <c r="IE38" i="1" s="1"/>
  <c r="IA36" i="1"/>
  <c r="IG36" i="1" s="1"/>
  <c r="IA38" i="1"/>
  <c r="IG38" i="1" s="1"/>
  <c r="IA43" i="1"/>
  <c r="IG43" i="1" s="1"/>
  <c r="IA47" i="1"/>
  <c r="IG47" i="1" s="1"/>
  <c r="IA35" i="1"/>
  <c r="IG35" i="1" s="1"/>
  <c r="HY46" i="1"/>
  <c r="IE46" i="1" s="1"/>
  <c r="IA45" i="1"/>
  <c r="IG45" i="1" s="1"/>
  <c r="HY40" i="1"/>
  <c r="IE40" i="1" s="1"/>
  <c r="IA33" i="1"/>
  <c r="IG33" i="1" s="1"/>
  <c r="IA34" i="1"/>
  <c r="IG34" i="1" s="1"/>
  <c r="HY34" i="1"/>
  <c r="IE34" i="1" s="1"/>
  <c r="HY35" i="1"/>
  <c r="IE35" i="1" s="1"/>
  <c r="ID26" i="1"/>
  <c r="HZ27" i="1"/>
  <c r="IF27" i="1" s="1"/>
  <c r="HZ30" i="1"/>
  <c r="IF30" i="1" s="1"/>
  <c r="HZ29" i="1"/>
  <c r="IF29" i="1" s="1"/>
  <c r="HZ28" i="1"/>
  <c r="IF28" i="1" s="1"/>
  <c r="HY26" i="1"/>
  <c r="IE26" i="1" s="1"/>
  <c r="HZ42" i="1"/>
  <c r="IF42" i="1" s="1"/>
  <c r="IA46" i="1"/>
  <c r="IG46" i="1" s="1"/>
  <c r="HZ32" i="1"/>
  <c r="IF32" i="1" s="1"/>
  <c r="HY33" i="1"/>
  <c r="IE33" i="1" s="1"/>
  <c r="IA48" i="1"/>
  <c r="IG48" i="1" s="1"/>
  <c r="IA40" i="1"/>
  <c r="IG40" i="1" s="1"/>
  <c r="HZ48" i="1"/>
  <c r="IF48" i="1" s="1"/>
  <c r="HY32" i="1"/>
  <c r="IE32" i="1" s="1"/>
  <c r="IA31" i="1"/>
  <c r="IG31" i="1" s="1"/>
  <c r="HZ31" i="1"/>
  <c r="IF31" i="1" s="1"/>
  <c r="HZ33" i="1"/>
  <c r="IF33" i="1" s="1"/>
  <c r="HY42" i="1"/>
  <c r="IE42" i="1" s="1"/>
  <c r="HZ38" i="1"/>
  <c r="IF38" i="1" s="1"/>
  <c r="HZ37" i="1"/>
  <c r="IF37" i="1" s="1"/>
  <c r="IA37" i="1"/>
  <c r="IG37" i="1" s="1"/>
  <c r="IA30" i="1"/>
  <c r="IG30" i="1" s="1"/>
  <c r="HY30" i="1"/>
  <c r="IE30" i="1" s="1"/>
  <c r="HZ39" i="1"/>
  <c r="IF39" i="1" s="1"/>
  <c r="HZ35" i="1"/>
  <c r="IF35" i="1" s="1"/>
  <c r="HY39" i="1"/>
  <c r="IE39" i="1" s="1"/>
  <c r="IA32" i="1"/>
  <c r="IG32" i="1" s="1"/>
  <c r="HZ36" i="1"/>
  <c r="IF36" i="1" s="1"/>
  <c r="IA42" i="1"/>
  <c r="IG42" i="1" s="1"/>
  <c r="HY43" i="1"/>
  <c r="IE43" i="1" s="1"/>
  <c r="IA41" i="1"/>
  <c r="IG41" i="1" s="1"/>
  <c r="HY47" i="1"/>
  <c r="IE47" i="1" s="1"/>
  <c r="HZ41" i="1"/>
  <c r="IF41" i="1" s="1"/>
  <c r="AB115" i="29"/>
  <c r="AB116" i="29" s="1"/>
  <c r="AE65" i="29"/>
  <c r="AF65" i="29" s="1"/>
  <c r="AD8" i="29"/>
  <c r="W34" i="29"/>
  <c r="X118" i="29"/>
  <c r="X86" i="29"/>
  <c r="AB101" i="29"/>
  <c r="AB102" i="29" s="1"/>
  <c r="X100" i="29"/>
  <c r="Y113" i="29"/>
  <c r="Y114" i="29" s="1"/>
  <c r="AA70" i="29"/>
  <c r="Y55" i="29"/>
  <c r="Y56" i="29" s="1"/>
  <c r="Y48" i="29" s="1"/>
  <c r="AE35" i="29"/>
  <c r="AF35" i="29" s="1"/>
  <c r="AG35" i="29" s="1"/>
  <c r="AG36" i="29" s="1"/>
  <c r="AB85" i="29"/>
  <c r="AB86" i="29" s="1"/>
  <c r="AE113" i="29"/>
  <c r="AE114" i="29" s="1"/>
  <c r="AF91" i="29"/>
  <c r="AF92" i="29" s="1"/>
  <c r="AF69" i="29"/>
  <c r="AG69" i="29" s="1"/>
  <c r="Z48" i="29"/>
  <c r="V10" i="29"/>
  <c r="V13" i="29" s="1"/>
  <c r="X8" i="29"/>
  <c r="AA100" i="29"/>
  <c r="X122" i="29"/>
  <c r="Y121" i="29"/>
  <c r="Y122" i="29" s="1"/>
  <c r="AB107" i="29"/>
  <c r="AB108" i="29" s="1"/>
  <c r="AA108" i="29"/>
  <c r="AB119" i="29"/>
  <c r="AB120" i="29" s="1"/>
  <c r="AA120" i="29"/>
  <c r="AE8" i="29"/>
  <c r="AE121" i="29"/>
  <c r="AD122" i="29"/>
  <c r="AA66" i="29"/>
  <c r="AC7" i="29"/>
  <c r="AC9" i="29"/>
  <c r="W48" i="29"/>
  <c r="X48" i="29"/>
  <c r="X9" i="29" s="1"/>
  <c r="AD50" i="29"/>
  <c r="AE49" i="29"/>
  <c r="AD42" i="29"/>
  <c r="AE41" i="29"/>
  <c r="Y34" i="29"/>
  <c r="AB7" i="29"/>
  <c r="W7" i="29"/>
  <c r="AA34" i="29"/>
  <c r="Z34" i="29"/>
  <c r="AB34" i="29"/>
  <c r="X120" i="29"/>
  <c r="Y119" i="29"/>
  <c r="Y120" i="29" s="1"/>
  <c r="AE105" i="29"/>
  <c r="AD106" i="29"/>
  <c r="AA42" i="29"/>
  <c r="AB41" i="29"/>
  <c r="AB42" i="29" s="1"/>
  <c r="AB81" i="29"/>
  <c r="AB82" i="29" s="1"/>
  <c r="AA82" i="29"/>
  <c r="AD116" i="29"/>
  <c r="AE115" i="29"/>
  <c r="AD94" i="29"/>
  <c r="AE93" i="29"/>
  <c r="X108" i="29"/>
  <c r="Y107" i="29"/>
  <c r="Y108" i="29" s="1"/>
  <c r="AE79" i="29"/>
  <c r="AD80" i="29"/>
  <c r="AA112" i="29"/>
  <c r="AB111" i="29"/>
  <c r="AB112" i="29" s="1"/>
  <c r="AD88" i="29"/>
  <c r="AE87" i="29"/>
  <c r="X92" i="29"/>
  <c r="Y91" i="29"/>
  <c r="Y92" i="29" s="1"/>
  <c r="AE102" i="29"/>
  <c r="AF101" i="29"/>
  <c r="AD38" i="29"/>
  <c r="AD34" i="29" s="1"/>
  <c r="AE37" i="29"/>
  <c r="AD78" i="29"/>
  <c r="AE77" i="29"/>
  <c r="AE67" i="29"/>
  <c r="AD68" i="29"/>
  <c r="X104" i="29"/>
  <c r="Y103" i="29"/>
  <c r="Y104" i="29" s="1"/>
  <c r="AA90" i="29"/>
  <c r="AB89" i="29"/>
  <c r="AB90" i="29" s="1"/>
  <c r="X70" i="29"/>
  <c r="Y69" i="29"/>
  <c r="Y70" i="29" s="1"/>
  <c r="X82" i="29"/>
  <c r="Y81" i="29"/>
  <c r="Y82" i="29" s="1"/>
  <c r="Z7" i="29"/>
  <c r="AA122" i="29"/>
  <c r="AB121" i="29"/>
  <c r="AB122" i="29" s="1"/>
  <c r="AD120" i="29"/>
  <c r="AE119" i="29"/>
  <c r="AD52" i="29"/>
  <c r="AE51" i="29"/>
  <c r="AE56" i="29"/>
  <c r="AF55" i="29"/>
  <c r="Y83" i="29"/>
  <c r="Y84" i="29" s="1"/>
  <c r="X84" i="29"/>
  <c r="AA118" i="29"/>
  <c r="AB117" i="29"/>
  <c r="AB118" i="29" s="1"/>
  <c r="Y93" i="29"/>
  <c r="Y94" i="29" s="1"/>
  <c r="X94" i="29"/>
  <c r="AE63" i="29"/>
  <c r="AE64" i="29" s="1"/>
  <c r="AD110" i="29"/>
  <c r="AE109" i="29"/>
  <c r="AD84" i="29"/>
  <c r="AE83" i="29"/>
  <c r="AD100" i="29"/>
  <c r="AA7" i="29"/>
  <c r="AJ150" i="29"/>
  <c r="AE86" i="29"/>
  <c r="AF85" i="29"/>
  <c r="AF111" i="29"/>
  <c r="AE112" i="29"/>
  <c r="AB63" i="29"/>
  <c r="AB64" i="29" s="1"/>
  <c r="AA50" i="29"/>
  <c r="AA48" i="29" s="1"/>
  <c r="AB49" i="29"/>
  <c r="AB50" i="29" s="1"/>
  <c r="AB48" i="29" s="1"/>
  <c r="AA36" i="29"/>
  <c r="AB35" i="29"/>
  <c r="AB36" i="29" s="1"/>
  <c r="AD7" i="29"/>
  <c r="X66" i="29"/>
  <c r="Y65" i="29"/>
  <c r="Y66" i="29" s="1"/>
  <c r="AB91" i="29"/>
  <c r="AB92" i="29" s="1"/>
  <c r="AA92" i="29"/>
  <c r="AE89" i="29"/>
  <c r="AD90" i="29"/>
  <c r="AB8" i="29"/>
  <c r="AA8" i="29"/>
  <c r="X88" i="29"/>
  <c r="Y87" i="29"/>
  <c r="Y88" i="29" s="1"/>
  <c r="AA68" i="29"/>
  <c r="AB67" i="29"/>
  <c r="AB68" i="29" s="1"/>
  <c r="AA80" i="29"/>
  <c r="AB79" i="29"/>
  <c r="AB80" i="29" s="1"/>
  <c r="AE108" i="29"/>
  <c r="AF107" i="29"/>
  <c r="Y109" i="29"/>
  <c r="Y110" i="29" s="1"/>
  <c r="X110" i="29"/>
  <c r="X78" i="29"/>
  <c r="Y77" i="29"/>
  <c r="Y78" i="29" s="1"/>
  <c r="AE118" i="29"/>
  <c r="AF117" i="29"/>
  <c r="AE82" i="29"/>
  <c r="AF81" i="29"/>
  <c r="AD104" i="29"/>
  <c r="AE103" i="29"/>
  <c r="AA106" i="29"/>
  <c r="AB105" i="29"/>
  <c r="AB106" i="29" s="1"/>
  <c r="AB5" i="29"/>
  <c r="AA4" i="29"/>
  <c r="AE40" i="29"/>
  <c r="AF39" i="29"/>
  <c r="AI143" i="29"/>
  <c r="AH144" i="29"/>
  <c r="AH145" i="29"/>
  <c r="AG146" i="29"/>
  <c r="AH135" i="29"/>
  <c r="AG136" i="29"/>
  <c r="AG133" i="29"/>
  <c r="AF134" i="29"/>
  <c r="AJ141" i="29"/>
  <c r="AI142" i="29"/>
  <c r="AF128" i="29"/>
  <c r="AG126" i="29" s="1"/>
  <c r="AG127" i="29"/>
  <c r="AH129" i="29"/>
  <c r="AG130" i="29"/>
  <c r="AG148" i="29"/>
  <c r="AH147" i="29"/>
  <c r="AH131" i="29"/>
  <c r="AG132" i="29"/>
  <c r="AI137" i="29"/>
  <c r="AH138" i="29"/>
  <c r="AI139" i="29"/>
  <c r="AH140" i="29"/>
  <c r="AU32" i="29"/>
  <c r="E25" i="30" s="1"/>
  <c r="BG30" i="29"/>
  <c r="F26" i="30" s="1"/>
  <c r="E27" i="30"/>
  <c r="BG31" i="29"/>
  <c r="AK54" i="29" l="1"/>
  <c r="AL53" i="29"/>
  <c r="AK57" i="29"/>
  <c r="AJ58" i="29"/>
  <c r="AJ124" i="29"/>
  <c r="AK123" i="29"/>
  <c r="AJ72" i="29"/>
  <c r="AK71" i="29"/>
  <c r="AJ44" i="29"/>
  <c r="AK43" i="29"/>
  <c r="AG95" i="29"/>
  <c r="AF96" i="29"/>
  <c r="AF7" i="29" s="1"/>
  <c r="AE100" i="29"/>
  <c r="AE66" i="29"/>
  <c r="W9" i="29"/>
  <c r="AF70" i="29"/>
  <c r="AF113" i="29"/>
  <c r="AG113" i="29" s="1"/>
  <c r="AF36" i="29"/>
  <c r="AH35" i="29"/>
  <c r="AH36" i="29" s="1"/>
  <c r="AE36" i="29"/>
  <c r="C21" i="30"/>
  <c r="Z9" i="29"/>
  <c r="AG91" i="29"/>
  <c r="AG92" i="29" s="1"/>
  <c r="V27" i="29"/>
  <c r="C18" i="30" s="1"/>
  <c r="C20" i="30"/>
  <c r="Y100" i="29"/>
  <c r="AC100" i="29"/>
  <c r="AF121" i="29"/>
  <c r="AE122" i="29"/>
  <c r="AF8" i="29"/>
  <c r="AB100" i="29"/>
  <c r="Z100" i="29"/>
  <c r="AD48" i="29"/>
  <c r="AD9" i="29" s="1"/>
  <c r="Y9" i="29"/>
  <c r="AA9" i="29"/>
  <c r="AB9" i="29"/>
  <c r="AF49" i="29"/>
  <c r="AE50" i="29"/>
  <c r="AF41" i="29"/>
  <c r="AE42" i="29"/>
  <c r="AE104" i="29"/>
  <c r="AF103" i="29"/>
  <c r="AF112" i="29"/>
  <c r="AG111" i="29"/>
  <c r="AE84" i="29"/>
  <c r="AF83" i="29"/>
  <c r="AF89" i="29"/>
  <c r="AE90" i="29"/>
  <c r="AF86" i="29"/>
  <c r="AG85" i="29"/>
  <c r="AF66" i="29"/>
  <c r="AG65" i="29"/>
  <c r="AF56" i="29"/>
  <c r="AG55" i="29"/>
  <c r="AC5" i="29"/>
  <c r="AB4" i="29"/>
  <c r="AE110" i="29"/>
  <c r="AF109" i="29"/>
  <c r="AE94" i="29"/>
  <c r="AF93" i="29"/>
  <c r="AE78" i="29"/>
  <c r="AF77" i="29"/>
  <c r="AF102" i="29"/>
  <c r="AG101" i="29"/>
  <c r="AF82" i="29"/>
  <c r="AG81" i="29"/>
  <c r="AE52" i="29"/>
  <c r="AF51" i="29"/>
  <c r="AF67" i="29"/>
  <c r="AE68" i="29"/>
  <c r="AF118" i="29"/>
  <c r="AG117" i="29"/>
  <c r="AE120" i="29"/>
  <c r="AF119" i="29"/>
  <c r="AF79" i="29"/>
  <c r="AE80" i="29"/>
  <c r="AF115" i="29"/>
  <c r="AE116" i="29"/>
  <c r="AF40" i="29"/>
  <c r="AG39" i="29"/>
  <c r="AL149" i="29"/>
  <c r="AK150" i="29"/>
  <c r="AF63" i="29"/>
  <c r="AF64" i="29" s="1"/>
  <c r="AF105" i="29"/>
  <c r="AE106" i="29"/>
  <c r="AG70" i="29"/>
  <c r="AH69" i="29"/>
  <c r="AF108" i="29"/>
  <c r="AG107" i="29"/>
  <c r="AE38" i="29"/>
  <c r="AE34" i="29" s="1"/>
  <c r="AF37" i="29"/>
  <c r="AE88" i="29"/>
  <c r="AF87" i="29"/>
  <c r="AJ139" i="29"/>
  <c r="AI140" i="29"/>
  <c r="AI129" i="29"/>
  <c r="AH130" i="29"/>
  <c r="AG128" i="29"/>
  <c r="AH126" i="29" s="1"/>
  <c r="AH127" i="29"/>
  <c r="AI127" i="29" s="1"/>
  <c r="AI135" i="29"/>
  <c r="AH136" i="29"/>
  <c r="AI138" i="29"/>
  <c r="AJ137" i="29"/>
  <c r="AI131" i="29"/>
  <c r="AH132" i="29"/>
  <c r="AK141" i="29"/>
  <c r="AJ142" i="29"/>
  <c r="AI145" i="29"/>
  <c r="AH146" i="29"/>
  <c r="AI147" i="29"/>
  <c r="AH148" i="29"/>
  <c r="AH133" i="29"/>
  <c r="AG134" i="29"/>
  <c r="AI144" i="29"/>
  <c r="AJ143" i="29"/>
  <c r="BS30" i="29"/>
  <c r="G26" i="30" s="1"/>
  <c r="BG32" i="29"/>
  <c r="F25" i="30" s="1"/>
  <c r="F27" i="30"/>
  <c r="BS31" i="29"/>
  <c r="AL54" i="29" l="1"/>
  <c r="AM53" i="29"/>
  <c r="AL71" i="29"/>
  <c r="AK72" i="29"/>
  <c r="AK44" i="29"/>
  <c r="AL43" i="29"/>
  <c r="AL123" i="29"/>
  <c r="AK124" i="29"/>
  <c r="AK58" i="29"/>
  <c r="AL57" i="29"/>
  <c r="AH91" i="29"/>
  <c r="AH92" i="29" s="1"/>
  <c r="AH95" i="29"/>
  <c r="AG96" i="29"/>
  <c r="AG7" i="29" s="1"/>
  <c r="AF114" i="29"/>
  <c r="AI35" i="29"/>
  <c r="AI36" i="29" s="1"/>
  <c r="V28" i="29"/>
  <c r="C17" i="30" s="1"/>
  <c r="C31" i="30" s="1"/>
  <c r="C34" i="30" s="1"/>
  <c r="AE48" i="29"/>
  <c r="AE9" i="29" s="1"/>
  <c r="AF100" i="29"/>
  <c r="AG8" i="29"/>
  <c r="AF122" i="29"/>
  <c r="AG121" i="29"/>
  <c r="AG49" i="29"/>
  <c r="AF50" i="29"/>
  <c r="AF42" i="29"/>
  <c r="AG41" i="29"/>
  <c r="CE30" i="29"/>
  <c r="CQ30" i="29" s="1"/>
  <c r="AF104" i="29"/>
  <c r="AG103" i="29"/>
  <c r="AG105" i="29"/>
  <c r="AF106" i="29"/>
  <c r="AG82" i="29"/>
  <c r="AH81" i="29"/>
  <c r="AG86" i="29"/>
  <c r="AH85" i="29"/>
  <c r="AG83" i="29"/>
  <c r="AF84" i="29"/>
  <c r="AG115" i="29"/>
  <c r="AF116" i="29"/>
  <c r="AG102" i="29"/>
  <c r="AH101" i="29"/>
  <c r="AG112" i="29"/>
  <c r="AH111" i="29"/>
  <c r="AG93" i="29"/>
  <c r="AF94" i="29"/>
  <c r="AM149" i="29"/>
  <c r="AL150" i="29"/>
  <c r="AH65" i="29"/>
  <c r="AG66" i="29"/>
  <c r="AG118" i="29"/>
  <c r="AH117" i="29"/>
  <c r="AG108" i="29"/>
  <c r="AH107" i="29"/>
  <c r="AG67" i="29"/>
  <c r="AF68" i="29"/>
  <c r="AD5" i="29"/>
  <c r="AC4" i="29"/>
  <c r="AC3" i="29" s="1"/>
  <c r="AG89" i="29"/>
  <c r="AF90" i="29"/>
  <c r="AG63" i="29"/>
  <c r="AG64" i="29" s="1"/>
  <c r="AG79" i="29"/>
  <c r="AF80" i="29"/>
  <c r="AG51" i="29"/>
  <c r="AF52" i="29"/>
  <c r="AF78" i="29"/>
  <c r="AG77" i="29"/>
  <c r="AG56" i="29"/>
  <c r="AH55" i="29"/>
  <c r="AF120" i="29"/>
  <c r="AG119" i="29"/>
  <c r="AG114" i="29"/>
  <c r="AH113" i="29"/>
  <c r="AF88" i="29"/>
  <c r="AG87" i="29"/>
  <c r="AG40" i="29"/>
  <c r="AH39" i="29"/>
  <c r="AG109" i="29"/>
  <c r="AF110" i="29"/>
  <c r="AF38" i="29"/>
  <c r="AF34" i="29" s="1"/>
  <c r="AG37" i="29"/>
  <c r="AH70" i="29"/>
  <c r="AI69" i="29"/>
  <c r="AK143" i="29"/>
  <c r="AJ144" i="29"/>
  <c r="AL141" i="29"/>
  <c r="AK142" i="29"/>
  <c r="AJ147" i="29"/>
  <c r="AI148" i="29"/>
  <c r="AH128" i="29"/>
  <c r="AI126" i="29" s="1"/>
  <c r="AH134" i="29"/>
  <c r="AI133" i="29"/>
  <c r="AJ131" i="29"/>
  <c r="AI132" i="29"/>
  <c r="AK137" i="29"/>
  <c r="AJ138" i="29"/>
  <c r="AI130" i="29"/>
  <c r="AJ129" i="29"/>
  <c r="AI146" i="29"/>
  <c r="AJ145" i="29"/>
  <c r="AJ135" i="29"/>
  <c r="AI136" i="29"/>
  <c r="AK139" i="29"/>
  <c r="AJ140" i="29"/>
  <c r="C38" i="30"/>
  <c r="C45" i="30"/>
  <c r="G27" i="30"/>
  <c r="CE31" i="29"/>
  <c r="BS32" i="29"/>
  <c r="G25" i="30" s="1"/>
  <c r="AM54" i="29" l="1"/>
  <c r="AN53" i="29"/>
  <c r="AI91" i="29"/>
  <c r="AJ91" i="29" s="1"/>
  <c r="AL124" i="29"/>
  <c r="AM123" i="29"/>
  <c r="AM57" i="29"/>
  <c r="AL58" i="29"/>
  <c r="AL44" i="29"/>
  <c r="AM43" i="29"/>
  <c r="AM71" i="29"/>
  <c r="AL72" i="29"/>
  <c r="AH96" i="29"/>
  <c r="AH7" i="29" s="1"/>
  <c r="AI95" i="29"/>
  <c r="AJ35" i="29"/>
  <c r="AJ36" i="29" s="1"/>
  <c r="AF48" i="29"/>
  <c r="AF9" i="29" s="1"/>
  <c r="C32" i="30"/>
  <c r="C33" i="30" s="1"/>
  <c r="C35" i="30"/>
  <c r="AG122" i="29"/>
  <c r="AH121" i="29"/>
  <c r="AG100" i="29"/>
  <c r="AH8" i="29"/>
  <c r="AG50" i="29"/>
  <c r="AH49" i="29"/>
  <c r="AG42" i="29"/>
  <c r="AH41" i="29"/>
  <c r="H26" i="30"/>
  <c r="CE32" i="29"/>
  <c r="H25" i="30" s="1"/>
  <c r="AH119" i="29"/>
  <c r="AG120" i="29"/>
  <c r="AH86" i="29"/>
  <c r="AI85" i="29"/>
  <c r="AH66" i="29"/>
  <c r="AI65" i="29"/>
  <c r="AG80" i="29"/>
  <c r="AH79" i="29"/>
  <c r="AH82" i="29"/>
  <c r="AI81" i="29"/>
  <c r="AE5" i="29"/>
  <c r="AD4" i="29"/>
  <c r="AI70" i="29"/>
  <c r="AJ69" i="29"/>
  <c r="AI39" i="29"/>
  <c r="AH40" i="29"/>
  <c r="AH87" i="29"/>
  <c r="AG88" i="29"/>
  <c r="AH56" i="29"/>
  <c r="AI55" i="29"/>
  <c r="AG68" i="29"/>
  <c r="AH67" i="29"/>
  <c r="AM150" i="29"/>
  <c r="AN149" i="29"/>
  <c r="AH115" i="29"/>
  <c r="AG116" i="29"/>
  <c r="AH37" i="29"/>
  <c r="AG38" i="29"/>
  <c r="AG34" i="29" s="1"/>
  <c r="AH77" i="29"/>
  <c r="AG78" i="29"/>
  <c r="AH93" i="29"/>
  <c r="AG94" i="29"/>
  <c r="AH83" i="29"/>
  <c r="AG84" i="29"/>
  <c r="AH109" i="29"/>
  <c r="AG110" i="29"/>
  <c r="AH51" i="29"/>
  <c r="AG52" i="29"/>
  <c r="AH102" i="29"/>
  <c r="AI101" i="29"/>
  <c r="AH63" i="29"/>
  <c r="AH64" i="29" s="1"/>
  <c r="AH108" i="29"/>
  <c r="AI107" i="29"/>
  <c r="AG90" i="29"/>
  <c r="AH89" i="29"/>
  <c r="AH118" i="29"/>
  <c r="AI117" i="29"/>
  <c r="AH112" i="29"/>
  <c r="AI111" i="29"/>
  <c r="AH103" i="29"/>
  <c r="AG104" i="29"/>
  <c r="AH114" i="29"/>
  <c r="AI113" i="29"/>
  <c r="AG106" i="29"/>
  <c r="AH105" i="29"/>
  <c r="AK140" i="29"/>
  <c r="AL139" i="29"/>
  <c r="AK138" i="29"/>
  <c r="AL137" i="29"/>
  <c r="AI128" i="29"/>
  <c r="AJ126" i="29" s="1"/>
  <c r="AJ127" i="29"/>
  <c r="AK135" i="29"/>
  <c r="AJ136" i="29"/>
  <c r="AK147" i="29"/>
  <c r="AJ148" i="29"/>
  <c r="AJ146" i="29"/>
  <c r="AK145" i="29"/>
  <c r="AK131" i="29"/>
  <c r="AJ132" i="29"/>
  <c r="AL142" i="29"/>
  <c r="AM141" i="29"/>
  <c r="AK129" i="29"/>
  <c r="AJ130" i="29"/>
  <c r="AJ133" i="29"/>
  <c r="AI134" i="29"/>
  <c r="AK144" i="29"/>
  <c r="AL143" i="29"/>
  <c r="C49" i="30"/>
  <c r="C46" i="30"/>
  <c r="C47" i="30" s="1"/>
  <c r="C48" i="30"/>
  <c r="C41" i="30"/>
  <c r="C42" i="30"/>
  <c r="C39" i="30"/>
  <c r="C40" i="30" s="1"/>
  <c r="I26" i="30"/>
  <c r="DC30" i="29"/>
  <c r="H27" i="30"/>
  <c r="CQ31" i="29"/>
  <c r="AN54" i="29" l="1"/>
  <c r="AO53" i="29"/>
  <c r="AI92" i="29"/>
  <c r="AK35" i="29"/>
  <c r="AL35" i="29" s="1"/>
  <c r="AN71" i="29"/>
  <c r="AM72" i="29"/>
  <c r="AN43" i="29"/>
  <c r="AM44" i="29"/>
  <c r="AN57" i="29"/>
  <c r="AM58" i="29"/>
  <c r="AM124" i="29"/>
  <c r="AN123" i="29"/>
  <c r="AI96" i="29"/>
  <c r="AI7" i="29" s="1"/>
  <c r="D12" i="30" s="1"/>
  <c r="AJ95" i="29"/>
  <c r="AG48" i="29"/>
  <c r="AG9" i="29" s="1"/>
  <c r="AH100" i="29"/>
  <c r="AI8" i="29"/>
  <c r="D13" i="30" s="1"/>
  <c r="AH122" i="29"/>
  <c r="AI121" i="29"/>
  <c r="AH50" i="29"/>
  <c r="AI49" i="29"/>
  <c r="AH42" i="29"/>
  <c r="AI41" i="29"/>
  <c r="AJ101" i="29"/>
  <c r="AI102" i="29"/>
  <c r="AI112" i="29"/>
  <c r="AJ111" i="29"/>
  <c r="AO149" i="29"/>
  <c r="AN150" i="29"/>
  <c r="AJ92" i="29"/>
  <c r="AK91" i="29"/>
  <c r="AF5" i="29"/>
  <c r="AE4" i="29"/>
  <c r="AH84" i="29"/>
  <c r="AI83" i="29"/>
  <c r="AH116" i="29"/>
  <c r="AI115" i="29"/>
  <c r="AH88" i="29"/>
  <c r="AI87" i="29"/>
  <c r="AH94" i="29"/>
  <c r="AI93" i="29"/>
  <c r="AI82" i="29"/>
  <c r="AJ81" i="29"/>
  <c r="AI86" i="29"/>
  <c r="AJ85" i="29"/>
  <c r="AH104" i="29"/>
  <c r="AI103" i="29"/>
  <c r="AH106" i="29"/>
  <c r="AI105" i="29"/>
  <c r="AI118" i="29"/>
  <c r="AJ117" i="29"/>
  <c r="AH52" i="29"/>
  <c r="AI51" i="29"/>
  <c r="AH68" i="29"/>
  <c r="AI67" i="29"/>
  <c r="AJ107" i="29"/>
  <c r="AI108" i="29"/>
  <c r="AH78" i="29"/>
  <c r="AI77" i="29"/>
  <c r="AH80" i="29"/>
  <c r="AI79" i="29"/>
  <c r="AI114" i="29"/>
  <c r="AI22" i="29" s="1"/>
  <c r="AJ113" i="29"/>
  <c r="AH90" i="29"/>
  <c r="AI89" i="29"/>
  <c r="AH110" i="29"/>
  <c r="AI109" i="29"/>
  <c r="AJ55" i="29"/>
  <c r="AI56" i="29"/>
  <c r="AI40" i="29"/>
  <c r="AJ39" i="29"/>
  <c r="AH120" i="29"/>
  <c r="AI119" i="29"/>
  <c r="AI63" i="29"/>
  <c r="AI64" i="29" s="1"/>
  <c r="AH38" i="29"/>
  <c r="AH34" i="29" s="1"/>
  <c r="AI37" i="29"/>
  <c r="AJ70" i="29"/>
  <c r="AK69" i="29"/>
  <c r="AI66" i="29"/>
  <c r="AI12" i="29" s="1"/>
  <c r="D23" i="30" s="1"/>
  <c r="AJ65" i="29"/>
  <c r="AL131" i="29"/>
  <c r="AK132" i="29"/>
  <c r="AL135" i="29"/>
  <c r="AK136" i="29"/>
  <c r="AL145" i="29"/>
  <c r="AK146" i="29"/>
  <c r="AJ128" i="29"/>
  <c r="AK126" i="29" s="1"/>
  <c r="AK127" i="29"/>
  <c r="AM143" i="29"/>
  <c r="AL144" i="29"/>
  <c r="AJ134" i="29"/>
  <c r="AK133" i="29"/>
  <c r="AM137" i="29"/>
  <c r="AL138" i="29"/>
  <c r="AL129" i="29"/>
  <c r="AK130" i="29"/>
  <c r="AL147" i="29"/>
  <c r="AK148" i="29"/>
  <c r="AN141" i="29"/>
  <c r="AM142" i="29"/>
  <c r="AL140" i="29"/>
  <c r="AM139" i="29"/>
  <c r="J26" i="30"/>
  <c r="DO30" i="29"/>
  <c r="I27" i="30"/>
  <c r="DC31" i="29"/>
  <c r="DC32" i="29" s="1"/>
  <c r="J25" i="30" s="1"/>
  <c r="CQ32" i="29"/>
  <c r="I25" i="30" s="1"/>
  <c r="AO54" i="29" l="1"/>
  <c r="AP53" i="29"/>
  <c r="AK36" i="29"/>
  <c r="AO57" i="29"/>
  <c r="AN58" i="29"/>
  <c r="AN44" i="29"/>
  <c r="AO43" i="29"/>
  <c r="AO123" i="29"/>
  <c r="AN124" i="29"/>
  <c r="AN72" i="29"/>
  <c r="AO71" i="29"/>
  <c r="D11" i="30"/>
  <c r="AJ96" i="29"/>
  <c r="AJ7" i="29" s="1"/>
  <c r="AK95" i="29"/>
  <c r="AH48" i="29"/>
  <c r="AH9" i="29" s="1"/>
  <c r="AJ121" i="29"/>
  <c r="AI122" i="29"/>
  <c r="AI100" i="29"/>
  <c r="AI14" i="29" s="1"/>
  <c r="AI15" i="29" s="1"/>
  <c r="D24" i="30" s="1"/>
  <c r="AJ8" i="29"/>
  <c r="AJ49" i="29"/>
  <c r="AI50" i="29"/>
  <c r="AJ41" i="29"/>
  <c r="AI42" i="29"/>
  <c r="AK81" i="29"/>
  <c r="AJ82" i="29"/>
  <c r="AJ114" i="29"/>
  <c r="AK113" i="29"/>
  <c r="AJ67" i="29"/>
  <c r="AI68" i="29"/>
  <c r="AI94" i="29"/>
  <c r="AJ93" i="29"/>
  <c r="AJ83" i="29"/>
  <c r="AI84" i="29"/>
  <c r="AJ105" i="29"/>
  <c r="AI106" i="29"/>
  <c r="AP149" i="29"/>
  <c r="AO150" i="29"/>
  <c r="AI38" i="29"/>
  <c r="AI34" i="29" s="1"/>
  <c r="AJ37" i="29"/>
  <c r="AJ89" i="29"/>
  <c r="AI90" i="29"/>
  <c r="AJ115" i="29"/>
  <c r="AI116" i="29"/>
  <c r="AK39" i="29"/>
  <c r="AJ40" i="29"/>
  <c r="AJ108" i="29"/>
  <c r="AK107" i="29"/>
  <c r="AK55" i="29"/>
  <c r="AJ56" i="29"/>
  <c r="AJ79" i="29"/>
  <c r="AI80" i="29"/>
  <c r="AI52" i="29"/>
  <c r="AJ51" i="29"/>
  <c r="AI104" i="29"/>
  <c r="AJ103" i="29"/>
  <c r="AJ102" i="29"/>
  <c r="AK101" i="29"/>
  <c r="AK70" i="29"/>
  <c r="AL69" i="29"/>
  <c r="AJ63" i="29"/>
  <c r="AJ64" i="29" s="1"/>
  <c r="AI11" i="29"/>
  <c r="D22" i="30" s="1"/>
  <c r="AM35" i="29"/>
  <c r="AL36" i="29"/>
  <c r="AF4" i="29"/>
  <c r="AF3" i="29" s="1"/>
  <c r="AG5" i="29"/>
  <c r="AK111" i="29"/>
  <c r="AJ112" i="29"/>
  <c r="AJ109" i="29"/>
  <c r="AI110" i="29"/>
  <c r="AJ77" i="29"/>
  <c r="AI78" i="29"/>
  <c r="AJ118" i="29"/>
  <c r="AK117" i="29"/>
  <c r="AK85" i="29"/>
  <c r="AJ86" i="29"/>
  <c r="AI88" i="29"/>
  <c r="AJ87" i="29"/>
  <c r="AK92" i="29"/>
  <c r="AL91" i="29"/>
  <c r="AK65" i="29"/>
  <c r="AJ66" i="29"/>
  <c r="AI120" i="29"/>
  <c r="AJ119" i="29"/>
  <c r="AN137" i="29"/>
  <c r="AM138" i="29"/>
  <c r="AN139" i="29"/>
  <c r="AM140" i="29"/>
  <c r="AN142" i="29"/>
  <c r="AO141" i="29"/>
  <c r="AM145" i="29"/>
  <c r="AL146" i="29"/>
  <c r="AK128" i="29"/>
  <c r="AL126" i="29" s="1"/>
  <c r="AL127" i="29"/>
  <c r="AL133" i="29"/>
  <c r="AK134" i="29"/>
  <c r="AM135" i="29"/>
  <c r="AL136" i="29"/>
  <c r="AM147" i="29"/>
  <c r="AL148" i="29"/>
  <c r="AM129" i="29"/>
  <c r="AL130" i="29"/>
  <c r="AM144" i="29"/>
  <c r="AN143" i="29"/>
  <c r="AM131" i="29"/>
  <c r="AL132" i="29"/>
  <c r="J27" i="30"/>
  <c r="DO31" i="29"/>
  <c r="K26" i="30"/>
  <c r="EA30" i="29"/>
  <c r="AP54" i="29" l="1"/>
  <c r="AQ53" i="29"/>
  <c r="AO72" i="29"/>
  <c r="AP71" i="29"/>
  <c r="AP123" i="29"/>
  <c r="AO124" i="29"/>
  <c r="AO44" i="29"/>
  <c r="AP43" i="29"/>
  <c r="AO58" i="29"/>
  <c r="AP57" i="29"/>
  <c r="AK96" i="29"/>
  <c r="AK7" i="29" s="1"/>
  <c r="AL95" i="29"/>
  <c r="AI48" i="29"/>
  <c r="AI9" i="29" s="1"/>
  <c r="D16" i="30"/>
  <c r="AK8" i="29"/>
  <c r="AJ122" i="29"/>
  <c r="AK121" i="29"/>
  <c r="AK49" i="29"/>
  <c r="AJ50" i="29"/>
  <c r="AK41" i="29"/>
  <c r="AJ42" i="29"/>
  <c r="AJ100" i="29"/>
  <c r="AK115" i="29"/>
  <c r="AJ116" i="29"/>
  <c r="AJ106" i="29"/>
  <c r="AK105" i="29"/>
  <c r="AK67" i="29"/>
  <c r="AJ68" i="29"/>
  <c r="AJ110" i="29"/>
  <c r="AK109" i="29"/>
  <c r="AM36" i="29"/>
  <c r="AN35" i="29"/>
  <c r="AK114" i="29"/>
  <c r="AL113" i="29"/>
  <c r="AJ78" i="29"/>
  <c r="AK77" i="29"/>
  <c r="AJ84" i="29"/>
  <c r="AK83" i="29"/>
  <c r="AK86" i="29"/>
  <c r="AL85" i="29"/>
  <c r="AK63" i="29"/>
  <c r="AK64" i="29" s="1"/>
  <c r="AJ104" i="29"/>
  <c r="AK103" i="29"/>
  <c r="AL107" i="29"/>
  <c r="AK108" i="29"/>
  <c r="AJ38" i="29"/>
  <c r="AJ34" i="29" s="1"/>
  <c r="AK37" i="29"/>
  <c r="AJ94" i="29"/>
  <c r="AK93" i="29"/>
  <c r="AK87" i="29"/>
  <c r="AJ88" i="29"/>
  <c r="AJ90" i="29"/>
  <c r="AK89" i="29"/>
  <c r="AK118" i="29"/>
  <c r="AL117" i="29"/>
  <c r="AK79" i="29"/>
  <c r="AJ80" i="29"/>
  <c r="AJ120" i="29"/>
  <c r="AK119" i="29"/>
  <c r="AL55" i="29"/>
  <c r="AK56" i="29"/>
  <c r="AK66" i="29"/>
  <c r="AL65" i="29"/>
  <c r="AL111" i="29"/>
  <c r="AK112" i="29"/>
  <c r="AM69" i="29"/>
  <c r="AL70" i="29"/>
  <c r="AK51" i="29"/>
  <c r="AJ52" i="29"/>
  <c r="AL81" i="29"/>
  <c r="AK82" i="29"/>
  <c r="AK102" i="29"/>
  <c r="AL101" i="29"/>
  <c r="AL92" i="29"/>
  <c r="AM91" i="29"/>
  <c r="AH5" i="29"/>
  <c r="AG4" i="29"/>
  <c r="AK40" i="29"/>
  <c r="AL39" i="29"/>
  <c r="AQ149" i="29"/>
  <c r="AP150" i="29"/>
  <c r="AN131" i="29"/>
  <c r="AM132" i="29"/>
  <c r="AM136" i="29"/>
  <c r="AN135" i="29"/>
  <c r="AN138" i="29"/>
  <c r="AO137" i="29"/>
  <c r="AO143" i="29"/>
  <c r="AN144" i="29"/>
  <c r="AP141" i="29"/>
  <c r="AO142" i="29"/>
  <c r="AN147" i="29"/>
  <c r="AM148" i="29"/>
  <c r="AM133" i="29"/>
  <c r="AL134" i="29"/>
  <c r="AN145" i="29"/>
  <c r="AM146" i="29"/>
  <c r="AL128" i="29"/>
  <c r="AM126" i="29" s="1"/>
  <c r="AM127" i="29"/>
  <c r="AN129" i="29"/>
  <c r="AM130" i="29"/>
  <c r="AN140" i="29"/>
  <c r="AO139" i="29"/>
  <c r="K27" i="30"/>
  <c r="EA31" i="29"/>
  <c r="L27" i="30" s="1"/>
  <c r="DO32" i="29"/>
  <c r="K25" i="30" s="1"/>
  <c r="L26" i="30"/>
  <c r="AQ54" i="29" l="1"/>
  <c r="AR53" i="29"/>
  <c r="AP44" i="29"/>
  <c r="AQ43" i="29"/>
  <c r="AP58" i="29"/>
  <c r="AQ57" i="29"/>
  <c r="AQ123" i="29"/>
  <c r="AP124" i="29"/>
  <c r="AP72" i="29"/>
  <c r="AQ71" i="29"/>
  <c r="AL96" i="29"/>
  <c r="AL7" i="29" s="1"/>
  <c r="AM95" i="29"/>
  <c r="AJ48" i="29"/>
  <c r="AJ9" i="29" s="1"/>
  <c r="AL121" i="29"/>
  <c r="AK122" i="29"/>
  <c r="AL8" i="29"/>
  <c r="AK50" i="29"/>
  <c r="AL49" i="29"/>
  <c r="AL41" i="29"/>
  <c r="AK42" i="29"/>
  <c r="AK100" i="29"/>
  <c r="AL109" i="29"/>
  <c r="AK110" i="29"/>
  <c r="D15" i="30"/>
  <c r="D14" i="30" s="1"/>
  <c r="AI26" i="29"/>
  <c r="D19" i="30" s="1"/>
  <c r="AI10" i="29"/>
  <c r="AL66" i="29"/>
  <c r="AM65" i="29"/>
  <c r="AL93" i="29"/>
  <c r="AK94" i="29"/>
  <c r="AM111" i="29"/>
  <c r="AL112" i="29"/>
  <c r="AM81" i="29"/>
  <c r="AL82" i="29"/>
  <c r="AL79" i="29"/>
  <c r="AK80" i="29"/>
  <c r="AL63" i="29"/>
  <c r="AL64" i="29" s="1"/>
  <c r="AK78" i="29"/>
  <c r="AL77" i="29"/>
  <c r="AI5" i="29"/>
  <c r="AH4" i="29"/>
  <c r="AL118" i="29"/>
  <c r="AM117" i="29"/>
  <c r="AL37" i="29"/>
  <c r="AK38" i="29"/>
  <c r="AK34" i="29" s="1"/>
  <c r="AK68" i="29"/>
  <c r="AL67" i="29"/>
  <c r="AM92" i="29"/>
  <c r="AN91" i="29"/>
  <c r="AL51" i="29"/>
  <c r="AK52" i="29"/>
  <c r="AL56" i="29"/>
  <c r="AM55" i="29"/>
  <c r="AM85" i="29"/>
  <c r="AL86" i="29"/>
  <c r="AL114" i="29"/>
  <c r="AM113" i="29"/>
  <c r="AL105" i="29"/>
  <c r="AK106" i="29"/>
  <c r="AL89" i="29"/>
  <c r="AK90" i="29"/>
  <c r="AL87" i="29"/>
  <c r="AK88" i="29"/>
  <c r="AR149" i="29"/>
  <c r="AQ150" i="29"/>
  <c r="AN69" i="29"/>
  <c r="AM70" i="29"/>
  <c r="AL108" i="29"/>
  <c r="AM107" i="29"/>
  <c r="AK84" i="29"/>
  <c r="AL83" i="29"/>
  <c r="AN36" i="29"/>
  <c r="AO35" i="29"/>
  <c r="AM39" i="29"/>
  <c r="AL40" i="29"/>
  <c r="AM101" i="29"/>
  <c r="AL102" i="29"/>
  <c r="AL119" i="29"/>
  <c r="AK120" i="29"/>
  <c r="AK104" i="29"/>
  <c r="AL103" i="29"/>
  <c r="AL115" i="29"/>
  <c r="AK116" i="29"/>
  <c r="AP139" i="29"/>
  <c r="AO140" i="29"/>
  <c r="AN133" i="29"/>
  <c r="AM134" i="29"/>
  <c r="AO129" i="29"/>
  <c r="AN130" i="29"/>
  <c r="AN148" i="29"/>
  <c r="AO147" i="29"/>
  <c r="AP137" i="29"/>
  <c r="AO138" i="29"/>
  <c r="AM128" i="29"/>
  <c r="AN126" i="29" s="1"/>
  <c r="AN127" i="29"/>
  <c r="AO135" i="29"/>
  <c r="AN136" i="29"/>
  <c r="AP142" i="29"/>
  <c r="AQ141" i="29"/>
  <c r="AO145" i="29"/>
  <c r="AN146" i="29"/>
  <c r="AP143" i="29"/>
  <c r="AO144" i="29"/>
  <c r="AN132" i="29"/>
  <c r="AO131" i="29"/>
  <c r="EA32" i="29"/>
  <c r="L25" i="30" s="1"/>
  <c r="AR54" i="29" l="1"/>
  <c r="AS53" i="29"/>
  <c r="AQ72" i="29"/>
  <c r="AR71" i="29"/>
  <c r="AR123" i="29"/>
  <c r="AQ124" i="29"/>
  <c r="AQ58" i="29"/>
  <c r="AR57" i="29"/>
  <c r="AQ44" i="29"/>
  <c r="AR43" i="29"/>
  <c r="AM96" i="29"/>
  <c r="AM7" i="29" s="1"/>
  <c r="AN95" i="29"/>
  <c r="AK48" i="29"/>
  <c r="AK9" i="29" s="1"/>
  <c r="AM8" i="29"/>
  <c r="AM121" i="29"/>
  <c r="AL122" i="29"/>
  <c r="AM49" i="29"/>
  <c r="AL50" i="29"/>
  <c r="AM41" i="29"/>
  <c r="AL42" i="29"/>
  <c r="AL100" i="29"/>
  <c r="AM89" i="29"/>
  <c r="AL90" i="29"/>
  <c r="AN85" i="29"/>
  <c r="AM86" i="29"/>
  <c r="AL80" i="29"/>
  <c r="AM79" i="29"/>
  <c r="AM66" i="29"/>
  <c r="AN65" i="29"/>
  <c r="AM56" i="29"/>
  <c r="AN55" i="29"/>
  <c r="AM93" i="29"/>
  <c r="AL94" i="29"/>
  <c r="AM40" i="29"/>
  <c r="AN39" i="29"/>
  <c r="AM103" i="29"/>
  <c r="AL104" i="29"/>
  <c r="AP35" i="29"/>
  <c r="AO36" i="29"/>
  <c r="AL68" i="29"/>
  <c r="AM67" i="29"/>
  <c r="AM77" i="29"/>
  <c r="AL78" i="29"/>
  <c r="AN117" i="29"/>
  <c r="AM118" i="29"/>
  <c r="AL116" i="29"/>
  <c r="AM115" i="29"/>
  <c r="D21" i="30"/>
  <c r="AI13" i="29"/>
  <c r="AS149" i="29"/>
  <c r="AR150" i="29"/>
  <c r="AM105" i="29"/>
  <c r="AL106" i="29"/>
  <c r="AM51" i="29"/>
  <c r="AL52" i="29"/>
  <c r="AM112" i="29"/>
  <c r="AN111" i="29"/>
  <c r="AN107" i="29"/>
  <c r="AM108" i="29"/>
  <c r="AO69" i="29"/>
  <c r="AN70" i="29"/>
  <c r="AM82" i="29"/>
  <c r="AN81" i="29"/>
  <c r="AL84" i="29"/>
  <c r="AM83" i="29"/>
  <c r="AN113" i="29"/>
  <c r="AM114" i="29"/>
  <c r="AO91" i="29"/>
  <c r="AN92" i="29"/>
  <c r="AM63" i="29"/>
  <c r="AM64" i="29" s="1"/>
  <c r="AN101" i="29"/>
  <c r="AM102" i="29"/>
  <c r="D10" i="30"/>
  <c r="AJ5" i="29"/>
  <c r="AI4" i="29"/>
  <c r="AI3" i="29" s="1"/>
  <c r="AM119" i="29"/>
  <c r="AL120" i="29"/>
  <c r="AL88" i="29"/>
  <c r="AM87" i="29"/>
  <c r="AL38" i="29"/>
  <c r="AL34" i="29" s="1"/>
  <c r="AM37" i="29"/>
  <c r="AL110" i="29"/>
  <c r="AM109" i="29"/>
  <c r="AP145" i="29"/>
  <c r="AO146" i="29"/>
  <c r="AP135" i="29"/>
  <c r="AO136" i="29"/>
  <c r="AP129" i="29"/>
  <c r="AO130" i="29"/>
  <c r="AQ137" i="29"/>
  <c r="AP138" i="29"/>
  <c r="AN128" i="29"/>
  <c r="AO126" i="29" s="1"/>
  <c r="AO127" i="29"/>
  <c r="AQ143" i="29"/>
  <c r="AP144" i="29"/>
  <c r="AP131" i="29"/>
  <c r="AO132" i="29"/>
  <c r="AO133" i="29"/>
  <c r="AN134" i="29"/>
  <c r="AR141" i="29"/>
  <c r="AQ142" i="29"/>
  <c r="AO148" i="29"/>
  <c r="AP147" i="29"/>
  <c r="AQ139" i="29"/>
  <c r="AP140" i="29"/>
  <c r="AS54" i="29" l="1"/>
  <c r="AT53" i="29"/>
  <c r="AR58" i="29"/>
  <c r="AS57" i="29"/>
  <c r="AS43" i="29"/>
  <c r="AR44" i="29"/>
  <c r="AR124" i="29"/>
  <c r="AS123" i="29"/>
  <c r="AR72" i="29"/>
  <c r="AS71" i="29"/>
  <c r="AN96" i="29"/>
  <c r="AN7" i="29" s="1"/>
  <c r="AO95" i="29"/>
  <c r="AL48" i="29"/>
  <c r="AL9" i="29" s="1"/>
  <c r="AN121" i="29"/>
  <c r="AM122" i="29"/>
  <c r="AN8" i="29"/>
  <c r="AM50" i="29"/>
  <c r="AN49" i="29"/>
  <c r="AM42" i="29"/>
  <c r="AN41" i="29"/>
  <c r="AM100" i="29"/>
  <c r="AN89" i="29"/>
  <c r="AM90" i="29"/>
  <c r="AM116" i="29"/>
  <c r="AN115" i="29"/>
  <c r="AN93" i="29"/>
  <c r="AM94" i="29"/>
  <c r="AN79" i="29"/>
  <c r="AM80" i="29"/>
  <c r="AN109" i="29"/>
  <c r="AM110" i="29"/>
  <c r="AP91" i="29"/>
  <c r="AO92" i="29"/>
  <c r="AM52" i="29"/>
  <c r="AN51" i="29"/>
  <c r="AQ35" i="29"/>
  <c r="AP36" i="29"/>
  <c r="AK5" i="29"/>
  <c r="AJ4" i="29"/>
  <c r="AN37" i="29"/>
  <c r="AM38" i="29"/>
  <c r="AM34" i="29" s="1"/>
  <c r="D30" i="30"/>
  <c r="D44" i="30"/>
  <c r="D37" i="30"/>
  <c r="AN114" i="29"/>
  <c r="AO113" i="29"/>
  <c r="AO70" i="29"/>
  <c r="AP69" i="29"/>
  <c r="AM106" i="29"/>
  <c r="AN105" i="29"/>
  <c r="AO117" i="29"/>
  <c r="AN118" i="29"/>
  <c r="AN103" i="29"/>
  <c r="AM104" i="29"/>
  <c r="AM120" i="29"/>
  <c r="AN119" i="29"/>
  <c r="AM84" i="29"/>
  <c r="AN83" i="29"/>
  <c r="AO55" i="29"/>
  <c r="AN56" i="29"/>
  <c r="AM88" i="29"/>
  <c r="AN87" i="29"/>
  <c r="AO101" i="29"/>
  <c r="AN102" i="29"/>
  <c r="AN108" i="29"/>
  <c r="AO107" i="29"/>
  <c r="AT149" i="29"/>
  <c r="AS150" i="29"/>
  <c r="AM78" i="29"/>
  <c r="AN77" i="29"/>
  <c r="AN40" i="29"/>
  <c r="AO39" i="29"/>
  <c r="AN86" i="29"/>
  <c r="AO85" i="29"/>
  <c r="AN82" i="29"/>
  <c r="AO81" i="29"/>
  <c r="AO111" i="29"/>
  <c r="AN112" i="29"/>
  <c r="D20" i="30"/>
  <c r="AI27" i="29"/>
  <c r="AM68" i="29"/>
  <c r="AN67" i="29"/>
  <c r="AO65" i="29"/>
  <c r="AN66" i="29"/>
  <c r="AN63" i="29"/>
  <c r="AN64" i="29" s="1"/>
  <c r="AR139" i="29"/>
  <c r="AQ140" i="29"/>
  <c r="AQ131" i="29"/>
  <c r="AP132" i="29"/>
  <c r="AQ138" i="29"/>
  <c r="AR137" i="29"/>
  <c r="AQ147" i="29"/>
  <c r="AP148" i="29"/>
  <c r="AQ129" i="29"/>
  <c r="AP130" i="29"/>
  <c r="AQ144" i="29"/>
  <c r="AR143" i="29"/>
  <c r="AQ135" i="29"/>
  <c r="AP136" i="29"/>
  <c r="AS141" i="29"/>
  <c r="AR142" i="29"/>
  <c r="AO128" i="29"/>
  <c r="AP126" i="29" s="1"/>
  <c r="AP127" i="29"/>
  <c r="AP133" i="29"/>
  <c r="AO134" i="29"/>
  <c r="AQ145" i="29"/>
  <c r="AP146" i="29"/>
  <c r="AT54" i="29" l="1"/>
  <c r="AU53" i="29"/>
  <c r="AT123" i="29"/>
  <c r="AS124" i="29"/>
  <c r="AS44" i="29"/>
  <c r="AT43" i="29"/>
  <c r="AS72" i="29"/>
  <c r="AT71" i="29"/>
  <c r="AS58" i="29"/>
  <c r="AT57" i="29"/>
  <c r="AO96" i="29"/>
  <c r="AO7" i="29" s="1"/>
  <c r="AP95" i="29"/>
  <c r="AM48" i="29"/>
  <c r="AM9" i="29" s="1"/>
  <c r="AO8" i="29"/>
  <c r="AO121" i="29"/>
  <c r="AN122" i="29"/>
  <c r="AN50" i="29"/>
  <c r="AO49" i="29"/>
  <c r="AN42" i="29"/>
  <c r="AO41" i="29"/>
  <c r="AN100" i="29"/>
  <c r="AO82" i="29"/>
  <c r="AP81" i="29"/>
  <c r="AQ36" i="29"/>
  <c r="AR35" i="29"/>
  <c r="AO79" i="29"/>
  <c r="AN80" i="29"/>
  <c r="AP65" i="29"/>
  <c r="AO66" i="29"/>
  <c r="AU149" i="29"/>
  <c r="AT150" i="29"/>
  <c r="AN120" i="29"/>
  <c r="AO119" i="29"/>
  <c r="AO118" i="29"/>
  <c r="AP117" i="29"/>
  <c r="AN52" i="29"/>
  <c r="AO51" i="29"/>
  <c r="AO67" i="29"/>
  <c r="AN68" i="29"/>
  <c r="AP85" i="29"/>
  <c r="AO86" i="29"/>
  <c r="AP107" i="29"/>
  <c r="AO108" i="29"/>
  <c r="AO105" i="29"/>
  <c r="AN106" i="29"/>
  <c r="AO93" i="29"/>
  <c r="AN94" i="29"/>
  <c r="AN116" i="29"/>
  <c r="AO115" i="29"/>
  <c r="AI28" i="29"/>
  <c r="D17" i="30" s="1"/>
  <c r="D31" i="30" s="1"/>
  <c r="D18" i="30"/>
  <c r="AP39" i="29"/>
  <c r="AO40" i="29"/>
  <c r="AP70" i="29"/>
  <c r="AQ69" i="29"/>
  <c r="AN38" i="29"/>
  <c r="AN34" i="29" s="1"/>
  <c r="AO37" i="29"/>
  <c r="AP92" i="29"/>
  <c r="AQ91" i="29"/>
  <c r="AP111" i="29"/>
  <c r="AO112" i="29"/>
  <c r="AO102" i="29"/>
  <c r="AP101" i="29"/>
  <c r="AO56" i="29"/>
  <c r="AP55" i="29"/>
  <c r="AN104" i="29"/>
  <c r="AO103" i="29"/>
  <c r="AO63" i="29"/>
  <c r="AO64" i="29" s="1"/>
  <c r="AO77" i="29"/>
  <c r="AN78" i="29"/>
  <c r="AO87" i="29"/>
  <c r="AN88" i="29"/>
  <c r="AO83" i="29"/>
  <c r="AN84" i="29"/>
  <c r="AP113" i="29"/>
  <c r="AO114" i="29"/>
  <c r="AL5" i="29"/>
  <c r="AK4" i="29"/>
  <c r="AO109" i="29"/>
  <c r="AN110" i="29"/>
  <c r="AN90" i="29"/>
  <c r="AO89" i="29"/>
  <c r="AQ146" i="29"/>
  <c r="AR145" i="29"/>
  <c r="AR135" i="29"/>
  <c r="AQ136" i="29"/>
  <c r="AR147" i="29"/>
  <c r="AQ148" i="29"/>
  <c r="AS143" i="29"/>
  <c r="AR144" i="29"/>
  <c r="AS137" i="29"/>
  <c r="AR138" i="29"/>
  <c r="AP134" i="29"/>
  <c r="AQ133" i="29"/>
  <c r="AP128" i="29"/>
  <c r="AQ126" i="29" s="1"/>
  <c r="AQ127" i="29"/>
  <c r="AQ130" i="29"/>
  <c r="AR129" i="29"/>
  <c r="AR131" i="29"/>
  <c r="AQ132" i="29"/>
  <c r="AT141" i="29"/>
  <c r="AS142" i="29"/>
  <c r="AS139" i="29"/>
  <c r="AR140" i="29"/>
  <c r="AU54" i="29" l="1"/>
  <c r="AV53" i="29"/>
  <c r="AT72" i="29"/>
  <c r="AU71" i="29"/>
  <c r="AT58" i="29"/>
  <c r="AU57" i="29"/>
  <c r="AU43" i="29"/>
  <c r="AT44" i="29"/>
  <c r="AU123" i="29"/>
  <c r="AT124" i="29"/>
  <c r="AP96" i="29"/>
  <c r="AP7" i="29" s="1"/>
  <c r="AQ95" i="29"/>
  <c r="AN48" i="29"/>
  <c r="AN9" i="29" s="1"/>
  <c r="AO122" i="29"/>
  <c r="AP121" i="29"/>
  <c r="AP8" i="29"/>
  <c r="AO50" i="29"/>
  <c r="AP49" i="29"/>
  <c r="AP41" i="29"/>
  <c r="AO42" i="29"/>
  <c r="AO100" i="29"/>
  <c r="AQ113" i="29"/>
  <c r="AP114" i="29"/>
  <c r="AP63" i="29"/>
  <c r="AP64" i="29" s="1"/>
  <c r="AQ111" i="29"/>
  <c r="AP112" i="29"/>
  <c r="AP119" i="29"/>
  <c r="AO120" i="29"/>
  <c r="AO80" i="29"/>
  <c r="AP79" i="29"/>
  <c r="AP89" i="29"/>
  <c r="AO90" i="29"/>
  <c r="AO104" i="29"/>
  <c r="AP103" i="29"/>
  <c r="AQ92" i="29"/>
  <c r="AR91" i="29"/>
  <c r="AQ39" i="29"/>
  <c r="AP40" i="29"/>
  <c r="AQ85" i="29"/>
  <c r="AP86" i="29"/>
  <c r="AR36" i="29"/>
  <c r="AS35" i="29"/>
  <c r="AO84" i="29"/>
  <c r="AP83" i="29"/>
  <c r="D38" i="30"/>
  <c r="D45" i="30"/>
  <c r="AQ107" i="29"/>
  <c r="AP108" i="29"/>
  <c r="AQ55" i="29"/>
  <c r="AP56" i="29"/>
  <c r="AP37" i="29"/>
  <c r="AO38" i="29"/>
  <c r="AO34" i="29" s="1"/>
  <c r="D35" i="30"/>
  <c r="D32" i="30"/>
  <c r="D33" i="30" s="1"/>
  <c r="D34" i="30"/>
  <c r="AP93" i="29"/>
  <c r="AO94" i="29"/>
  <c r="AP67" i="29"/>
  <c r="AO68" i="29"/>
  <c r="AP109" i="29"/>
  <c r="AO110" i="29"/>
  <c r="AO88" i="29"/>
  <c r="AP87" i="29"/>
  <c r="AP115" i="29"/>
  <c r="AO116" i="29"/>
  <c r="AP51" i="29"/>
  <c r="AO52" i="29"/>
  <c r="AU150" i="29"/>
  <c r="AV149" i="29"/>
  <c r="AP102" i="29"/>
  <c r="AQ101" i="29"/>
  <c r="AQ70" i="29"/>
  <c r="AR69" i="29"/>
  <c r="AO106" i="29"/>
  <c r="AP105" i="29"/>
  <c r="AP82" i="29"/>
  <c r="AQ81" i="29"/>
  <c r="AM5" i="29"/>
  <c r="AL4" i="29"/>
  <c r="AL3" i="29" s="1"/>
  <c r="AO78" i="29"/>
  <c r="AP77" i="29"/>
  <c r="AP118" i="29"/>
  <c r="AQ117" i="29"/>
  <c r="AQ65" i="29"/>
  <c r="AP66" i="29"/>
  <c r="AS140" i="29"/>
  <c r="AT139" i="29"/>
  <c r="AS144" i="29"/>
  <c r="AT143" i="29"/>
  <c r="AS135" i="29"/>
  <c r="AR136" i="29"/>
  <c r="AQ128" i="29"/>
  <c r="AR126" i="29" s="1"/>
  <c r="AR127" i="29"/>
  <c r="AS147" i="29"/>
  <c r="AR148" i="29"/>
  <c r="AT142" i="29"/>
  <c r="AU141" i="29"/>
  <c r="AS129" i="29"/>
  <c r="AR130" i="29"/>
  <c r="AR133" i="29"/>
  <c r="AQ134" i="29"/>
  <c r="AR146" i="29"/>
  <c r="AS145" i="29"/>
  <c r="AS131" i="29"/>
  <c r="AR132" i="29"/>
  <c r="AS138" i="29"/>
  <c r="AT137" i="29"/>
  <c r="AV54" i="29" l="1"/>
  <c r="AW53" i="29"/>
  <c r="AV123" i="29"/>
  <c r="AU124" i="29"/>
  <c r="AU44" i="29"/>
  <c r="AV43" i="29"/>
  <c r="AU72" i="29"/>
  <c r="AV71" i="29"/>
  <c r="AU58" i="29"/>
  <c r="AV57" i="29"/>
  <c r="AQ96" i="29"/>
  <c r="AQ7" i="29" s="1"/>
  <c r="AR95" i="29"/>
  <c r="AO48" i="29"/>
  <c r="AO9" i="29" s="1"/>
  <c r="AQ8" i="29"/>
  <c r="AP122" i="29"/>
  <c r="AQ121" i="29"/>
  <c r="AQ49" i="29"/>
  <c r="AP50" i="29"/>
  <c r="AP42" i="29"/>
  <c r="AQ41" i="29"/>
  <c r="AP100" i="29"/>
  <c r="AR117" i="29"/>
  <c r="AQ118" i="29"/>
  <c r="AR81" i="29"/>
  <c r="AQ82" i="29"/>
  <c r="AQ115" i="29"/>
  <c r="AP116" i="29"/>
  <c r="AQ56" i="29"/>
  <c r="AR55" i="29"/>
  <c r="AN5" i="29"/>
  <c r="AM4" i="29"/>
  <c r="AQ103" i="29"/>
  <c r="AP104" i="29"/>
  <c r="AP88" i="29"/>
  <c r="AQ87" i="29"/>
  <c r="AQ93" i="29"/>
  <c r="AP94" i="29"/>
  <c r="AR101" i="29"/>
  <c r="AQ102" i="29"/>
  <c r="AQ108" i="29"/>
  <c r="AR107" i="29"/>
  <c r="AQ86" i="29"/>
  <c r="AR85" i="29"/>
  <c r="AP90" i="29"/>
  <c r="AQ89" i="29"/>
  <c r="AR111" i="29"/>
  <c r="AQ112" i="29"/>
  <c r="AP68" i="29"/>
  <c r="AQ67" i="29"/>
  <c r="AP106" i="29"/>
  <c r="AQ105" i="29"/>
  <c r="AW149" i="29"/>
  <c r="AV150" i="29"/>
  <c r="D49" i="30"/>
  <c r="D48" i="30"/>
  <c r="D46" i="30"/>
  <c r="D47" i="30" s="1"/>
  <c r="AP80" i="29"/>
  <c r="AQ79" i="29"/>
  <c r="AQ77" i="29"/>
  <c r="AP78" i="29"/>
  <c r="AQ109" i="29"/>
  <c r="AP110" i="29"/>
  <c r="D42" i="30"/>
  <c r="D41" i="30"/>
  <c r="D39" i="30"/>
  <c r="D40" i="30" s="1"/>
  <c r="AR39" i="29"/>
  <c r="AQ40" i="29"/>
  <c r="AQ63" i="29"/>
  <c r="AQ64" i="29" s="1"/>
  <c r="AR70" i="29"/>
  <c r="AS69" i="29"/>
  <c r="AQ83" i="29"/>
  <c r="AP84" i="29"/>
  <c r="AR92" i="29"/>
  <c r="AS91" i="29"/>
  <c r="AT35" i="29"/>
  <c r="AS36" i="29"/>
  <c r="AQ66" i="29"/>
  <c r="AR65" i="29"/>
  <c r="AQ51" i="29"/>
  <c r="AP52" i="29"/>
  <c r="AP38" i="29"/>
  <c r="AP34" i="29" s="1"/>
  <c r="AQ37" i="29"/>
  <c r="AQ119" i="29"/>
  <c r="AP120" i="29"/>
  <c r="AR113" i="29"/>
  <c r="AQ114" i="29"/>
  <c r="AT129" i="29"/>
  <c r="AS130" i="29"/>
  <c r="AV141" i="29"/>
  <c r="AU142" i="29"/>
  <c r="AR128" i="29"/>
  <c r="AS126" i="29" s="1"/>
  <c r="AS127" i="29"/>
  <c r="AT131" i="29"/>
  <c r="AS132" i="29"/>
  <c r="AT135" i="29"/>
  <c r="AS136" i="29"/>
  <c r="AU137" i="29"/>
  <c r="AT138" i="29"/>
  <c r="AT145" i="29"/>
  <c r="AS146" i="29"/>
  <c r="AU143" i="29"/>
  <c r="AT144" i="29"/>
  <c r="AT140" i="29"/>
  <c r="AU139" i="29"/>
  <c r="AT147" i="29"/>
  <c r="AS148" i="29"/>
  <c r="AR134" i="29"/>
  <c r="AS133" i="29"/>
  <c r="AW54" i="29" l="1"/>
  <c r="AX53" i="29"/>
  <c r="AW71" i="29"/>
  <c r="AV72" i="29"/>
  <c r="AV58" i="29"/>
  <c r="AW57" i="29"/>
  <c r="AV44" i="29"/>
  <c r="AW43" i="29"/>
  <c r="AV124" i="29"/>
  <c r="AW123" i="29"/>
  <c r="AR96" i="29"/>
  <c r="AR7" i="29" s="1"/>
  <c r="AS95" i="29"/>
  <c r="AP48" i="29"/>
  <c r="AP9" i="29" s="1"/>
  <c r="AQ122" i="29"/>
  <c r="AR121" i="29"/>
  <c r="AR8" i="29"/>
  <c r="AR49" i="29"/>
  <c r="AQ50" i="29"/>
  <c r="AQ42" i="29"/>
  <c r="AR41" i="29"/>
  <c r="AQ100" i="29"/>
  <c r="AQ120" i="29"/>
  <c r="AR119" i="29"/>
  <c r="AU35" i="29"/>
  <c r="AT36" i="29"/>
  <c r="AX149" i="29"/>
  <c r="AW150" i="29"/>
  <c r="AQ110" i="29"/>
  <c r="AR109" i="29"/>
  <c r="AR37" i="29"/>
  <c r="AQ38" i="29"/>
  <c r="AQ34" i="29" s="1"/>
  <c r="AS92" i="29"/>
  <c r="AT91" i="29"/>
  <c r="AR77" i="29"/>
  <c r="AQ78" i="29"/>
  <c r="AQ106" i="29"/>
  <c r="AR105" i="29"/>
  <c r="AS85" i="29"/>
  <c r="AR86" i="29"/>
  <c r="AS101" i="29"/>
  <c r="AR102" i="29"/>
  <c r="AQ104" i="29"/>
  <c r="AR103" i="29"/>
  <c r="AR63" i="29"/>
  <c r="AR64" i="29" s="1"/>
  <c r="AR40" i="29"/>
  <c r="AS39" i="29"/>
  <c r="AR79" i="29"/>
  <c r="AQ80" i="29"/>
  <c r="AS81" i="29"/>
  <c r="AR82" i="29"/>
  <c r="AQ68" i="29"/>
  <c r="AR67" i="29"/>
  <c r="AR108" i="29"/>
  <c r="AS107" i="29"/>
  <c r="AR93" i="29"/>
  <c r="AQ94" i="29"/>
  <c r="AO5" i="29"/>
  <c r="AN4" i="29"/>
  <c r="AR89" i="29"/>
  <c r="AQ90" i="29"/>
  <c r="AQ52" i="29"/>
  <c r="AR51" i="29"/>
  <c r="AQ84" i="29"/>
  <c r="AR83" i="29"/>
  <c r="AQ88" i="29"/>
  <c r="AR87" i="29"/>
  <c r="AR56" i="29"/>
  <c r="AS55" i="29"/>
  <c r="AR66" i="29"/>
  <c r="AS65" i="29"/>
  <c r="AT69" i="29"/>
  <c r="AS70" i="29"/>
  <c r="AQ116" i="29"/>
  <c r="AR115" i="29"/>
  <c r="AR114" i="29"/>
  <c r="AS113" i="29"/>
  <c r="AR112" i="29"/>
  <c r="AS111" i="29"/>
  <c r="AS117" i="29"/>
  <c r="AR118" i="29"/>
  <c r="AU144" i="29"/>
  <c r="AV143" i="29"/>
  <c r="AU131" i="29"/>
  <c r="AT132" i="29"/>
  <c r="AT133" i="29"/>
  <c r="AS134" i="29"/>
  <c r="AS128" i="29"/>
  <c r="AT126" i="29" s="1"/>
  <c r="AT127" i="29"/>
  <c r="AU129" i="29"/>
  <c r="AT130" i="29"/>
  <c r="AU145" i="29"/>
  <c r="AT146" i="29"/>
  <c r="AU135" i="29"/>
  <c r="AT136" i="29"/>
  <c r="AU147" i="29"/>
  <c r="AT148" i="29"/>
  <c r="AV137" i="29"/>
  <c r="AU138" i="29"/>
  <c r="AV142" i="29"/>
  <c r="AW141" i="29"/>
  <c r="AV139" i="29"/>
  <c r="AU140" i="29"/>
  <c r="AX54" i="29" l="1"/>
  <c r="AY53" i="29"/>
  <c r="AW44" i="29"/>
  <c r="AX43" i="29"/>
  <c r="AX123" i="29"/>
  <c r="AW124" i="29"/>
  <c r="AW58" i="29"/>
  <c r="AX57" i="29"/>
  <c r="AW72" i="29"/>
  <c r="AX71" i="29"/>
  <c r="AS96" i="29"/>
  <c r="AS7" i="29" s="1"/>
  <c r="AT95" i="29"/>
  <c r="AQ48" i="29"/>
  <c r="AQ9" i="29" s="1"/>
  <c r="AS8" i="29"/>
  <c r="AR122" i="29"/>
  <c r="AS121" i="29"/>
  <c r="AR50" i="29"/>
  <c r="AS49" i="29"/>
  <c r="AR42" i="29"/>
  <c r="AS41" i="29"/>
  <c r="AR100" i="29"/>
  <c r="AU69" i="29"/>
  <c r="AT70" i="29"/>
  <c r="AP5" i="29"/>
  <c r="AO4" i="29"/>
  <c r="AO3" i="29" s="1"/>
  <c r="AS103" i="29"/>
  <c r="AR104" i="29"/>
  <c r="AS112" i="29"/>
  <c r="AT111" i="29"/>
  <c r="AS66" i="29"/>
  <c r="AT65" i="29"/>
  <c r="AS51" i="29"/>
  <c r="AR52" i="29"/>
  <c r="AS82" i="29"/>
  <c r="AT81" i="29"/>
  <c r="AR78" i="29"/>
  <c r="AS77" i="29"/>
  <c r="AS93" i="29"/>
  <c r="AR94" i="29"/>
  <c r="AT92" i="29"/>
  <c r="AU91" i="29"/>
  <c r="AY149" i="29"/>
  <c r="AX150" i="29"/>
  <c r="AS114" i="29"/>
  <c r="AT113" i="29"/>
  <c r="AT55" i="29"/>
  <c r="AS56" i="29"/>
  <c r="AT107" i="29"/>
  <c r="AS108" i="29"/>
  <c r="AS79" i="29"/>
  <c r="AR80" i="29"/>
  <c r="AT101" i="29"/>
  <c r="AS102" i="29"/>
  <c r="AR84" i="29"/>
  <c r="AS83" i="29"/>
  <c r="AT117" i="29"/>
  <c r="AS118" i="29"/>
  <c r="AS89" i="29"/>
  <c r="AR90" i="29"/>
  <c r="AT39" i="29"/>
  <c r="AS40" i="29"/>
  <c r="AU36" i="29"/>
  <c r="AV35" i="29"/>
  <c r="AS115" i="29"/>
  <c r="AR116" i="29"/>
  <c r="AS87" i="29"/>
  <c r="AR88" i="29"/>
  <c r="AR68" i="29"/>
  <c r="AS67" i="29"/>
  <c r="AS86" i="29"/>
  <c r="AT85" i="29"/>
  <c r="AS37" i="29"/>
  <c r="AR38" i="29"/>
  <c r="AR34" i="29" s="1"/>
  <c r="AR120" i="29"/>
  <c r="AS119" i="29"/>
  <c r="AS63" i="29"/>
  <c r="AS64" i="29" s="1"/>
  <c r="AS105" i="29"/>
  <c r="AR106" i="29"/>
  <c r="AS109" i="29"/>
  <c r="AR110" i="29"/>
  <c r="AV140" i="29"/>
  <c r="AW139" i="29"/>
  <c r="AU136" i="29"/>
  <c r="AV135" i="29"/>
  <c r="AU133" i="29"/>
  <c r="AT134" i="29"/>
  <c r="AX141" i="29"/>
  <c r="AW142" i="29"/>
  <c r="AV145" i="29"/>
  <c r="AU146" i="29"/>
  <c r="AV131" i="29"/>
  <c r="AU132" i="29"/>
  <c r="AW143" i="29"/>
  <c r="AV144" i="29"/>
  <c r="AV129" i="29"/>
  <c r="AU130" i="29"/>
  <c r="AV138" i="29"/>
  <c r="AW137" i="29"/>
  <c r="AT128" i="29"/>
  <c r="AU126" i="29" s="1"/>
  <c r="AU127" i="29"/>
  <c r="AV147" i="29"/>
  <c r="AU148" i="29"/>
  <c r="AY54" i="29" l="1"/>
  <c r="AZ53" i="29"/>
  <c r="AX58" i="29"/>
  <c r="AY57" i="29"/>
  <c r="AX72" i="29"/>
  <c r="AY71" i="29"/>
  <c r="AX124" i="29"/>
  <c r="AY123" i="29"/>
  <c r="AY43" i="29"/>
  <c r="AX44" i="29"/>
  <c r="AT96" i="29"/>
  <c r="AT7" i="29" s="1"/>
  <c r="AU95" i="29"/>
  <c r="AR48" i="29"/>
  <c r="AR9" i="29" s="1"/>
  <c r="AS122" i="29"/>
  <c r="AT121" i="29"/>
  <c r="AT8" i="29"/>
  <c r="AS50" i="29"/>
  <c r="AT49" i="29"/>
  <c r="AT41" i="29"/>
  <c r="AS42" i="29"/>
  <c r="AS100" i="29"/>
  <c r="AT63" i="29"/>
  <c r="AT64" i="29" s="1"/>
  <c r="AS68" i="29"/>
  <c r="AT67" i="29"/>
  <c r="AV91" i="29"/>
  <c r="AU92" i="29"/>
  <c r="AU117" i="29"/>
  <c r="AT118" i="29"/>
  <c r="AT108" i="29"/>
  <c r="AU107" i="29"/>
  <c r="AT82" i="29"/>
  <c r="AU81" i="29"/>
  <c r="AT89" i="29"/>
  <c r="AS90" i="29"/>
  <c r="AZ149" i="29"/>
  <c r="AY150" i="29"/>
  <c r="AT112" i="29"/>
  <c r="AU111" i="29"/>
  <c r="AS120" i="29"/>
  <c r="AT119" i="29"/>
  <c r="AV36" i="29"/>
  <c r="AW35" i="29"/>
  <c r="AT83" i="29"/>
  <c r="AS84" i="29"/>
  <c r="AS104" i="29"/>
  <c r="AT103" i="29"/>
  <c r="AT115" i="29"/>
  <c r="AS116" i="29"/>
  <c r="AT79" i="29"/>
  <c r="AS80" i="29"/>
  <c r="AS78" i="29"/>
  <c r="AT77" i="29"/>
  <c r="AT56" i="29"/>
  <c r="AU55" i="29"/>
  <c r="AU113" i="29"/>
  <c r="AT114" i="29"/>
  <c r="AT93" i="29"/>
  <c r="AS94" i="29"/>
  <c r="AS52" i="29"/>
  <c r="AT51" i="29"/>
  <c r="AQ5" i="29"/>
  <c r="AP4" i="29"/>
  <c r="AS110" i="29"/>
  <c r="AT109" i="29"/>
  <c r="AS38" i="29"/>
  <c r="AS34" i="29" s="1"/>
  <c r="AT37" i="29"/>
  <c r="AS88" i="29"/>
  <c r="AT87" i="29"/>
  <c r="AT40" i="29"/>
  <c r="AU39" i="29"/>
  <c r="AU101" i="29"/>
  <c r="AT102" i="29"/>
  <c r="AT66" i="29"/>
  <c r="AU65" i="29"/>
  <c r="AS106" i="29"/>
  <c r="AT105" i="29"/>
  <c r="AT86" i="29"/>
  <c r="AU85" i="29"/>
  <c r="AU70" i="29"/>
  <c r="AV69" i="29"/>
  <c r="AW129" i="29"/>
  <c r="AV130" i="29"/>
  <c r="AX142" i="29"/>
  <c r="AY141" i="29"/>
  <c r="AV148" i="29"/>
  <c r="AW147" i="29"/>
  <c r="AX143" i="29"/>
  <c r="AW144" i="29"/>
  <c r="AV133" i="29"/>
  <c r="AU134" i="29"/>
  <c r="AU128" i="29"/>
  <c r="AV126" i="29" s="1"/>
  <c r="AV127" i="29"/>
  <c r="AW135" i="29"/>
  <c r="AV136" i="29"/>
  <c r="AV132" i="29"/>
  <c r="AW131" i="29"/>
  <c r="AX137" i="29"/>
  <c r="AW138" i="29"/>
  <c r="AX139" i="29"/>
  <c r="AW140" i="29"/>
  <c r="AW145" i="29"/>
  <c r="AV146" i="29"/>
  <c r="AZ54" i="29" l="1"/>
  <c r="BA53" i="29"/>
  <c r="AY124" i="29"/>
  <c r="AZ123" i="29"/>
  <c r="AY44" i="29"/>
  <c r="AZ43" i="29"/>
  <c r="AY72" i="29"/>
  <c r="AZ71" i="29"/>
  <c r="AY58" i="29"/>
  <c r="AZ57" i="29"/>
  <c r="AU96" i="29"/>
  <c r="AU7" i="29" s="1"/>
  <c r="E12" i="30" s="1"/>
  <c r="AV95" i="29"/>
  <c r="AU8" i="29"/>
  <c r="E13" i="30" s="1"/>
  <c r="AU121" i="29"/>
  <c r="AT122" i="29"/>
  <c r="AS48" i="29"/>
  <c r="AS9" i="29" s="1"/>
  <c r="AT50" i="29"/>
  <c r="AU49" i="29"/>
  <c r="AT42" i="29"/>
  <c r="AU41" i="29"/>
  <c r="AT100" i="29"/>
  <c r="AR5" i="29"/>
  <c r="AQ4" i="29"/>
  <c r="AW91" i="29"/>
  <c r="AV92" i="29"/>
  <c r="AU51" i="29"/>
  <c r="AT52" i="29"/>
  <c r="AU89" i="29"/>
  <c r="AT90" i="29"/>
  <c r="AU56" i="29"/>
  <c r="AV55" i="29"/>
  <c r="AW69" i="29"/>
  <c r="AV70" i="29"/>
  <c r="AU66" i="29"/>
  <c r="AU12" i="29" s="1"/>
  <c r="E23" i="30" s="1"/>
  <c r="AV65" i="29"/>
  <c r="AT38" i="29"/>
  <c r="AT34" i="29" s="1"/>
  <c r="AU37" i="29"/>
  <c r="AU77" i="29"/>
  <c r="AT78" i="29"/>
  <c r="AU112" i="29"/>
  <c r="AV111" i="29"/>
  <c r="AV107" i="29"/>
  <c r="AU108" i="29"/>
  <c r="AU119" i="29"/>
  <c r="AT120" i="29"/>
  <c r="AT84" i="29"/>
  <c r="AU83" i="29"/>
  <c r="AT68" i="29"/>
  <c r="AU67" i="29"/>
  <c r="AT104" i="29"/>
  <c r="AU103" i="29"/>
  <c r="AT94" i="29"/>
  <c r="AU93" i="29"/>
  <c r="AW36" i="29"/>
  <c r="AX35" i="29"/>
  <c r="AT116" i="29"/>
  <c r="AU115" i="29"/>
  <c r="AU105" i="29"/>
  <c r="AT106" i="29"/>
  <c r="AU82" i="29"/>
  <c r="AV81" i="29"/>
  <c r="AV101" i="29"/>
  <c r="AU102" i="29"/>
  <c r="AT110" i="29"/>
  <c r="AU109" i="29"/>
  <c r="AT80" i="29"/>
  <c r="AU79" i="29"/>
  <c r="BA149" i="29"/>
  <c r="AZ150" i="29"/>
  <c r="AV117" i="29"/>
  <c r="AU118" i="29"/>
  <c r="AU87" i="29"/>
  <c r="AT88" i="29"/>
  <c r="AU86" i="29"/>
  <c r="AV85" i="29"/>
  <c r="AV39" i="29"/>
  <c r="AU40" i="29"/>
  <c r="AU114" i="29"/>
  <c r="AU22" i="29" s="1"/>
  <c r="AV113" i="29"/>
  <c r="AU63" i="29"/>
  <c r="AU64" i="29" s="1"/>
  <c r="AW148" i="29"/>
  <c r="AX147" i="29"/>
  <c r="AX145" i="29"/>
  <c r="AW146" i="29"/>
  <c r="AX135" i="29"/>
  <c r="AW136" i="29"/>
  <c r="AV128" i="29"/>
  <c r="AW126" i="29" s="1"/>
  <c r="AW127" i="29"/>
  <c r="AZ141" i="29"/>
  <c r="AY142" i="29"/>
  <c r="AY139" i="29"/>
  <c r="AX140" i="29"/>
  <c r="AY143" i="29"/>
  <c r="AX144" i="29"/>
  <c r="AY137" i="29"/>
  <c r="AX138" i="29"/>
  <c r="AW133" i="29"/>
  <c r="AV134" i="29"/>
  <c r="AX129" i="29"/>
  <c r="AW130" i="29"/>
  <c r="AX131" i="29"/>
  <c r="AW132" i="29"/>
  <c r="BA54" i="29" l="1"/>
  <c r="BB53" i="29"/>
  <c r="AZ72" i="29"/>
  <c r="BA71" i="29"/>
  <c r="AZ58" i="29"/>
  <c r="BA57" i="29"/>
  <c r="BA43" i="29"/>
  <c r="AZ44" i="29"/>
  <c r="AZ124" i="29"/>
  <c r="BA123" i="29"/>
  <c r="E11" i="30"/>
  <c r="AV96" i="29"/>
  <c r="AV7" i="29" s="1"/>
  <c r="AW95" i="29"/>
  <c r="AT48" i="29"/>
  <c r="AT9" i="29" s="1"/>
  <c r="AV121" i="29"/>
  <c r="AU122" i="29"/>
  <c r="AV8" i="29"/>
  <c r="AU50" i="29"/>
  <c r="AV49" i="29"/>
  <c r="AU42" i="29"/>
  <c r="AV41" i="29"/>
  <c r="AU100" i="29"/>
  <c r="AU14" i="29" s="1"/>
  <c r="E16" i="30" s="1"/>
  <c r="AW65" i="29"/>
  <c r="AV66" i="29"/>
  <c r="AY35" i="29"/>
  <c r="AX36" i="29"/>
  <c r="AW111" i="29"/>
  <c r="AV112" i="29"/>
  <c r="AV115" i="29"/>
  <c r="AU116" i="29"/>
  <c r="AV108" i="29"/>
  <c r="AW107" i="29"/>
  <c r="AV40" i="29"/>
  <c r="AW39" i="29"/>
  <c r="BB149" i="29"/>
  <c r="BA150" i="29"/>
  <c r="AU84" i="29"/>
  <c r="AV83" i="29"/>
  <c r="AW70" i="29"/>
  <c r="AX69" i="29"/>
  <c r="AV51" i="29"/>
  <c r="AU52" i="29"/>
  <c r="AV63" i="29"/>
  <c r="AV64" i="29" s="1"/>
  <c r="AU11" i="29"/>
  <c r="E22" i="30" s="1"/>
  <c r="AV86" i="29"/>
  <c r="AW85" i="29"/>
  <c r="AV79" i="29"/>
  <c r="AU80" i="29"/>
  <c r="AW81" i="29"/>
  <c r="AV82" i="29"/>
  <c r="AV93" i="29"/>
  <c r="AU94" i="29"/>
  <c r="AV56" i="29"/>
  <c r="AW55" i="29"/>
  <c r="AW101" i="29"/>
  <c r="AV102" i="29"/>
  <c r="AU78" i="29"/>
  <c r="AV77" i="29"/>
  <c r="AW92" i="29"/>
  <c r="AX91" i="29"/>
  <c r="AW113" i="29"/>
  <c r="AV114" i="29"/>
  <c r="AV118" i="29"/>
  <c r="AW117" i="29"/>
  <c r="AU68" i="29"/>
  <c r="AV67" i="29"/>
  <c r="AU110" i="29"/>
  <c r="AV109" i="29"/>
  <c r="AV119" i="29"/>
  <c r="AU120" i="29"/>
  <c r="AU38" i="29"/>
  <c r="AU34" i="29" s="1"/>
  <c r="AV37" i="29"/>
  <c r="AV87" i="29"/>
  <c r="AU88" i="29"/>
  <c r="AU106" i="29"/>
  <c r="AV105" i="29"/>
  <c r="AV103" i="29"/>
  <c r="AU104" i="29"/>
  <c r="AU90" i="29"/>
  <c r="AV89" i="29"/>
  <c r="AS5" i="29"/>
  <c r="AR4" i="29"/>
  <c r="AR3" i="29" s="1"/>
  <c r="AY131" i="29"/>
  <c r="AX132" i="29"/>
  <c r="AY144" i="29"/>
  <c r="AZ143" i="29"/>
  <c r="AY129" i="29"/>
  <c r="AX130" i="29"/>
  <c r="AZ139" i="29"/>
  <c r="AY140" i="29"/>
  <c r="AY135" i="29"/>
  <c r="AX136" i="29"/>
  <c r="AX133" i="29"/>
  <c r="AW134" i="29"/>
  <c r="BA141" i="29"/>
  <c r="AZ142" i="29"/>
  <c r="AY145" i="29"/>
  <c r="AX146" i="29"/>
  <c r="AY147" i="29"/>
  <c r="AX148" i="29"/>
  <c r="AW128" i="29"/>
  <c r="AX126" i="29" s="1"/>
  <c r="AX127" i="29"/>
  <c r="AY138" i="29"/>
  <c r="AZ137" i="29"/>
  <c r="BB54" i="29" l="1"/>
  <c r="BC53" i="29"/>
  <c r="BA124" i="29"/>
  <c r="BB123" i="29"/>
  <c r="BA44" i="29"/>
  <c r="BB43" i="29"/>
  <c r="BA58" i="29"/>
  <c r="BB57" i="29"/>
  <c r="BB71" i="29"/>
  <c r="BA72" i="29"/>
  <c r="AW96" i="29"/>
  <c r="AW7" i="29" s="1"/>
  <c r="AX95" i="29"/>
  <c r="AW8" i="29"/>
  <c r="AW121" i="29"/>
  <c r="AV122" i="29"/>
  <c r="AU48" i="29"/>
  <c r="AU9" i="29" s="1"/>
  <c r="E15" i="30" s="1"/>
  <c r="E14" i="30" s="1"/>
  <c r="AV50" i="29"/>
  <c r="AW49" i="29"/>
  <c r="AV42" i="29"/>
  <c r="AW41" i="29"/>
  <c r="AU15" i="29"/>
  <c r="E24" i="30" s="1"/>
  <c r="AV100" i="29"/>
  <c r="AW109" i="29"/>
  <c r="AV110" i="29"/>
  <c r="AX111" i="29"/>
  <c r="AW112" i="29"/>
  <c r="AX101" i="29"/>
  <c r="AW102" i="29"/>
  <c r="AW79" i="29"/>
  <c r="AV80" i="29"/>
  <c r="AY69" i="29"/>
  <c r="AX70" i="29"/>
  <c r="AX39" i="29"/>
  <c r="AW40" i="29"/>
  <c r="AV106" i="29"/>
  <c r="AW105" i="29"/>
  <c r="AT5" i="29"/>
  <c r="AS4" i="29"/>
  <c r="AV88" i="29"/>
  <c r="AW87" i="29"/>
  <c r="AX55" i="29"/>
  <c r="AW56" i="29"/>
  <c r="AX85" i="29"/>
  <c r="AW86" i="29"/>
  <c r="AZ35" i="29"/>
  <c r="AY36" i="29"/>
  <c r="AV90" i="29"/>
  <c r="AW89" i="29"/>
  <c r="AX113" i="29"/>
  <c r="AW114" i="29"/>
  <c r="AV84" i="29"/>
  <c r="AW83" i="29"/>
  <c r="AX107" i="29"/>
  <c r="AW108" i="29"/>
  <c r="AW51" i="29"/>
  <c r="AV52" i="29"/>
  <c r="AW37" i="29"/>
  <c r="AV38" i="29"/>
  <c r="AV34" i="29" s="1"/>
  <c r="AW67" i="29"/>
  <c r="AV68" i="29"/>
  <c r="AY91" i="29"/>
  <c r="AX92" i="29"/>
  <c r="AW66" i="29"/>
  <c r="AX65" i="29"/>
  <c r="AV120" i="29"/>
  <c r="AW119" i="29"/>
  <c r="AW82" i="29"/>
  <c r="AX81" i="29"/>
  <c r="BC149" i="29"/>
  <c r="BB150" i="29"/>
  <c r="AW93" i="29"/>
  <c r="AV94" i="29"/>
  <c r="AW63" i="29"/>
  <c r="AW64" i="29" s="1"/>
  <c r="AV104" i="29"/>
  <c r="AW103" i="29"/>
  <c r="AX117" i="29"/>
  <c r="AW118" i="29"/>
  <c r="AW77" i="29"/>
  <c r="AV78" i="29"/>
  <c r="AW115" i="29"/>
  <c r="AV116" i="29"/>
  <c r="BB141" i="29"/>
  <c r="BA142" i="29"/>
  <c r="AY130" i="29"/>
  <c r="AZ129" i="29"/>
  <c r="AZ131" i="29"/>
  <c r="AY132" i="29"/>
  <c r="AX128" i="29"/>
  <c r="AY126" i="29" s="1"/>
  <c r="AY127" i="29"/>
  <c r="AY146" i="29"/>
  <c r="AZ145" i="29"/>
  <c r="BA137" i="29"/>
  <c r="AZ138" i="29"/>
  <c r="AX134" i="29"/>
  <c r="AY133" i="29"/>
  <c r="BA139" i="29"/>
  <c r="AZ140" i="29"/>
  <c r="BA143" i="29"/>
  <c r="AZ144" i="29"/>
  <c r="AZ147" i="29"/>
  <c r="AY148" i="29"/>
  <c r="AZ135" i="29"/>
  <c r="AY136" i="29"/>
  <c r="BC54" i="29" l="1"/>
  <c r="BD53" i="29"/>
  <c r="BB58" i="29"/>
  <c r="BC57" i="29"/>
  <c r="BC43" i="29"/>
  <c r="BB44" i="29"/>
  <c r="BB72" i="29"/>
  <c r="BC71" i="29"/>
  <c r="BC123" i="29"/>
  <c r="BB124" i="29"/>
  <c r="AX96" i="29"/>
  <c r="AX7" i="29" s="1"/>
  <c r="AY95" i="29"/>
  <c r="AV48" i="29"/>
  <c r="AV9" i="29" s="1"/>
  <c r="AW122" i="29"/>
  <c r="AX121" i="29"/>
  <c r="AX8" i="29"/>
  <c r="AW50" i="29"/>
  <c r="AX49" i="29"/>
  <c r="AW42" i="29"/>
  <c r="AX41" i="29"/>
  <c r="AU26" i="29"/>
  <c r="E19" i="30" s="1"/>
  <c r="AU10" i="29"/>
  <c r="E21" i="30" s="1"/>
  <c r="AW100" i="29"/>
  <c r="AW116" i="29"/>
  <c r="AX115" i="29"/>
  <c r="AY92" i="29"/>
  <c r="AZ91" i="29"/>
  <c r="AY107" i="29"/>
  <c r="AX108" i="29"/>
  <c r="AX40" i="29"/>
  <c r="AY39" i="29"/>
  <c r="AX82" i="29"/>
  <c r="AY81" i="29"/>
  <c r="AX83" i="29"/>
  <c r="AW84" i="29"/>
  <c r="AW88" i="29"/>
  <c r="AX87" i="29"/>
  <c r="AY111" i="29"/>
  <c r="AX112" i="29"/>
  <c r="AW78" i="29"/>
  <c r="AX77" i="29"/>
  <c r="AX63" i="29"/>
  <c r="AX64" i="29" s="1"/>
  <c r="AW68" i="29"/>
  <c r="AX67" i="29"/>
  <c r="BA35" i="29"/>
  <c r="AZ36" i="29"/>
  <c r="AZ69" i="29"/>
  <c r="AY70" i="29"/>
  <c r="AW120" i="29"/>
  <c r="AX119" i="29"/>
  <c r="AX109" i="29"/>
  <c r="AW110" i="29"/>
  <c r="AX118" i="29"/>
  <c r="AY117" i="29"/>
  <c r="AX93" i="29"/>
  <c r="AW94" i="29"/>
  <c r="AX37" i="29"/>
  <c r="AW38" i="29"/>
  <c r="AW34" i="29" s="1"/>
  <c r="AX114" i="29"/>
  <c r="AY113" i="29"/>
  <c r="AX86" i="29"/>
  <c r="AY85" i="29"/>
  <c r="AU5" i="29"/>
  <c r="AT4" i="29"/>
  <c r="AW80" i="29"/>
  <c r="AX79" i="29"/>
  <c r="AX103" i="29"/>
  <c r="AW104" i="29"/>
  <c r="AX66" i="29"/>
  <c r="AY65" i="29"/>
  <c r="AX89" i="29"/>
  <c r="AW90" i="29"/>
  <c r="AW106" i="29"/>
  <c r="AX105" i="29"/>
  <c r="BD149" i="29"/>
  <c r="BC150" i="29"/>
  <c r="AW52" i="29"/>
  <c r="AX51" i="29"/>
  <c r="AX56" i="29"/>
  <c r="AY55" i="29"/>
  <c r="AY101" i="29"/>
  <c r="AX102" i="29"/>
  <c r="BA138" i="29"/>
  <c r="BB137" i="29"/>
  <c r="BA135" i="29"/>
  <c r="AZ136" i="29"/>
  <c r="AZ133" i="29"/>
  <c r="AY134" i="29"/>
  <c r="AY128" i="29"/>
  <c r="AZ126" i="29" s="1"/>
  <c r="AZ127" i="29"/>
  <c r="BA131" i="29"/>
  <c r="AZ132" i="29"/>
  <c r="BA147" i="29"/>
  <c r="AZ148" i="29"/>
  <c r="BA129" i="29"/>
  <c r="AZ130" i="29"/>
  <c r="BA144" i="29"/>
  <c r="BB143" i="29"/>
  <c r="AZ146" i="29"/>
  <c r="BA145" i="29"/>
  <c r="BA140" i="29"/>
  <c r="BB139" i="29"/>
  <c r="BB142" i="29"/>
  <c r="BC141" i="29"/>
  <c r="BD54" i="29" l="1"/>
  <c r="BE53" i="29"/>
  <c r="BD123" i="29"/>
  <c r="BC124" i="29"/>
  <c r="BD71" i="29"/>
  <c r="BC72" i="29"/>
  <c r="BC44" i="29"/>
  <c r="BD43" i="29"/>
  <c r="BC58" i="29"/>
  <c r="BD57" i="29"/>
  <c r="AY96" i="29"/>
  <c r="AY7" i="29" s="1"/>
  <c r="AZ95" i="29"/>
  <c r="AW48" i="29"/>
  <c r="AW9" i="29" s="1"/>
  <c r="AY8" i="29"/>
  <c r="AY121" i="29"/>
  <c r="AX122" i="29"/>
  <c r="AX50" i="29"/>
  <c r="AY49" i="29"/>
  <c r="AX42" i="29"/>
  <c r="AY41" i="29"/>
  <c r="AX100" i="29"/>
  <c r="AU13" i="29"/>
  <c r="AU27" i="29" s="1"/>
  <c r="AZ101" i="29"/>
  <c r="AY102" i="29"/>
  <c r="AZ85" i="29"/>
  <c r="AY86" i="29"/>
  <c r="AZ117" i="29"/>
  <c r="AY118" i="29"/>
  <c r="AX78" i="29"/>
  <c r="AY77" i="29"/>
  <c r="AY82" i="29"/>
  <c r="AZ81" i="29"/>
  <c r="AZ92" i="29"/>
  <c r="BA91" i="29"/>
  <c r="AY56" i="29"/>
  <c r="AZ55" i="29"/>
  <c r="AX104" i="29"/>
  <c r="AY103" i="29"/>
  <c r="AZ70" i="29"/>
  <c r="BA69" i="29"/>
  <c r="AX106" i="29"/>
  <c r="AY105" i="29"/>
  <c r="AZ113" i="29"/>
  <c r="AY114" i="29"/>
  <c r="AY93" i="29"/>
  <c r="AX94" i="29"/>
  <c r="AX52" i="29"/>
  <c r="AY51" i="29"/>
  <c r="AY109" i="29"/>
  <c r="AX110" i="29"/>
  <c r="BB35" i="29"/>
  <c r="BA36" i="29"/>
  <c r="AZ111" i="29"/>
  <c r="AY112" i="29"/>
  <c r="AY83" i="29"/>
  <c r="AX84" i="29"/>
  <c r="AX80" i="29"/>
  <c r="AY79" i="29"/>
  <c r="AX120" i="29"/>
  <c r="AY119" i="29"/>
  <c r="AY67" i="29"/>
  <c r="AX68" i="29"/>
  <c r="AX88" i="29"/>
  <c r="AY87" i="29"/>
  <c r="AY40" i="29"/>
  <c r="AZ39" i="29"/>
  <c r="AZ107" i="29"/>
  <c r="AY108" i="29"/>
  <c r="AX90" i="29"/>
  <c r="AY89" i="29"/>
  <c r="AX38" i="29"/>
  <c r="AX34" i="29" s="1"/>
  <c r="AY37" i="29"/>
  <c r="AX116" i="29"/>
  <c r="AY115" i="29"/>
  <c r="E10" i="30"/>
  <c r="AV5" i="29"/>
  <c r="AU4" i="29"/>
  <c r="AU3" i="29" s="1"/>
  <c r="BD150" i="29"/>
  <c r="BE149" i="29"/>
  <c r="AZ65" i="29"/>
  <c r="AY66" i="29"/>
  <c r="AY63" i="29"/>
  <c r="AY64" i="29" s="1"/>
  <c r="BB129" i="29"/>
  <c r="BA130" i="29"/>
  <c r="BA133" i="29"/>
  <c r="AZ134" i="29"/>
  <c r="BB147" i="29"/>
  <c r="BA148" i="29"/>
  <c r="BB140" i="29"/>
  <c r="BC139" i="29"/>
  <c r="BB145" i="29"/>
  <c r="BA146" i="29"/>
  <c r="BB131" i="29"/>
  <c r="BA132" i="29"/>
  <c r="BB135" i="29"/>
  <c r="BA136" i="29"/>
  <c r="BC143" i="29"/>
  <c r="BB144" i="29"/>
  <c r="AZ128" i="29"/>
  <c r="BA126" i="29" s="1"/>
  <c r="BA127" i="29"/>
  <c r="BC137" i="29"/>
  <c r="BB138" i="29"/>
  <c r="BD141" i="29"/>
  <c r="BC142" i="29"/>
  <c r="BE54" i="29" l="1"/>
  <c r="BF53" i="29"/>
  <c r="BD44" i="29"/>
  <c r="BE43" i="29"/>
  <c r="BD58" i="29"/>
  <c r="BE57" i="29"/>
  <c r="BE71" i="29"/>
  <c r="BD72" i="29"/>
  <c r="BD124" i="29"/>
  <c r="BE123" i="29"/>
  <c r="AZ96" i="29"/>
  <c r="AZ7" i="29" s="1"/>
  <c r="BA95" i="29"/>
  <c r="AZ121" i="29"/>
  <c r="AY122" i="29"/>
  <c r="AZ8" i="29"/>
  <c r="AX48" i="29"/>
  <c r="AX9" i="29" s="1"/>
  <c r="AZ49" i="29"/>
  <c r="AY50" i="29"/>
  <c r="AZ41" i="29"/>
  <c r="AY42" i="29"/>
  <c r="E20" i="30"/>
  <c r="AY100" i="29"/>
  <c r="AZ83" i="29"/>
  <c r="AY84" i="29"/>
  <c r="AY110" i="29"/>
  <c r="AZ109" i="29"/>
  <c r="E18" i="30"/>
  <c r="AU28" i="29"/>
  <c r="E17" i="30" s="1"/>
  <c r="E31" i="30" s="1"/>
  <c r="BA55" i="29"/>
  <c r="AZ56" i="29"/>
  <c r="AZ63" i="29"/>
  <c r="AZ64" i="29" s="1"/>
  <c r="AW5" i="29"/>
  <c r="AV4" i="29"/>
  <c r="AY52" i="29"/>
  <c r="AZ51" i="29"/>
  <c r="AZ105" i="29"/>
  <c r="AY106" i="29"/>
  <c r="BA117" i="29"/>
  <c r="AZ118" i="29"/>
  <c r="E30" i="30"/>
  <c r="E44" i="30"/>
  <c r="E37" i="30"/>
  <c r="AZ108" i="29"/>
  <c r="BA107" i="29"/>
  <c r="AZ67" i="29"/>
  <c r="AY68" i="29"/>
  <c r="BA92" i="29"/>
  <c r="BB91" i="29"/>
  <c r="AY116" i="29"/>
  <c r="AZ115" i="29"/>
  <c r="AY120" i="29"/>
  <c r="AZ119" i="29"/>
  <c r="AZ86" i="29"/>
  <c r="BA85" i="29"/>
  <c r="AZ89" i="29"/>
  <c r="AY90" i="29"/>
  <c r="AZ87" i="29"/>
  <c r="AY88" i="29"/>
  <c r="AZ112" i="29"/>
  <c r="BA111" i="29"/>
  <c r="AY94" i="29"/>
  <c r="AZ93" i="29"/>
  <c r="BB69" i="29"/>
  <c r="BA70" i="29"/>
  <c r="AZ82" i="29"/>
  <c r="BA81" i="29"/>
  <c r="BA65" i="29"/>
  <c r="AZ66" i="29"/>
  <c r="AY38" i="29"/>
  <c r="AY34" i="29" s="1"/>
  <c r="AZ37" i="29"/>
  <c r="AZ40" i="29"/>
  <c r="BA39" i="29"/>
  <c r="AZ79" i="29"/>
  <c r="AY80" i="29"/>
  <c r="AZ102" i="29"/>
  <c r="BA101" i="29"/>
  <c r="BF149" i="29"/>
  <c r="BE150" i="29"/>
  <c r="BC35" i="29"/>
  <c r="BB36" i="29"/>
  <c r="AZ114" i="29"/>
  <c r="BA113" i="29"/>
  <c r="AY104" i="29"/>
  <c r="AZ103" i="29"/>
  <c r="AZ77" i="29"/>
  <c r="AY78" i="29"/>
  <c r="BD142" i="29"/>
  <c r="BE141" i="29"/>
  <c r="BC135" i="29"/>
  <c r="BB136" i="29"/>
  <c r="BC144" i="29"/>
  <c r="BD143" i="29"/>
  <c r="BD137" i="29"/>
  <c r="BC138" i="29"/>
  <c r="BC131" i="29"/>
  <c r="BB132" i="29"/>
  <c r="BC147" i="29"/>
  <c r="BB148" i="29"/>
  <c r="BC129" i="29"/>
  <c r="BB130" i="29"/>
  <c r="BA128" i="29"/>
  <c r="BB126" i="29" s="1"/>
  <c r="BB127" i="29"/>
  <c r="BC145" i="29"/>
  <c r="BB146" i="29"/>
  <c r="BB133" i="29"/>
  <c r="BA134" i="29"/>
  <c r="BC140" i="29"/>
  <c r="BD139" i="29"/>
  <c r="BF54" i="29" l="1"/>
  <c r="BG53" i="29"/>
  <c r="BE72" i="29"/>
  <c r="BF71" i="29"/>
  <c r="BE124" i="29"/>
  <c r="BF123" i="29"/>
  <c r="BE44" i="29"/>
  <c r="BF43" i="29"/>
  <c r="BF57" i="29"/>
  <c r="BE58" i="29"/>
  <c r="BA96" i="29"/>
  <c r="BA7" i="29" s="1"/>
  <c r="BB95" i="29"/>
  <c r="AY48" i="29"/>
  <c r="AY9" i="29" s="1"/>
  <c r="BA8" i="29"/>
  <c r="BA121" i="29"/>
  <c r="AZ122" i="29"/>
  <c r="BA49" i="29"/>
  <c r="AZ50" i="29"/>
  <c r="BA41" i="29"/>
  <c r="AZ42" i="29"/>
  <c r="AZ100" i="29"/>
  <c r="BA103" i="29"/>
  <c r="AZ104" i="29"/>
  <c r="BA66" i="29"/>
  <c r="BB65" i="29"/>
  <c r="BB111" i="29"/>
  <c r="BA112" i="29"/>
  <c r="AZ120" i="29"/>
  <c r="BA119" i="29"/>
  <c r="BB92" i="29"/>
  <c r="BC91" i="29"/>
  <c r="BA105" i="29"/>
  <c r="AZ106" i="29"/>
  <c r="BA56" i="29"/>
  <c r="BB55" i="29"/>
  <c r="BA114" i="29"/>
  <c r="BB113" i="29"/>
  <c r="BA51" i="29"/>
  <c r="AZ52" i="29"/>
  <c r="E35" i="30"/>
  <c r="E32" i="30"/>
  <c r="E33" i="30" s="1"/>
  <c r="E34" i="30"/>
  <c r="BB101" i="29"/>
  <c r="BA102" i="29"/>
  <c r="AZ80" i="29"/>
  <c r="BA79" i="29"/>
  <c r="BB81" i="29"/>
  <c r="BA82" i="29"/>
  <c r="E45" i="30"/>
  <c r="E38" i="30"/>
  <c r="BA40" i="29"/>
  <c r="BB39" i="29"/>
  <c r="BA87" i="29"/>
  <c r="AZ88" i="29"/>
  <c r="BA109" i="29"/>
  <c r="AZ110" i="29"/>
  <c r="BA108" i="29"/>
  <c r="BB107" i="29"/>
  <c r="BC36" i="29"/>
  <c r="BD35" i="29"/>
  <c r="BA115" i="29"/>
  <c r="AZ116" i="29"/>
  <c r="AX5" i="29"/>
  <c r="AW4" i="29"/>
  <c r="BA37" i="29"/>
  <c r="AZ38" i="29"/>
  <c r="AZ34" i="29" s="1"/>
  <c r="BC69" i="29"/>
  <c r="BB70" i="29"/>
  <c r="AZ90" i="29"/>
  <c r="BA89" i="29"/>
  <c r="AZ78" i="29"/>
  <c r="BA77" i="29"/>
  <c r="BG149" i="29"/>
  <c r="BF150" i="29"/>
  <c r="AZ94" i="29"/>
  <c r="BA93" i="29"/>
  <c r="BB85" i="29"/>
  <c r="BA86" i="29"/>
  <c r="AZ68" i="29"/>
  <c r="BA67" i="29"/>
  <c r="BB117" i="29"/>
  <c r="BA118" i="29"/>
  <c r="BA63" i="29"/>
  <c r="BA64" i="29" s="1"/>
  <c r="AZ84" i="29"/>
  <c r="BA83" i="29"/>
  <c r="BD145" i="29"/>
  <c r="BC146" i="29"/>
  <c r="BD129" i="29"/>
  <c r="BC130" i="29"/>
  <c r="BC136" i="29"/>
  <c r="BD135" i="29"/>
  <c r="BD140" i="29"/>
  <c r="BE139" i="29"/>
  <c r="BC133" i="29"/>
  <c r="BB134" i="29"/>
  <c r="BD147" i="29"/>
  <c r="BC148" i="29"/>
  <c r="BD131" i="29"/>
  <c r="BC132" i="29"/>
  <c r="BE143" i="29"/>
  <c r="BD144" i="29"/>
  <c r="BB128" i="29"/>
  <c r="BC126" i="29" s="1"/>
  <c r="BC127" i="29"/>
  <c r="BF141" i="29"/>
  <c r="BE142" i="29"/>
  <c r="BD138" i="29"/>
  <c r="BE137" i="29"/>
  <c r="BG54" i="29" l="1"/>
  <c r="BH53" i="29"/>
  <c r="BF58" i="29"/>
  <c r="BG57" i="29"/>
  <c r="BG43" i="29"/>
  <c r="BF44" i="29"/>
  <c r="BG123" i="29"/>
  <c r="BF124" i="29"/>
  <c r="BG71" i="29"/>
  <c r="BF72" i="29"/>
  <c r="BB96" i="29"/>
  <c r="BB7" i="29" s="1"/>
  <c r="BC95" i="29"/>
  <c r="AZ48" i="29"/>
  <c r="AZ9" i="29" s="1"/>
  <c r="BA122" i="29"/>
  <c r="BB121" i="29"/>
  <c r="BB8" i="29"/>
  <c r="BA50" i="29"/>
  <c r="BB49" i="29"/>
  <c r="BA42" i="29"/>
  <c r="BB41" i="29"/>
  <c r="BA100" i="29"/>
  <c r="BA94" i="29"/>
  <c r="BB93" i="29"/>
  <c r="BB102" i="29"/>
  <c r="BC101" i="29"/>
  <c r="BB56" i="29"/>
  <c r="BC55" i="29"/>
  <c r="BB63" i="29"/>
  <c r="BB64" i="29" s="1"/>
  <c r="BC70" i="29"/>
  <c r="BD69" i="29"/>
  <c r="BA110" i="29"/>
  <c r="BB109" i="29"/>
  <c r="BC111" i="29"/>
  <c r="BB112" i="29"/>
  <c r="BB86" i="29"/>
  <c r="BC85" i="29"/>
  <c r="BC117" i="29"/>
  <c r="BB118" i="29"/>
  <c r="BB66" i="29"/>
  <c r="BC65" i="29"/>
  <c r="BA68" i="29"/>
  <c r="BB67" i="29"/>
  <c r="BG150" i="29"/>
  <c r="BH149" i="29"/>
  <c r="BB37" i="29"/>
  <c r="BA38" i="29"/>
  <c r="BA34" i="29" s="1"/>
  <c r="BB115" i="29"/>
  <c r="BA116" i="29"/>
  <c r="BA88" i="29"/>
  <c r="BB87" i="29"/>
  <c r="BB105" i="29"/>
  <c r="BA106" i="29"/>
  <c r="AY5" i="29"/>
  <c r="AX4" i="29"/>
  <c r="AX3" i="29" s="1"/>
  <c r="BA78" i="29"/>
  <c r="BB77" i="29"/>
  <c r="BD36" i="29"/>
  <c r="BE35" i="29"/>
  <c r="BB40" i="29"/>
  <c r="BC39" i="29"/>
  <c r="BC81" i="29"/>
  <c r="BB82" i="29"/>
  <c r="BC92" i="29"/>
  <c r="BD91" i="29"/>
  <c r="E49" i="30"/>
  <c r="E46" i="30"/>
  <c r="E47" i="30" s="1"/>
  <c r="E48" i="30"/>
  <c r="BA84" i="29"/>
  <c r="BB83" i="29"/>
  <c r="BA80" i="29"/>
  <c r="BB79" i="29"/>
  <c r="BA52" i="29"/>
  <c r="BB51" i="29"/>
  <c r="BB89" i="29"/>
  <c r="BA90" i="29"/>
  <c r="BC107" i="29"/>
  <c r="BB108" i="29"/>
  <c r="E42" i="30"/>
  <c r="E41" i="30"/>
  <c r="E39" i="30"/>
  <c r="E40" i="30" s="1"/>
  <c r="BB114" i="29"/>
  <c r="BC113" i="29"/>
  <c r="BB119" i="29"/>
  <c r="BA120" i="29"/>
  <c r="BA104" i="29"/>
  <c r="BB103" i="29"/>
  <c r="BD132" i="29"/>
  <c r="BE131" i="29"/>
  <c r="BE135" i="29"/>
  <c r="BD136" i="29"/>
  <c r="BE140" i="29"/>
  <c r="BF139" i="29"/>
  <c r="BF142" i="29"/>
  <c r="BG141" i="29"/>
  <c r="BC128" i="29"/>
  <c r="BD126" i="29" s="1"/>
  <c r="BD127" i="29"/>
  <c r="BD148" i="29"/>
  <c r="BE147" i="29"/>
  <c r="BE129" i="29"/>
  <c r="BD130" i="29"/>
  <c r="BF137" i="29"/>
  <c r="BE138" i="29"/>
  <c r="BF143" i="29"/>
  <c r="BE144" i="29"/>
  <c r="BD133" i="29"/>
  <c r="BC134" i="29"/>
  <c r="BE145" i="29"/>
  <c r="BD146" i="29"/>
  <c r="BH54" i="29" l="1"/>
  <c r="BI53" i="29"/>
  <c r="BG72" i="29"/>
  <c r="BH71" i="29"/>
  <c r="BG124" i="29"/>
  <c r="BH123" i="29"/>
  <c r="BG44" i="29"/>
  <c r="BH43" i="29"/>
  <c r="BH57" i="29"/>
  <c r="BG58" i="29"/>
  <c r="BC96" i="29"/>
  <c r="BC7" i="29" s="1"/>
  <c r="BD95" i="29"/>
  <c r="BA48" i="29"/>
  <c r="BA9" i="29" s="1"/>
  <c r="BC8" i="29"/>
  <c r="BB122" i="29"/>
  <c r="BC121" i="29"/>
  <c r="BC49" i="29"/>
  <c r="BB50" i="29"/>
  <c r="BC41" i="29"/>
  <c r="BB42" i="29"/>
  <c r="BB100" i="29"/>
  <c r="BD113" i="29"/>
  <c r="BC114" i="29"/>
  <c r="BB90" i="29"/>
  <c r="BC89" i="29"/>
  <c r="BC40" i="29"/>
  <c r="BD39" i="29"/>
  <c r="BC63" i="29"/>
  <c r="BC64" i="29" s="1"/>
  <c r="BB120" i="29"/>
  <c r="BC119" i="29"/>
  <c r="BB116" i="29"/>
  <c r="BC115" i="29"/>
  <c r="BC51" i="29"/>
  <c r="BB52" i="29"/>
  <c r="AZ5" i="29"/>
  <c r="AY4" i="29"/>
  <c r="BC37" i="29"/>
  <c r="BB38" i="29"/>
  <c r="BB34" i="29" s="1"/>
  <c r="BC109" i="29"/>
  <c r="BB110" i="29"/>
  <c r="BC56" i="29"/>
  <c r="BD55" i="29"/>
  <c r="BE36" i="29"/>
  <c r="BF35" i="29"/>
  <c r="BI149" i="29"/>
  <c r="BH150" i="29"/>
  <c r="BD117" i="29"/>
  <c r="BC118" i="29"/>
  <c r="BD81" i="29"/>
  <c r="BC82" i="29"/>
  <c r="BB80" i="29"/>
  <c r="BC79" i="29"/>
  <c r="BE91" i="29"/>
  <c r="BD92" i="29"/>
  <c r="BB106" i="29"/>
  <c r="BC105" i="29"/>
  <c r="BD85" i="29"/>
  <c r="BC86" i="29"/>
  <c r="BD101" i="29"/>
  <c r="BC102" i="29"/>
  <c r="BC103" i="29"/>
  <c r="BB104" i="29"/>
  <c r="BC87" i="29"/>
  <c r="BB88" i="29"/>
  <c r="BC67" i="29"/>
  <c r="BB68" i="29"/>
  <c r="BC66" i="29"/>
  <c r="BD65" i="29"/>
  <c r="BD70" i="29"/>
  <c r="BE69" i="29"/>
  <c r="BB94" i="29"/>
  <c r="BC93" i="29"/>
  <c r="BD107" i="29"/>
  <c r="BC108" i="29"/>
  <c r="BB84" i="29"/>
  <c r="BC83" i="29"/>
  <c r="BB78" i="29"/>
  <c r="BC77" i="29"/>
  <c r="BD111" i="29"/>
  <c r="BC112" i="29"/>
  <c r="BF145" i="29"/>
  <c r="BE146" i="29"/>
  <c r="BF129" i="29"/>
  <c r="BE130" i="29"/>
  <c r="BE148" i="29"/>
  <c r="BF147" i="29"/>
  <c r="BG139" i="29"/>
  <c r="BF140" i="29"/>
  <c r="BE133" i="29"/>
  <c r="BD134" i="29"/>
  <c r="BF135" i="29"/>
  <c r="BE136" i="29"/>
  <c r="BD128" i="29"/>
  <c r="BE126" i="29" s="1"/>
  <c r="BE127" i="29"/>
  <c r="BG143" i="29"/>
  <c r="BF144" i="29"/>
  <c r="BH141" i="29"/>
  <c r="BG142" i="29"/>
  <c r="BF131" i="29"/>
  <c r="BE132" i="29"/>
  <c r="BG137" i="29"/>
  <c r="BF138" i="29"/>
  <c r="BI54" i="29" l="1"/>
  <c r="BJ53" i="29"/>
  <c r="BH58" i="29"/>
  <c r="BI57" i="29"/>
  <c r="BI43" i="29"/>
  <c r="BH44" i="29"/>
  <c r="BH72" i="29"/>
  <c r="BI71" i="29"/>
  <c r="BH124" i="29"/>
  <c r="BI123" i="29"/>
  <c r="BD96" i="29"/>
  <c r="BD7" i="29" s="1"/>
  <c r="BE95" i="29"/>
  <c r="BB48" i="29"/>
  <c r="BB9" i="29" s="1"/>
  <c r="BD121" i="29"/>
  <c r="BC122" i="29"/>
  <c r="BD8" i="29"/>
  <c r="BC50" i="29"/>
  <c r="BD49" i="29"/>
  <c r="BC42" i="29"/>
  <c r="BD41" i="29"/>
  <c r="BC100" i="29"/>
  <c r="BD86" i="29"/>
  <c r="BE85" i="29"/>
  <c r="BE81" i="29"/>
  <c r="BD82" i="29"/>
  <c r="BD51" i="29"/>
  <c r="BC52" i="29"/>
  <c r="BD66" i="29"/>
  <c r="BE65" i="29"/>
  <c r="BC106" i="29"/>
  <c r="BD105" i="29"/>
  <c r="BC116" i="29"/>
  <c r="BD115" i="29"/>
  <c r="BD40" i="29"/>
  <c r="BE39" i="29"/>
  <c r="BD56" i="29"/>
  <c r="BE55" i="29"/>
  <c r="BD108" i="29"/>
  <c r="BE107" i="29"/>
  <c r="BC104" i="29"/>
  <c r="BD103" i="29"/>
  <c r="BE117" i="29"/>
  <c r="BD118" i="29"/>
  <c r="BD109" i="29"/>
  <c r="BC110" i="29"/>
  <c r="BC84" i="29"/>
  <c r="BD83" i="29"/>
  <c r="BD93" i="29"/>
  <c r="BC94" i="29"/>
  <c r="BC120" i="29"/>
  <c r="BD119" i="29"/>
  <c r="BC90" i="29"/>
  <c r="BD89" i="29"/>
  <c r="BC88" i="29"/>
  <c r="BD87" i="29"/>
  <c r="BE111" i="29"/>
  <c r="BD112" i="29"/>
  <c r="BE101" i="29"/>
  <c r="BD102" i="29"/>
  <c r="BE92" i="29"/>
  <c r="BF91" i="29"/>
  <c r="BJ149" i="29"/>
  <c r="BI150" i="29"/>
  <c r="BC38" i="29"/>
  <c r="BC34" i="29" s="1"/>
  <c r="BD37" i="29"/>
  <c r="BD77" i="29"/>
  <c r="BC78" i="29"/>
  <c r="BE70" i="29"/>
  <c r="BF69" i="29"/>
  <c r="BC68" i="29"/>
  <c r="BD67" i="29"/>
  <c r="BC80" i="29"/>
  <c r="BD79" i="29"/>
  <c r="BF36" i="29"/>
  <c r="BG35" i="29"/>
  <c r="BA5" i="29"/>
  <c r="AZ4" i="29"/>
  <c r="BD63" i="29"/>
  <c r="BD64" i="29" s="1"/>
  <c r="BE113" i="29"/>
  <c r="BD114" i="29"/>
  <c r="BG138" i="29"/>
  <c r="BH137" i="29"/>
  <c r="BG144" i="29"/>
  <c r="BH143" i="29"/>
  <c r="BG140" i="29"/>
  <c r="BH139" i="29"/>
  <c r="BE128" i="29"/>
  <c r="BF126" i="29" s="1"/>
  <c r="BF127" i="29"/>
  <c r="BG147" i="29"/>
  <c r="BF148" i="29"/>
  <c r="BG131" i="29"/>
  <c r="BF132" i="29"/>
  <c r="BI141" i="29"/>
  <c r="BH142" i="29"/>
  <c r="BG135" i="29"/>
  <c r="BF136" i="29"/>
  <c r="BG129" i="29"/>
  <c r="BF130" i="29"/>
  <c r="BF133" i="29"/>
  <c r="BE134" i="29"/>
  <c r="BG145" i="29"/>
  <c r="BF146" i="29"/>
  <c r="BJ54" i="29" l="1"/>
  <c r="BK53" i="29"/>
  <c r="BI72" i="29"/>
  <c r="BJ71" i="29"/>
  <c r="BI124" i="29"/>
  <c r="BJ123" i="29"/>
  <c r="BI44" i="29"/>
  <c r="BJ43" i="29"/>
  <c r="BI58" i="29"/>
  <c r="BJ57" i="29"/>
  <c r="BE96" i="29"/>
  <c r="BE7" i="29" s="1"/>
  <c r="BF95" i="29"/>
  <c r="BC48" i="29"/>
  <c r="BC9" i="29" s="1"/>
  <c r="BD100" i="29"/>
  <c r="BE8" i="29"/>
  <c r="BE121" i="29"/>
  <c r="BD122" i="29"/>
  <c r="BE49" i="29"/>
  <c r="BD50" i="29"/>
  <c r="BD42" i="29"/>
  <c r="BE41" i="29"/>
  <c r="BF70" i="29"/>
  <c r="BG69" i="29"/>
  <c r="BF92" i="29"/>
  <c r="BG91" i="29"/>
  <c r="BD90" i="29"/>
  <c r="BE89" i="29"/>
  <c r="BE83" i="29"/>
  <c r="BD84" i="29"/>
  <c r="BE108" i="29"/>
  <c r="BF107" i="29"/>
  <c r="BE105" i="29"/>
  <c r="BD106" i="29"/>
  <c r="BJ150" i="29"/>
  <c r="BK149" i="29"/>
  <c r="BE51" i="29"/>
  <c r="BD52" i="29"/>
  <c r="BB5" i="29"/>
  <c r="BA4" i="29"/>
  <c r="BA3" i="29" s="1"/>
  <c r="BE93" i="29"/>
  <c r="BD94" i="29"/>
  <c r="BG36" i="29"/>
  <c r="BH35" i="29"/>
  <c r="BD120" i="29"/>
  <c r="BE119" i="29"/>
  <c r="BE56" i="29"/>
  <c r="BF55" i="29"/>
  <c r="BE66" i="29"/>
  <c r="BF65" i="29"/>
  <c r="BF113" i="29"/>
  <c r="BE114" i="29"/>
  <c r="BE77" i="29"/>
  <c r="BD78" i="29"/>
  <c r="BF101" i="29"/>
  <c r="BE102" i="29"/>
  <c r="BE109" i="29"/>
  <c r="BD110" i="29"/>
  <c r="BE82" i="29"/>
  <c r="BF81" i="29"/>
  <c r="BE79" i="29"/>
  <c r="BD80" i="29"/>
  <c r="BE37" i="29"/>
  <c r="BD38" i="29"/>
  <c r="BD34" i="29" s="1"/>
  <c r="BF39" i="29"/>
  <c r="BE40" i="29"/>
  <c r="BE86" i="29"/>
  <c r="BF85" i="29"/>
  <c r="BE63" i="29"/>
  <c r="BE64" i="29" s="1"/>
  <c r="BF111" i="29"/>
  <c r="BE112" i="29"/>
  <c r="BE118" i="29"/>
  <c r="BF117" i="29"/>
  <c r="BD68" i="29"/>
  <c r="BE67" i="29"/>
  <c r="BD88" i="29"/>
  <c r="BE87" i="29"/>
  <c r="BE103" i="29"/>
  <c r="BD104" i="29"/>
  <c r="BD116" i="29"/>
  <c r="BE115" i="29"/>
  <c r="BH135" i="29"/>
  <c r="BG136" i="29"/>
  <c r="BI139" i="29"/>
  <c r="BH140" i="29"/>
  <c r="BF134" i="29"/>
  <c r="BG133" i="29"/>
  <c r="BJ141" i="29"/>
  <c r="BI142" i="29"/>
  <c r="BF128" i="29"/>
  <c r="BG126" i="29" s="1"/>
  <c r="BG127" i="29"/>
  <c r="BI143" i="29"/>
  <c r="BH144" i="29"/>
  <c r="BH131" i="29"/>
  <c r="BG132" i="29"/>
  <c r="BI137" i="29"/>
  <c r="BH138" i="29"/>
  <c r="BG146" i="29"/>
  <c r="BH145" i="29"/>
  <c r="BG130" i="29"/>
  <c r="BH129" i="29"/>
  <c r="BH147" i="29"/>
  <c r="BG148" i="29"/>
  <c r="BK54" i="29" l="1"/>
  <c r="BL53" i="29"/>
  <c r="BK43" i="29"/>
  <c r="BJ44" i="29"/>
  <c r="BK57" i="29"/>
  <c r="BJ58" i="29"/>
  <c r="BJ124" i="29"/>
  <c r="BK123" i="29"/>
  <c r="BJ72" i="29"/>
  <c r="BK71" i="29"/>
  <c r="BF96" i="29"/>
  <c r="BF7" i="29" s="1"/>
  <c r="BG95" i="29"/>
  <c r="BD48" i="29"/>
  <c r="BD9" i="29" s="1"/>
  <c r="BE122" i="29"/>
  <c r="BF121" i="29"/>
  <c r="BF8" i="29"/>
  <c r="BE50" i="29"/>
  <c r="BF49" i="29"/>
  <c r="BE42" i="29"/>
  <c r="BF41" i="29"/>
  <c r="BE100" i="29"/>
  <c r="BF67" i="29"/>
  <c r="BE68" i="29"/>
  <c r="BE38" i="29"/>
  <c r="BE34" i="29" s="1"/>
  <c r="BF37" i="29"/>
  <c r="BG101" i="29"/>
  <c r="BF102" i="29"/>
  <c r="BE106" i="29"/>
  <c r="BF105" i="29"/>
  <c r="BF63" i="29"/>
  <c r="BF64" i="29" s="1"/>
  <c r="BF86" i="29"/>
  <c r="BG85" i="29"/>
  <c r="BE120" i="29"/>
  <c r="BF119" i="29"/>
  <c r="BC5" i="29"/>
  <c r="BB4" i="29"/>
  <c r="BG107" i="29"/>
  <c r="BF108" i="29"/>
  <c r="BH69" i="29"/>
  <c r="BG70" i="29"/>
  <c r="BE116" i="29"/>
  <c r="BF115" i="29"/>
  <c r="BE80" i="29"/>
  <c r="BF79" i="29"/>
  <c r="BF77" i="29"/>
  <c r="BE78" i="29"/>
  <c r="BG92" i="29"/>
  <c r="BH91" i="29"/>
  <c r="BG117" i="29"/>
  <c r="BF118" i="29"/>
  <c r="BG81" i="29"/>
  <c r="BF82" i="29"/>
  <c r="BE52" i="29"/>
  <c r="BF51" i="29"/>
  <c r="BE94" i="29"/>
  <c r="BF93" i="29"/>
  <c r="BF114" i="29"/>
  <c r="BG113" i="29"/>
  <c r="BH36" i="29"/>
  <c r="BI35" i="29"/>
  <c r="BL149" i="29"/>
  <c r="BK150" i="29"/>
  <c r="BE84" i="29"/>
  <c r="BF83" i="29"/>
  <c r="BG55" i="29"/>
  <c r="BF56" i="29"/>
  <c r="BE104" i="29"/>
  <c r="BF103" i="29"/>
  <c r="BF66" i="29"/>
  <c r="BG65" i="29"/>
  <c r="BF89" i="29"/>
  <c r="BE90" i="29"/>
  <c r="BE88" i="29"/>
  <c r="BF87" i="29"/>
  <c r="BG111" i="29"/>
  <c r="BF112" i="29"/>
  <c r="BF40" i="29"/>
  <c r="BG39" i="29"/>
  <c r="BF109" i="29"/>
  <c r="BE110" i="29"/>
  <c r="BI147" i="29"/>
  <c r="BH148" i="29"/>
  <c r="BI131" i="29"/>
  <c r="BH132" i="29"/>
  <c r="BJ142" i="29"/>
  <c r="BK141" i="29"/>
  <c r="BI129" i="29"/>
  <c r="BH130" i="29"/>
  <c r="BH133" i="29"/>
  <c r="BG134" i="29"/>
  <c r="BH146" i="29"/>
  <c r="BI145" i="29"/>
  <c r="BI144" i="29"/>
  <c r="BJ143" i="29"/>
  <c r="BI140" i="29"/>
  <c r="BJ139" i="29"/>
  <c r="BG128" i="29"/>
  <c r="BH126" i="29" s="1"/>
  <c r="BH127" i="29"/>
  <c r="BI138" i="29"/>
  <c r="BJ137" i="29"/>
  <c r="BI135" i="29"/>
  <c r="BH136" i="29"/>
  <c r="BL54" i="29" l="1"/>
  <c r="BM53" i="29"/>
  <c r="BK124" i="29"/>
  <c r="BL123" i="29"/>
  <c r="BK72" i="29"/>
  <c r="BL71" i="29"/>
  <c r="BK58" i="29"/>
  <c r="BL57" i="29"/>
  <c r="BK44" i="29"/>
  <c r="BL43" i="29"/>
  <c r="BG96" i="29"/>
  <c r="BG7" i="29" s="1"/>
  <c r="F12" i="30" s="1"/>
  <c r="BH95" i="29"/>
  <c r="BG8" i="29"/>
  <c r="F13" i="30" s="1"/>
  <c r="BG121" i="29"/>
  <c r="BF122" i="29"/>
  <c r="BE48" i="29"/>
  <c r="BE9" i="29" s="1"/>
  <c r="BF50" i="29"/>
  <c r="BG49" i="29"/>
  <c r="BF42" i="29"/>
  <c r="BG41" i="29"/>
  <c r="BF100" i="29"/>
  <c r="BM149" i="29"/>
  <c r="BL150" i="29"/>
  <c r="BG103" i="29"/>
  <c r="BF104" i="29"/>
  <c r="BI36" i="29"/>
  <c r="BJ35" i="29"/>
  <c r="BG118" i="29"/>
  <c r="BH117" i="29"/>
  <c r="BF116" i="29"/>
  <c r="BG115" i="29"/>
  <c r="BF120" i="29"/>
  <c r="BG119" i="29"/>
  <c r="BD5" i="29"/>
  <c r="BC4" i="29"/>
  <c r="BG112" i="29"/>
  <c r="BH111" i="29"/>
  <c r="BG51" i="29"/>
  <c r="BF52" i="29"/>
  <c r="BH92" i="29"/>
  <c r="BI91" i="29"/>
  <c r="BH101" i="29"/>
  <c r="BG102" i="29"/>
  <c r="BG87" i="29"/>
  <c r="BF88" i="29"/>
  <c r="BH113" i="29"/>
  <c r="BG114" i="29"/>
  <c r="BG22" i="29" s="1"/>
  <c r="BG86" i="29"/>
  <c r="BH85" i="29"/>
  <c r="BG37" i="29"/>
  <c r="BF38" i="29"/>
  <c r="BF34" i="29" s="1"/>
  <c r="BH55" i="29"/>
  <c r="BG56" i="29"/>
  <c r="BH70" i="29"/>
  <c r="BI69" i="29"/>
  <c r="BG83" i="29"/>
  <c r="BF84" i="29"/>
  <c r="BG82" i="29"/>
  <c r="BH81" i="29"/>
  <c r="BG109" i="29"/>
  <c r="BF110" i="29"/>
  <c r="BF90" i="29"/>
  <c r="BG89" i="29"/>
  <c r="BG93" i="29"/>
  <c r="BF94" i="29"/>
  <c r="BG77" i="29"/>
  <c r="BF78" i="29"/>
  <c r="BG108" i="29"/>
  <c r="BH107" i="29"/>
  <c r="BG63" i="29"/>
  <c r="BG64" i="29" s="1"/>
  <c r="BF68" i="29"/>
  <c r="BG67" i="29"/>
  <c r="BG40" i="29"/>
  <c r="BH39" i="29"/>
  <c r="BG66" i="29"/>
  <c r="BG12" i="29" s="1"/>
  <c r="F23" i="30" s="1"/>
  <c r="BH65" i="29"/>
  <c r="BF80" i="29"/>
  <c r="BG79" i="29"/>
  <c r="BF106" i="29"/>
  <c r="BG105" i="29"/>
  <c r="BJ135" i="29"/>
  <c r="BI136" i="29"/>
  <c r="BJ129" i="29"/>
  <c r="BI130" i="29"/>
  <c r="BK137" i="29"/>
  <c r="BJ138" i="29"/>
  <c r="BJ145" i="29"/>
  <c r="BI146" i="29"/>
  <c r="BL141" i="29"/>
  <c r="BK142" i="29"/>
  <c r="BK143" i="29"/>
  <c r="BJ144" i="29"/>
  <c r="BH128" i="29"/>
  <c r="BI126" i="29" s="1"/>
  <c r="BI127" i="29"/>
  <c r="BJ131" i="29"/>
  <c r="BI132" i="29"/>
  <c r="BJ140" i="29"/>
  <c r="BK139" i="29"/>
  <c r="BI133" i="29"/>
  <c r="BH134" i="29"/>
  <c r="BJ147" i="29"/>
  <c r="BI148" i="29"/>
  <c r="BM54" i="29" l="1"/>
  <c r="BN53" i="29"/>
  <c r="BL58" i="29"/>
  <c r="BM57" i="29"/>
  <c r="BL44" i="29"/>
  <c r="BM43" i="29"/>
  <c r="BL72" i="29"/>
  <c r="BM71" i="29"/>
  <c r="BM123" i="29"/>
  <c r="BL124" i="29"/>
  <c r="F11" i="30"/>
  <c r="BH96" i="29"/>
  <c r="BH7" i="29" s="1"/>
  <c r="BI95" i="29"/>
  <c r="BF48" i="29"/>
  <c r="BF9" i="29" s="1"/>
  <c r="BH121" i="29"/>
  <c r="BG122" i="29"/>
  <c r="BH8" i="29"/>
  <c r="BG50" i="29"/>
  <c r="BH49" i="29"/>
  <c r="BG42" i="29"/>
  <c r="BH41" i="29"/>
  <c r="BG100" i="29"/>
  <c r="BG14" i="29" s="1"/>
  <c r="F16" i="30" s="1"/>
  <c r="BH66" i="29"/>
  <c r="BI65" i="29"/>
  <c r="BI107" i="29"/>
  <c r="BH108" i="29"/>
  <c r="BG90" i="29"/>
  <c r="BH89" i="29"/>
  <c r="BI70" i="29"/>
  <c r="BJ69" i="29"/>
  <c r="BJ91" i="29"/>
  <c r="BI92" i="29"/>
  <c r="BI113" i="29"/>
  <c r="BH114" i="29"/>
  <c r="BG120" i="29"/>
  <c r="BH119" i="29"/>
  <c r="BK35" i="29"/>
  <c r="BJ36" i="29"/>
  <c r="BH40" i="29"/>
  <c r="BI39" i="29"/>
  <c r="BD4" i="29"/>
  <c r="BD3" i="29" s="1"/>
  <c r="BE5" i="29"/>
  <c r="BH105" i="29"/>
  <c r="BG106" i="29"/>
  <c r="BG78" i="29"/>
  <c r="BH77" i="29"/>
  <c r="BH109" i="29"/>
  <c r="BG110" i="29"/>
  <c r="BH56" i="29"/>
  <c r="BI55" i="29"/>
  <c r="BG88" i="29"/>
  <c r="BH87" i="29"/>
  <c r="BH51" i="29"/>
  <c r="BG52" i="29"/>
  <c r="BG116" i="29"/>
  <c r="BH115" i="29"/>
  <c r="BI101" i="29"/>
  <c r="BH102" i="29"/>
  <c r="BH67" i="29"/>
  <c r="BG68" i="29"/>
  <c r="BH82" i="29"/>
  <c r="BI81" i="29"/>
  <c r="BH112" i="29"/>
  <c r="BI111" i="29"/>
  <c r="BH103" i="29"/>
  <c r="BG104" i="29"/>
  <c r="BG94" i="29"/>
  <c r="BH93" i="29"/>
  <c r="BH79" i="29"/>
  <c r="BG80" i="29"/>
  <c r="BH37" i="29"/>
  <c r="BG38" i="29"/>
  <c r="BG34" i="29" s="1"/>
  <c r="BH118" i="29"/>
  <c r="BI117" i="29"/>
  <c r="BH83" i="29"/>
  <c r="BG84" i="29"/>
  <c r="BG11" i="29"/>
  <c r="F22" i="30" s="1"/>
  <c r="BH63" i="29"/>
  <c r="BH64" i="29" s="1"/>
  <c r="BI85" i="29"/>
  <c r="BH86" i="29"/>
  <c r="BN149" i="29"/>
  <c r="BM150" i="29"/>
  <c r="BK147" i="29"/>
  <c r="BJ148" i="29"/>
  <c r="BK145" i="29"/>
  <c r="BJ146" i="29"/>
  <c r="BI128" i="29"/>
  <c r="BJ126" i="29" s="1"/>
  <c r="BJ127" i="29"/>
  <c r="BL137" i="29"/>
  <c r="BK138" i="29"/>
  <c r="BK140" i="29"/>
  <c r="BL139" i="29"/>
  <c r="BK144" i="29"/>
  <c r="BL143" i="29"/>
  <c r="BK129" i="29"/>
  <c r="BJ130" i="29"/>
  <c r="BJ133" i="29"/>
  <c r="BI134" i="29"/>
  <c r="BK131" i="29"/>
  <c r="BJ132" i="29"/>
  <c r="BL142" i="29"/>
  <c r="BM141" i="29"/>
  <c r="BK135" i="29"/>
  <c r="BJ136" i="29"/>
  <c r="BN54" i="29" l="1"/>
  <c r="BO53" i="29"/>
  <c r="BN71" i="29"/>
  <c r="BM72" i="29"/>
  <c r="BM124" i="29"/>
  <c r="BN123" i="29"/>
  <c r="BM58" i="29"/>
  <c r="BN57" i="29"/>
  <c r="BM44" i="29"/>
  <c r="BN43" i="29"/>
  <c r="BI96" i="29"/>
  <c r="BI7" i="29" s="1"/>
  <c r="BJ95" i="29"/>
  <c r="BG48" i="29"/>
  <c r="BG9" i="29" s="1"/>
  <c r="BG10" i="29" s="1"/>
  <c r="BI8" i="29"/>
  <c r="BI121" i="29"/>
  <c r="BH122" i="29"/>
  <c r="BI49" i="29"/>
  <c r="BH50" i="29"/>
  <c r="BI41" i="29"/>
  <c r="BH42" i="29"/>
  <c r="BH100" i="29"/>
  <c r="BG15" i="29"/>
  <c r="F24" i="30" s="1"/>
  <c r="BJ101" i="29"/>
  <c r="BI102" i="29"/>
  <c r="BI114" i="29"/>
  <c r="BJ113" i="29"/>
  <c r="BI112" i="29"/>
  <c r="BJ111" i="29"/>
  <c r="BH84" i="29"/>
  <c r="BI83" i="29"/>
  <c r="BJ81" i="29"/>
  <c r="BI82" i="29"/>
  <c r="BI115" i="29"/>
  <c r="BH116" i="29"/>
  <c r="BI40" i="29"/>
  <c r="BJ39" i="29"/>
  <c r="BI37" i="29"/>
  <c r="BH38" i="29"/>
  <c r="BH34" i="29" s="1"/>
  <c r="BN150" i="29"/>
  <c r="BO149" i="29"/>
  <c r="BI118" i="29"/>
  <c r="BJ117" i="29"/>
  <c r="BI79" i="29"/>
  <c r="BH80" i="29"/>
  <c r="BI109" i="29"/>
  <c r="BH110" i="29"/>
  <c r="BJ107" i="29"/>
  <c r="BI108" i="29"/>
  <c r="BF5" i="29"/>
  <c r="BE4" i="29"/>
  <c r="BH94" i="29"/>
  <c r="BI93" i="29"/>
  <c r="BI77" i="29"/>
  <c r="BH78" i="29"/>
  <c r="BI66" i="29"/>
  <c r="BJ65" i="29"/>
  <c r="BI56" i="29"/>
  <c r="BJ55" i="29"/>
  <c r="BH52" i="29"/>
  <c r="BI51" i="29"/>
  <c r="BK36" i="29"/>
  <c r="BL35" i="29"/>
  <c r="BJ92" i="29"/>
  <c r="BK91" i="29"/>
  <c r="BI86" i="29"/>
  <c r="BJ85" i="29"/>
  <c r="BI87" i="29"/>
  <c r="BH88" i="29"/>
  <c r="BH120" i="29"/>
  <c r="BI119" i="29"/>
  <c r="BK69" i="29"/>
  <c r="BJ70" i="29"/>
  <c r="BI89" i="29"/>
  <c r="BH90" i="29"/>
  <c r="BI63" i="29"/>
  <c r="BI64" i="29" s="1"/>
  <c r="BI103" i="29"/>
  <c r="BH104" i="29"/>
  <c r="BI67" i="29"/>
  <c r="BH68" i="29"/>
  <c r="BH106" i="29"/>
  <c r="BI105" i="29"/>
  <c r="BK136" i="29"/>
  <c r="BL135" i="29"/>
  <c r="BM143" i="29"/>
  <c r="BL144" i="29"/>
  <c r="BL129" i="29"/>
  <c r="BK130" i="29"/>
  <c r="BL145" i="29"/>
  <c r="BK146" i="29"/>
  <c r="BL140" i="29"/>
  <c r="BM139" i="29"/>
  <c r="BL131" i="29"/>
  <c r="BK132" i="29"/>
  <c r="BN141" i="29"/>
  <c r="BM142" i="29"/>
  <c r="BJ128" i="29"/>
  <c r="BK126" i="29" s="1"/>
  <c r="BK127" i="29"/>
  <c r="BK133" i="29"/>
  <c r="BJ134" i="29"/>
  <c r="BL138" i="29"/>
  <c r="BM137" i="29"/>
  <c r="BL147" i="29"/>
  <c r="BK148" i="29"/>
  <c r="BO54" i="29" l="1"/>
  <c r="BP53" i="29"/>
  <c r="BN58" i="29"/>
  <c r="BO57" i="29"/>
  <c r="BN44" i="29"/>
  <c r="BO43" i="29"/>
  <c r="BN124" i="29"/>
  <c r="BO123" i="29"/>
  <c r="BN72" i="29"/>
  <c r="BO71" i="29"/>
  <c r="BJ96" i="29"/>
  <c r="BJ7" i="29" s="1"/>
  <c r="BK95" i="29"/>
  <c r="BH48" i="29"/>
  <c r="BH9" i="29" s="1"/>
  <c r="BI122" i="29"/>
  <c r="BJ121" i="29"/>
  <c r="BJ8" i="29"/>
  <c r="BI50" i="29"/>
  <c r="BJ49" i="29"/>
  <c r="BJ41" i="29"/>
  <c r="BI42" i="29"/>
  <c r="F15" i="30"/>
  <c r="F14" i="30" s="1"/>
  <c r="BG26" i="29"/>
  <c r="F19" i="30" s="1"/>
  <c r="BI100" i="29"/>
  <c r="BJ63" i="29"/>
  <c r="BJ64" i="29" s="1"/>
  <c r="BI88" i="29"/>
  <c r="BJ87" i="29"/>
  <c r="BI80" i="29"/>
  <c r="BJ79" i="29"/>
  <c r="BJ105" i="29"/>
  <c r="BI106" i="29"/>
  <c r="BJ86" i="29"/>
  <c r="BK85" i="29"/>
  <c r="BJ77" i="29"/>
  <c r="BI78" i="29"/>
  <c r="BJ118" i="29"/>
  <c r="BK117" i="29"/>
  <c r="BJ40" i="29"/>
  <c r="BK39" i="29"/>
  <c r="BK111" i="29"/>
  <c r="BJ112" i="29"/>
  <c r="BJ89" i="29"/>
  <c r="BI90" i="29"/>
  <c r="BG5" i="29"/>
  <c r="BF4" i="29"/>
  <c r="BL91" i="29"/>
  <c r="BK92" i="29"/>
  <c r="F21" i="30"/>
  <c r="BG13" i="29"/>
  <c r="BP149" i="29"/>
  <c r="BO150" i="29"/>
  <c r="BJ114" i="29"/>
  <c r="BK113" i="29"/>
  <c r="BJ67" i="29"/>
  <c r="BI68" i="29"/>
  <c r="BL69" i="29"/>
  <c r="BK70" i="29"/>
  <c r="BJ56" i="29"/>
  <c r="BK55" i="29"/>
  <c r="BJ108" i="29"/>
  <c r="BK107" i="29"/>
  <c r="BJ115" i="29"/>
  <c r="BI116" i="29"/>
  <c r="BI120" i="29"/>
  <c r="BJ119" i="29"/>
  <c r="BL36" i="29"/>
  <c r="BM35" i="29"/>
  <c r="BJ103" i="29"/>
  <c r="BI104" i="29"/>
  <c r="BJ66" i="29"/>
  <c r="BK65" i="29"/>
  <c r="BJ109" i="29"/>
  <c r="BI110" i="29"/>
  <c r="BJ37" i="29"/>
  <c r="BI38" i="29"/>
  <c r="BI34" i="29" s="1"/>
  <c r="BJ82" i="29"/>
  <c r="BK81" i="29"/>
  <c r="BK101" i="29"/>
  <c r="BJ102" i="29"/>
  <c r="BI52" i="29"/>
  <c r="BJ51" i="29"/>
  <c r="BI94" i="29"/>
  <c r="BJ93" i="29"/>
  <c r="BJ83" i="29"/>
  <c r="BI84" i="29"/>
  <c r="BL148" i="29"/>
  <c r="BM147" i="29"/>
  <c r="BN142" i="29"/>
  <c r="BO141" i="29"/>
  <c r="BM145" i="29"/>
  <c r="BL146" i="29"/>
  <c r="BM129" i="29"/>
  <c r="BL130" i="29"/>
  <c r="BN137" i="29"/>
  <c r="BM138" i="29"/>
  <c r="BL133" i="29"/>
  <c r="BK134" i="29"/>
  <c r="BL132" i="29"/>
  <c r="BM131" i="29"/>
  <c r="BN143" i="29"/>
  <c r="BM144" i="29"/>
  <c r="BK128" i="29"/>
  <c r="BL126" i="29" s="1"/>
  <c r="BL127" i="29"/>
  <c r="BM140" i="29"/>
  <c r="BN139" i="29"/>
  <c r="BL136" i="29"/>
  <c r="BM135" i="29"/>
  <c r="BP54" i="29" l="1"/>
  <c r="BQ53" i="29"/>
  <c r="BP123" i="29"/>
  <c r="BO124" i="29"/>
  <c r="BO44" i="29"/>
  <c r="BP43" i="29"/>
  <c r="BO58" i="29"/>
  <c r="BP57" i="29"/>
  <c r="BP71" i="29"/>
  <c r="BO72" i="29"/>
  <c r="BK96" i="29"/>
  <c r="BK7" i="29" s="1"/>
  <c r="BL95" i="29"/>
  <c r="BK8" i="29"/>
  <c r="BJ122" i="29"/>
  <c r="BK121" i="29"/>
  <c r="BI48" i="29"/>
  <c r="BI9" i="29" s="1"/>
  <c r="BK49" i="29"/>
  <c r="BJ50" i="29"/>
  <c r="BJ42" i="29"/>
  <c r="BK41" i="29"/>
  <c r="BJ100" i="29"/>
  <c r="BN35" i="29"/>
  <c r="BM36" i="29"/>
  <c r="BK114" i="29"/>
  <c r="BL113" i="29"/>
  <c r="BK40" i="29"/>
  <c r="BL39" i="29"/>
  <c r="BJ84" i="29"/>
  <c r="BK83" i="29"/>
  <c r="BK102" i="29"/>
  <c r="BL101" i="29"/>
  <c r="BK66" i="29"/>
  <c r="BL65" i="29"/>
  <c r="BL92" i="29"/>
  <c r="BM91" i="29"/>
  <c r="BJ106" i="29"/>
  <c r="BK105" i="29"/>
  <c r="BL81" i="29"/>
  <c r="BK82" i="29"/>
  <c r="BK119" i="29"/>
  <c r="BJ120" i="29"/>
  <c r="BL55" i="29"/>
  <c r="BK56" i="29"/>
  <c r="BL117" i="29"/>
  <c r="BK118" i="29"/>
  <c r="BJ80" i="29"/>
  <c r="BK79" i="29"/>
  <c r="BP150" i="29"/>
  <c r="BQ149" i="29"/>
  <c r="F10" i="30"/>
  <c r="BH5" i="29"/>
  <c r="BG4" i="29"/>
  <c r="BG3" i="29" s="1"/>
  <c r="BK93" i="29"/>
  <c r="BJ94" i="29"/>
  <c r="BJ104" i="29"/>
  <c r="BK103" i="29"/>
  <c r="F20" i="30"/>
  <c r="BG27" i="29"/>
  <c r="BK87" i="29"/>
  <c r="BJ88" i="29"/>
  <c r="BJ38" i="29"/>
  <c r="BJ34" i="29" s="1"/>
  <c r="BK37" i="29"/>
  <c r="BJ116" i="29"/>
  <c r="BK115" i="29"/>
  <c r="BM69" i="29"/>
  <c r="BL70" i="29"/>
  <c r="BJ90" i="29"/>
  <c r="BK89" i="29"/>
  <c r="BK77" i="29"/>
  <c r="BJ78" i="29"/>
  <c r="BJ52" i="29"/>
  <c r="BK51" i="29"/>
  <c r="BK108" i="29"/>
  <c r="BL107" i="29"/>
  <c r="BL85" i="29"/>
  <c r="BK86" i="29"/>
  <c r="BJ110" i="29"/>
  <c r="BK109" i="29"/>
  <c r="BK67" i="29"/>
  <c r="BJ68" i="29"/>
  <c r="BL111" i="29"/>
  <c r="BK112" i="29"/>
  <c r="BK63" i="29"/>
  <c r="BK64" i="29" s="1"/>
  <c r="BN131" i="29"/>
  <c r="BM132" i="29"/>
  <c r="BO139" i="29"/>
  <c r="BN140" i="29"/>
  <c r="BM133" i="29"/>
  <c r="BL134" i="29"/>
  <c r="BN145" i="29"/>
  <c r="BM146" i="29"/>
  <c r="BP141" i="29"/>
  <c r="BO142" i="29"/>
  <c r="BO137" i="29"/>
  <c r="BN138" i="29"/>
  <c r="BN135" i="29"/>
  <c r="BM136" i="29"/>
  <c r="BM148" i="29"/>
  <c r="BN147" i="29"/>
  <c r="BL128" i="29"/>
  <c r="BM126" i="29" s="1"/>
  <c r="BM127" i="29"/>
  <c r="BO143" i="29"/>
  <c r="BN144" i="29"/>
  <c r="BN129" i="29"/>
  <c r="BM130" i="29"/>
  <c r="BQ54" i="29" l="1"/>
  <c r="BR53" i="29"/>
  <c r="BP58" i="29"/>
  <c r="BQ57" i="29"/>
  <c r="BP72" i="29"/>
  <c r="BQ71" i="29"/>
  <c r="BP44" i="29"/>
  <c r="BQ43" i="29"/>
  <c r="BQ123" i="29"/>
  <c r="BP124" i="29"/>
  <c r="BL96" i="29"/>
  <c r="BL7" i="29" s="1"/>
  <c r="BM95" i="29"/>
  <c r="BJ48" i="29"/>
  <c r="BJ9" i="29" s="1"/>
  <c r="BK122" i="29"/>
  <c r="BL121" i="29"/>
  <c r="BL8" i="29"/>
  <c r="BK50" i="29"/>
  <c r="BL49" i="29"/>
  <c r="BK42" i="29"/>
  <c r="BL41" i="29"/>
  <c r="BK100" i="29"/>
  <c r="BL63" i="29"/>
  <c r="BL64" i="29" s="1"/>
  <c r="BM70" i="29"/>
  <c r="BN69" i="29"/>
  <c r="F30" i="30"/>
  <c r="F44" i="30"/>
  <c r="F37" i="30"/>
  <c r="BM117" i="29"/>
  <c r="BL118" i="29"/>
  <c r="BK52" i="29"/>
  <c r="BL51" i="29"/>
  <c r="BK116" i="29"/>
  <c r="BL115" i="29"/>
  <c r="BL103" i="29"/>
  <c r="BK104" i="29"/>
  <c r="BR149" i="29"/>
  <c r="BQ150" i="29"/>
  <c r="BM92" i="29"/>
  <c r="BN91" i="29"/>
  <c r="BL40" i="29"/>
  <c r="BM39" i="29"/>
  <c r="BL86" i="29"/>
  <c r="BM85" i="29"/>
  <c r="BL56" i="29"/>
  <c r="BM55" i="29"/>
  <c r="BM111" i="29"/>
  <c r="BL112" i="29"/>
  <c r="BK38" i="29"/>
  <c r="BK34" i="29" s="1"/>
  <c r="BL37" i="29"/>
  <c r="BL66" i="29"/>
  <c r="BM65" i="29"/>
  <c r="BL114" i="29"/>
  <c r="BM113" i="29"/>
  <c r="BK78" i="29"/>
  <c r="BL77" i="29"/>
  <c r="BL119" i="29"/>
  <c r="BK120" i="29"/>
  <c r="BK68" i="29"/>
  <c r="BL67" i="29"/>
  <c r="BL108" i="29"/>
  <c r="BM107" i="29"/>
  <c r="BL89" i="29"/>
  <c r="BK90" i="29"/>
  <c r="BL93" i="29"/>
  <c r="BK94" i="29"/>
  <c r="BL79" i="29"/>
  <c r="BK80" i="29"/>
  <c r="BL102" i="29"/>
  <c r="BM101" i="29"/>
  <c r="BK88" i="29"/>
  <c r="BL87" i="29"/>
  <c r="BL82" i="29"/>
  <c r="BM81" i="29"/>
  <c r="BN36" i="29"/>
  <c r="BO35" i="29"/>
  <c r="BK110" i="29"/>
  <c r="BL109" i="29"/>
  <c r="F18" i="30"/>
  <c r="BG28" i="29"/>
  <c r="F17" i="30" s="1"/>
  <c r="F31" i="30" s="1"/>
  <c r="BI5" i="29"/>
  <c r="BH4" i="29"/>
  <c r="BK106" i="29"/>
  <c r="BL105" i="29"/>
  <c r="BK84" i="29"/>
  <c r="BL83" i="29"/>
  <c r="BO129" i="29"/>
  <c r="BN130" i="29"/>
  <c r="BO135" i="29"/>
  <c r="BN136" i="29"/>
  <c r="BN133" i="29"/>
  <c r="BM134" i="29"/>
  <c r="BO144" i="29"/>
  <c r="BP143" i="29"/>
  <c r="BO138" i="29"/>
  <c r="BP137" i="29"/>
  <c r="BO140" i="29"/>
  <c r="BP139" i="29"/>
  <c r="BM128" i="29"/>
  <c r="BN126" i="29" s="1"/>
  <c r="BN127" i="29"/>
  <c r="BQ141" i="29"/>
  <c r="BP142" i="29"/>
  <c r="BO147" i="29"/>
  <c r="BN148" i="29"/>
  <c r="BO145" i="29"/>
  <c r="BN146" i="29"/>
  <c r="BO131" i="29"/>
  <c r="BN132" i="29"/>
  <c r="BR54" i="29" l="1"/>
  <c r="BS53" i="29"/>
  <c r="BR43" i="29"/>
  <c r="BQ44" i="29"/>
  <c r="BQ124" i="29"/>
  <c r="BR123" i="29"/>
  <c r="BQ58" i="29"/>
  <c r="BR57" i="29"/>
  <c r="BQ72" i="29"/>
  <c r="BR71" i="29"/>
  <c r="BM96" i="29"/>
  <c r="BM7" i="29" s="1"/>
  <c r="BN95" i="29"/>
  <c r="BM8" i="29"/>
  <c r="BM121" i="29"/>
  <c r="BL122" i="29"/>
  <c r="BK48" i="29"/>
  <c r="BK9" i="29" s="1"/>
  <c r="BM49" i="29"/>
  <c r="BL50" i="29"/>
  <c r="BL42" i="29"/>
  <c r="BM41" i="29"/>
  <c r="BL100" i="29"/>
  <c r="BL88" i="29"/>
  <c r="BM87" i="29"/>
  <c r="BN65" i="29"/>
  <c r="BM66" i="29"/>
  <c r="BN85" i="29"/>
  <c r="BM86" i="29"/>
  <c r="BL106" i="29"/>
  <c r="BM105" i="29"/>
  <c r="BL110" i="29"/>
  <c r="BM109" i="29"/>
  <c r="BM89" i="29"/>
  <c r="BL90" i="29"/>
  <c r="BL104" i="29"/>
  <c r="BM103" i="29"/>
  <c r="BM102" i="29"/>
  <c r="BN101" i="29"/>
  <c r="BN107" i="29"/>
  <c r="BM108" i="29"/>
  <c r="BM77" i="29"/>
  <c r="BL78" i="29"/>
  <c r="BM37" i="29"/>
  <c r="BL38" i="29"/>
  <c r="BL34" i="29" s="1"/>
  <c r="BM40" i="29"/>
  <c r="BN39" i="29"/>
  <c r="BM115" i="29"/>
  <c r="BL116" i="29"/>
  <c r="BO36" i="29"/>
  <c r="BP35" i="29"/>
  <c r="BO69" i="29"/>
  <c r="BN70" i="29"/>
  <c r="BJ5" i="29"/>
  <c r="BI4" i="29"/>
  <c r="BL68" i="29"/>
  <c r="BM67" i="29"/>
  <c r="BO91" i="29"/>
  <c r="BN92" i="29"/>
  <c r="BM51" i="29"/>
  <c r="BL52" i="29"/>
  <c r="F35" i="30"/>
  <c r="F32" i="30"/>
  <c r="F33" i="30" s="1"/>
  <c r="F34" i="30"/>
  <c r="BL80" i="29"/>
  <c r="BM79" i="29"/>
  <c r="BM112" i="29"/>
  <c r="BN111" i="29"/>
  <c r="F38" i="30"/>
  <c r="F45" i="30"/>
  <c r="BN81" i="29"/>
  <c r="BM82" i="29"/>
  <c r="BN113" i="29"/>
  <c r="BM114" i="29"/>
  <c r="BM56" i="29"/>
  <c r="BN55" i="29"/>
  <c r="BM63" i="29"/>
  <c r="BM64" i="29" s="1"/>
  <c r="BL84" i="29"/>
  <c r="BM83" i="29"/>
  <c r="BM93" i="29"/>
  <c r="BL94" i="29"/>
  <c r="BM119" i="29"/>
  <c r="BL120" i="29"/>
  <c r="BS149" i="29"/>
  <c r="BR150" i="29"/>
  <c r="BM118" i="29"/>
  <c r="BN117" i="29"/>
  <c r="BP131" i="29"/>
  <c r="BO132" i="29"/>
  <c r="BR141" i="29"/>
  <c r="BQ142" i="29"/>
  <c r="BN128" i="29"/>
  <c r="BO126" i="29" s="1"/>
  <c r="BO127" i="29"/>
  <c r="BN134" i="29"/>
  <c r="BO133" i="29"/>
  <c r="BQ139" i="29"/>
  <c r="BP140" i="29"/>
  <c r="BP147" i="29"/>
  <c r="BO148" i="29"/>
  <c r="BO136" i="29"/>
  <c r="BP135" i="29"/>
  <c r="BQ143" i="29"/>
  <c r="BP144" i="29"/>
  <c r="BQ137" i="29"/>
  <c r="BP138" i="29"/>
  <c r="BO146" i="29"/>
  <c r="BP145" i="29"/>
  <c r="BO130" i="29"/>
  <c r="BP129" i="29"/>
  <c r="BS54" i="29" l="1"/>
  <c r="BT53" i="29"/>
  <c r="BS57" i="29"/>
  <c r="BR58" i="29"/>
  <c r="BR72" i="29"/>
  <c r="BS71" i="29"/>
  <c r="BR124" i="29"/>
  <c r="BS123" i="29"/>
  <c r="BS43" i="29"/>
  <c r="BR44" i="29"/>
  <c r="BN96" i="29"/>
  <c r="BN7" i="29" s="1"/>
  <c r="BO95" i="29"/>
  <c r="BL48" i="29"/>
  <c r="BL9" i="29" s="1"/>
  <c r="BM122" i="29"/>
  <c r="BN121" i="29"/>
  <c r="BN8" i="29"/>
  <c r="BM50" i="29"/>
  <c r="BN49" i="29"/>
  <c r="BM42" i="29"/>
  <c r="BN41" i="29"/>
  <c r="BM100" i="29"/>
  <c r="BN82" i="29"/>
  <c r="BO81" i="29"/>
  <c r="BP36" i="29"/>
  <c r="BQ35" i="29"/>
  <c r="BT149" i="29"/>
  <c r="BS150" i="29"/>
  <c r="F49" i="30"/>
  <c r="F46" i="30"/>
  <c r="F47" i="30" s="1"/>
  <c r="F48" i="30"/>
  <c r="BN67" i="29"/>
  <c r="BM68" i="29"/>
  <c r="BN77" i="29"/>
  <c r="BM78" i="29"/>
  <c r="BN89" i="29"/>
  <c r="BM90" i="29"/>
  <c r="BN66" i="29"/>
  <c r="BO65" i="29"/>
  <c r="BN63" i="29"/>
  <c r="BN64" i="29" s="1"/>
  <c r="F42" i="30"/>
  <c r="F41" i="30"/>
  <c r="F39" i="30"/>
  <c r="F40" i="30" s="1"/>
  <c r="BM110" i="29"/>
  <c r="BN109" i="29"/>
  <c r="BM120" i="29"/>
  <c r="BN119" i="29"/>
  <c r="BN56" i="29"/>
  <c r="BO55" i="29"/>
  <c r="BN115" i="29"/>
  <c r="BM116" i="29"/>
  <c r="BN108" i="29"/>
  <c r="BO107" i="29"/>
  <c r="BN112" i="29"/>
  <c r="BO111" i="29"/>
  <c r="BM52" i="29"/>
  <c r="BN51" i="29"/>
  <c r="BK5" i="29"/>
  <c r="BJ4" i="29"/>
  <c r="BJ3" i="29" s="1"/>
  <c r="BN40" i="29"/>
  <c r="BO39" i="29"/>
  <c r="BO101" i="29"/>
  <c r="BN102" i="29"/>
  <c r="BM106" i="29"/>
  <c r="BN105" i="29"/>
  <c r="BM88" i="29"/>
  <c r="BN87" i="29"/>
  <c r="BM94" i="29"/>
  <c r="BN93" i="29"/>
  <c r="BN118" i="29"/>
  <c r="BO117" i="29"/>
  <c r="BO113" i="29"/>
  <c r="BN114" i="29"/>
  <c r="BN79" i="29"/>
  <c r="BM80" i="29"/>
  <c r="BO92" i="29"/>
  <c r="BP91" i="29"/>
  <c r="BO70" i="29"/>
  <c r="BP69" i="29"/>
  <c r="BM104" i="29"/>
  <c r="BN103" i="29"/>
  <c r="BN83" i="29"/>
  <c r="BM84" i="29"/>
  <c r="BM38" i="29"/>
  <c r="BM34" i="29" s="1"/>
  <c r="BN37" i="29"/>
  <c r="BN86" i="29"/>
  <c r="BO85" i="29"/>
  <c r="BQ144" i="29"/>
  <c r="BR143" i="29"/>
  <c r="BQ135" i="29"/>
  <c r="BP136" i="29"/>
  <c r="BO128" i="29"/>
  <c r="BP126" i="29" s="1"/>
  <c r="BP127" i="29"/>
  <c r="BP146" i="29"/>
  <c r="BQ145" i="29"/>
  <c r="BP133" i="29"/>
  <c r="BO134" i="29"/>
  <c r="BQ147" i="29"/>
  <c r="BP148" i="29"/>
  <c r="BR142" i="29"/>
  <c r="BS141" i="29"/>
  <c r="BQ129" i="29"/>
  <c r="BP130" i="29"/>
  <c r="BQ138" i="29"/>
  <c r="BR137" i="29"/>
  <c r="BQ140" i="29"/>
  <c r="BR139" i="29"/>
  <c r="BQ131" i="29"/>
  <c r="BP132" i="29"/>
  <c r="BT54" i="29" l="1"/>
  <c r="BU53" i="29"/>
  <c r="BT123" i="29"/>
  <c r="BS124" i="29"/>
  <c r="BS44" i="29"/>
  <c r="BT43" i="29"/>
  <c r="BS72" i="29"/>
  <c r="BT71" i="29"/>
  <c r="BS58" i="29"/>
  <c r="BT57" i="29"/>
  <c r="BO96" i="29"/>
  <c r="BO7" i="29" s="1"/>
  <c r="BP95" i="29"/>
  <c r="BO8" i="29"/>
  <c r="BO121" i="29"/>
  <c r="BN122" i="29"/>
  <c r="BM48" i="29"/>
  <c r="BM9" i="29" s="1"/>
  <c r="BO49" i="29"/>
  <c r="BN50" i="29"/>
  <c r="BN42" i="29"/>
  <c r="BO41" i="29"/>
  <c r="BN100" i="29"/>
  <c r="BO86" i="29"/>
  <c r="BP85" i="29"/>
  <c r="BP113" i="29"/>
  <c r="BO114" i="29"/>
  <c r="BO105" i="29"/>
  <c r="BN106" i="29"/>
  <c r="BN52" i="29"/>
  <c r="BO51" i="29"/>
  <c r="BP55" i="29"/>
  <c r="BO56" i="29"/>
  <c r="BN90" i="29"/>
  <c r="BO89" i="29"/>
  <c r="BP70" i="29"/>
  <c r="BQ69" i="29"/>
  <c r="BO118" i="29"/>
  <c r="BP117" i="29"/>
  <c r="BU149" i="29"/>
  <c r="BT150" i="29"/>
  <c r="BN38" i="29"/>
  <c r="BN34" i="29" s="1"/>
  <c r="BO37" i="29"/>
  <c r="BO112" i="29"/>
  <c r="BP111" i="29"/>
  <c r="BN120" i="29"/>
  <c r="BO119" i="29"/>
  <c r="BN78" i="29"/>
  <c r="BO77" i="29"/>
  <c r="BQ36" i="29"/>
  <c r="BR35" i="29"/>
  <c r="BP92" i="29"/>
  <c r="BQ91" i="29"/>
  <c r="BO102" i="29"/>
  <c r="BP101" i="29"/>
  <c r="BO93" i="29"/>
  <c r="BN94" i="29"/>
  <c r="BP39" i="29"/>
  <c r="BO40" i="29"/>
  <c r="BP107" i="29"/>
  <c r="BO108" i="29"/>
  <c r="BO63" i="29"/>
  <c r="BO64" i="29" s="1"/>
  <c r="BN68" i="29"/>
  <c r="BO67" i="29"/>
  <c r="BO83" i="29"/>
  <c r="BN84" i="29"/>
  <c r="BO66" i="29"/>
  <c r="BP65" i="29"/>
  <c r="BN80" i="29"/>
  <c r="BO79" i="29"/>
  <c r="BO87" i="29"/>
  <c r="BN88" i="29"/>
  <c r="BO109" i="29"/>
  <c r="BN110" i="29"/>
  <c r="BO82" i="29"/>
  <c r="BP81" i="29"/>
  <c r="BN104" i="29"/>
  <c r="BO103" i="29"/>
  <c r="BL5" i="29"/>
  <c r="BK4" i="29"/>
  <c r="BN116" i="29"/>
  <c r="BO115" i="29"/>
  <c r="BR131" i="29"/>
  <c r="BQ132" i="29"/>
  <c r="BR140" i="29"/>
  <c r="BS139" i="29"/>
  <c r="BP128" i="29"/>
  <c r="BQ126" i="29" s="1"/>
  <c r="BQ127" i="29"/>
  <c r="BR145" i="29"/>
  <c r="BQ146" i="29"/>
  <c r="BT141" i="29"/>
  <c r="BS142" i="29"/>
  <c r="BS137" i="29"/>
  <c r="BR138" i="29"/>
  <c r="BR135" i="29"/>
  <c r="BQ136" i="29"/>
  <c r="BS143" i="29"/>
  <c r="BR144" i="29"/>
  <c r="BR147" i="29"/>
  <c r="BQ148" i="29"/>
  <c r="BR129" i="29"/>
  <c r="BQ130" i="29"/>
  <c r="BQ133" i="29"/>
  <c r="BP134" i="29"/>
  <c r="BU54" i="29" l="1"/>
  <c r="BV53" i="29"/>
  <c r="BT72" i="29"/>
  <c r="BU71" i="29"/>
  <c r="BT44" i="29"/>
  <c r="BU43" i="29"/>
  <c r="BT58" i="29"/>
  <c r="BU57" i="29"/>
  <c r="BU123" i="29"/>
  <c r="BT124" i="29"/>
  <c r="BP96" i="29"/>
  <c r="BP7" i="29" s="1"/>
  <c r="BQ95" i="29"/>
  <c r="BP121" i="29"/>
  <c r="BO122" i="29"/>
  <c r="BP8" i="29"/>
  <c r="BN48" i="29"/>
  <c r="BN9" i="29" s="1"/>
  <c r="BP49" i="29"/>
  <c r="BO50" i="29"/>
  <c r="BP41" i="29"/>
  <c r="BO42" i="29"/>
  <c r="BO100" i="29"/>
  <c r="BP87" i="29"/>
  <c r="BO88" i="29"/>
  <c r="BQ92" i="29"/>
  <c r="BR91" i="29"/>
  <c r="BP112" i="29"/>
  <c r="BQ111" i="29"/>
  <c r="BQ117" i="29"/>
  <c r="BP118" i="29"/>
  <c r="BP51" i="29"/>
  <c r="BO52" i="29"/>
  <c r="BP56" i="29"/>
  <c r="BQ55" i="29"/>
  <c r="BO80" i="29"/>
  <c r="BP79" i="29"/>
  <c r="BP83" i="29"/>
  <c r="BO84" i="29"/>
  <c r="BQ107" i="29"/>
  <c r="BP108" i="29"/>
  <c r="BP103" i="29"/>
  <c r="BO104" i="29"/>
  <c r="BO68" i="29"/>
  <c r="BP67" i="29"/>
  <c r="BR36" i="29"/>
  <c r="BS35" i="29"/>
  <c r="BQ70" i="29"/>
  <c r="BR69" i="29"/>
  <c r="BQ81" i="29"/>
  <c r="BP82" i="29"/>
  <c r="BQ39" i="29"/>
  <c r="BP40" i="29"/>
  <c r="BO106" i="29"/>
  <c r="BP105" i="29"/>
  <c r="BP63" i="29"/>
  <c r="BP64" i="29" s="1"/>
  <c r="BO78" i="29"/>
  <c r="BP77" i="29"/>
  <c r="BP89" i="29"/>
  <c r="BO90" i="29"/>
  <c r="BO38" i="29"/>
  <c r="BO34" i="29" s="1"/>
  <c r="BP37" i="29"/>
  <c r="BO94" i="29"/>
  <c r="BP93" i="29"/>
  <c r="BP114" i="29"/>
  <c r="BQ113" i="29"/>
  <c r="BO116" i="29"/>
  <c r="BP115" i="29"/>
  <c r="BM5" i="29"/>
  <c r="BL4" i="29"/>
  <c r="BP109" i="29"/>
  <c r="BO110" i="29"/>
  <c r="BQ65" i="29"/>
  <c r="BP66" i="29"/>
  <c r="BP102" i="29"/>
  <c r="BQ101" i="29"/>
  <c r="BO120" i="29"/>
  <c r="BP119" i="29"/>
  <c r="BV149" i="29"/>
  <c r="BU150" i="29"/>
  <c r="BP86" i="29"/>
  <c r="BQ85" i="29"/>
  <c r="BR133" i="29"/>
  <c r="BQ134" i="29"/>
  <c r="BS135" i="29"/>
  <c r="BR136" i="29"/>
  <c r="BS145" i="29"/>
  <c r="BR146" i="29"/>
  <c r="BQ128" i="29"/>
  <c r="BR126" i="29" s="1"/>
  <c r="BR127" i="29"/>
  <c r="BS140" i="29"/>
  <c r="BT139" i="29"/>
  <c r="BS129" i="29"/>
  <c r="BR130" i="29"/>
  <c r="BS147" i="29"/>
  <c r="BR148" i="29"/>
  <c r="BT137" i="29"/>
  <c r="BS138" i="29"/>
  <c r="BS144" i="29"/>
  <c r="BT143" i="29"/>
  <c r="BT142" i="29"/>
  <c r="BU141" i="29"/>
  <c r="BS131" i="29"/>
  <c r="BR132" i="29"/>
  <c r="BV54" i="29" l="1"/>
  <c r="BW53" i="29"/>
  <c r="BV123" i="29"/>
  <c r="BU124" i="29"/>
  <c r="BU58" i="29"/>
  <c r="BV57" i="29"/>
  <c r="BV71" i="29"/>
  <c r="BU72" i="29"/>
  <c r="BU44" i="29"/>
  <c r="BV43" i="29"/>
  <c r="BQ96" i="29"/>
  <c r="BQ7" i="29" s="1"/>
  <c r="BR95" i="29"/>
  <c r="BQ8" i="29"/>
  <c r="BP122" i="29"/>
  <c r="BQ121" i="29"/>
  <c r="BO48" i="29"/>
  <c r="BO9" i="29" s="1"/>
  <c r="BQ49" i="29"/>
  <c r="BP50" i="29"/>
  <c r="BP42" i="29"/>
  <c r="BQ41" i="29"/>
  <c r="BP100" i="29"/>
  <c r="BP120" i="29"/>
  <c r="BQ119" i="29"/>
  <c r="BQ109" i="29"/>
  <c r="BP110" i="29"/>
  <c r="BQ63" i="29"/>
  <c r="BQ64" i="29" s="1"/>
  <c r="BQ82" i="29"/>
  <c r="BR81" i="29"/>
  <c r="BR117" i="29"/>
  <c r="BQ118" i="29"/>
  <c r="BR101" i="29"/>
  <c r="BQ102" i="29"/>
  <c r="BP38" i="29"/>
  <c r="BP34" i="29" s="1"/>
  <c r="BQ37" i="29"/>
  <c r="BS69" i="29"/>
  <c r="BR70" i="29"/>
  <c r="BP104" i="29"/>
  <c r="BQ103" i="29"/>
  <c r="BQ112" i="29"/>
  <c r="BR111" i="29"/>
  <c r="BN5" i="29"/>
  <c r="BM4" i="29"/>
  <c r="BM3" i="29" s="1"/>
  <c r="BQ56" i="29"/>
  <c r="BR55" i="29"/>
  <c r="BR85" i="29"/>
  <c r="BQ86" i="29"/>
  <c r="BQ115" i="29"/>
  <c r="BP116" i="29"/>
  <c r="BQ105" i="29"/>
  <c r="BP106" i="29"/>
  <c r="BS36" i="29"/>
  <c r="BT35" i="29"/>
  <c r="BR107" i="29"/>
  <c r="BQ108" i="29"/>
  <c r="BR92" i="29"/>
  <c r="BS91" i="29"/>
  <c r="BQ93" i="29"/>
  <c r="BP94" i="29"/>
  <c r="BP90" i="29"/>
  <c r="BQ89" i="29"/>
  <c r="BQ114" i="29"/>
  <c r="BR113" i="29"/>
  <c r="BQ77" i="29"/>
  <c r="BP78" i="29"/>
  <c r="BQ67" i="29"/>
  <c r="BP68" i="29"/>
  <c r="BP84" i="29"/>
  <c r="BQ83" i="29"/>
  <c r="BW149" i="29"/>
  <c r="BV150" i="29"/>
  <c r="BQ66" i="29"/>
  <c r="BR65" i="29"/>
  <c r="BR39" i="29"/>
  <c r="BQ40" i="29"/>
  <c r="BP80" i="29"/>
  <c r="BQ79" i="29"/>
  <c r="BQ51" i="29"/>
  <c r="BP52" i="29"/>
  <c r="BQ87" i="29"/>
  <c r="BP88" i="29"/>
  <c r="BT147" i="29"/>
  <c r="BS148" i="29"/>
  <c r="BT129" i="29"/>
  <c r="BS130" i="29"/>
  <c r="BT145" i="29"/>
  <c r="BS146" i="29"/>
  <c r="BR128" i="29"/>
  <c r="BS126" i="29" s="1"/>
  <c r="BS127" i="29"/>
  <c r="BU143" i="29"/>
  <c r="BT144" i="29"/>
  <c r="BT140" i="29"/>
  <c r="BU139" i="29"/>
  <c r="BV141" i="29"/>
  <c r="BU142" i="29"/>
  <c r="BS136" i="29"/>
  <c r="BT135" i="29"/>
  <c r="BT131" i="29"/>
  <c r="BS132" i="29"/>
  <c r="BT138" i="29"/>
  <c r="BU137" i="29"/>
  <c r="BS133" i="29"/>
  <c r="BR134" i="29"/>
  <c r="BW54" i="29" l="1"/>
  <c r="BX53" i="29"/>
  <c r="BW71" i="29"/>
  <c r="BV72" i="29"/>
  <c r="BW43" i="29"/>
  <c r="BV44" i="29"/>
  <c r="BV58" i="29"/>
  <c r="BW57" i="29"/>
  <c r="BV124" i="29"/>
  <c r="BW123" i="29"/>
  <c r="BR96" i="29"/>
  <c r="BR7" i="29" s="1"/>
  <c r="BS95" i="29"/>
  <c r="BP48" i="29"/>
  <c r="BP9" i="29" s="1"/>
  <c r="BQ122" i="29"/>
  <c r="BR121" i="29"/>
  <c r="BR8" i="29"/>
  <c r="BR49" i="29"/>
  <c r="BQ50" i="29"/>
  <c r="BQ42" i="29"/>
  <c r="BR41" i="29"/>
  <c r="BQ100" i="29"/>
  <c r="BS81" i="29"/>
  <c r="BR82" i="29"/>
  <c r="BR83" i="29"/>
  <c r="BQ84" i="29"/>
  <c r="BR86" i="29"/>
  <c r="BS85" i="29"/>
  <c r="BR37" i="29"/>
  <c r="BQ38" i="29"/>
  <c r="BQ34" i="29" s="1"/>
  <c r="BR40" i="29"/>
  <c r="BS39" i="29"/>
  <c r="BR56" i="29"/>
  <c r="BS55" i="29"/>
  <c r="BR66" i="29"/>
  <c r="BS65" i="29"/>
  <c r="BQ68" i="29"/>
  <c r="BR67" i="29"/>
  <c r="BR93" i="29"/>
  <c r="BQ94" i="29"/>
  <c r="BQ106" i="29"/>
  <c r="BR105" i="29"/>
  <c r="BR103" i="29"/>
  <c r="BQ104" i="29"/>
  <c r="BR63" i="29"/>
  <c r="BR64" i="29" s="1"/>
  <c r="BQ88" i="29"/>
  <c r="BR87" i="29"/>
  <c r="BS92" i="29"/>
  <c r="BT91" i="29"/>
  <c r="BR102" i="29"/>
  <c r="BS101" i="29"/>
  <c r="BR77" i="29"/>
  <c r="BQ78" i="29"/>
  <c r="BQ116" i="29"/>
  <c r="BR115" i="29"/>
  <c r="BO5" i="29"/>
  <c r="BN4" i="29"/>
  <c r="BR109" i="29"/>
  <c r="BQ110" i="29"/>
  <c r="BQ90" i="29"/>
  <c r="BR89" i="29"/>
  <c r="BR51" i="29"/>
  <c r="BQ52" i="29"/>
  <c r="BX149" i="29"/>
  <c r="BW150" i="29"/>
  <c r="BR114" i="29"/>
  <c r="BS113" i="29"/>
  <c r="BT69" i="29"/>
  <c r="BS70" i="29"/>
  <c r="BS117" i="29"/>
  <c r="BR118" i="29"/>
  <c r="BQ120" i="29"/>
  <c r="BR119" i="29"/>
  <c r="BT36" i="29"/>
  <c r="BU35" i="29"/>
  <c r="BR79" i="29"/>
  <c r="BQ80" i="29"/>
  <c r="BR108" i="29"/>
  <c r="BS107" i="29"/>
  <c r="BR112" i="29"/>
  <c r="BS111" i="29"/>
  <c r="BT133" i="29"/>
  <c r="BS134" i="29"/>
  <c r="BV142" i="29"/>
  <c r="BW141" i="29"/>
  <c r="BU145" i="29"/>
  <c r="BT146" i="29"/>
  <c r="BU138" i="29"/>
  <c r="BV137" i="29"/>
  <c r="BU140" i="29"/>
  <c r="BV139" i="29"/>
  <c r="BT136" i="29"/>
  <c r="BU135" i="29"/>
  <c r="BU129" i="29"/>
  <c r="BT130" i="29"/>
  <c r="BT127" i="29"/>
  <c r="BS128" i="29"/>
  <c r="BT126" i="29" s="1"/>
  <c r="BT132" i="29"/>
  <c r="BU131" i="29"/>
  <c r="BV143" i="29"/>
  <c r="BU144" i="29"/>
  <c r="BT148" i="29"/>
  <c r="BU147" i="29"/>
  <c r="BX54" i="29" l="1"/>
  <c r="BY53" i="29"/>
  <c r="BW58" i="29"/>
  <c r="BX57" i="29"/>
  <c r="BW44" i="29"/>
  <c r="BX43" i="29"/>
  <c r="BW124" i="29"/>
  <c r="BX123" i="29"/>
  <c r="BW72" i="29"/>
  <c r="BX71" i="29"/>
  <c r="BS96" i="29"/>
  <c r="BS7" i="29" s="1"/>
  <c r="G12" i="30" s="1"/>
  <c r="BT95" i="29"/>
  <c r="BQ48" i="29"/>
  <c r="BQ9" i="29" s="1"/>
  <c r="BS8" i="29"/>
  <c r="G13" i="30" s="1"/>
  <c r="BS121" i="29"/>
  <c r="BR122" i="29"/>
  <c r="BS49" i="29"/>
  <c r="BR50" i="29"/>
  <c r="BR42" i="29"/>
  <c r="BS41" i="29"/>
  <c r="BR100" i="29"/>
  <c r="BT107" i="29"/>
  <c r="BS108" i="29"/>
  <c r="BS115" i="29"/>
  <c r="BR116" i="29"/>
  <c r="BR88" i="29"/>
  <c r="BS87" i="29"/>
  <c r="BS86" i="29"/>
  <c r="BT85" i="29"/>
  <c r="BT117" i="29"/>
  <c r="BS118" i="29"/>
  <c r="BS51" i="29"/>
  <c r="BR52" i="29"/>
  <c r="BT55" i="29"/>
  <c r="BS56" i="29"/>
  <c r="BR90" i="29"/>
  <c r="BS89" i="29"/>
  <c r="BR94" i="29"/>
  <c r="BS93" i="29"/>
  <c r="BR80" i="29"/>
  <c r="BS79" i="29"/>
  <c r="BT70" i="29"/>
  <c r="BU69" i="29"/>
  <c r="BS77" i="29"/>
  <c r="BR78" i="29"/>
  <c r="BS63" i="29"/>
  <c r="BS64" i="29" s="1"/>
  <c r="BR68" i="29"/>
  <c r="BS67" i="29"/>
  <c r="BS40" i="29"/>
  <c r="BT39" i="29"/>
  <c r="BR84" i="29"/>
  <c r="BS83" i="29"/>
  <c r="BS112" i="29"/>
  <c r="BT111" i="29"/>
  <c r="BV35" i="29"/>
  <c r="BU36" i="29"/>
  <c r="BT113" i="29"/>
  <c r="BS114" i="29"/>
  <c r="BS22" i="29" s="1"/>
  <c r="BT101" i="29"/>
  <c r="BS102" i="29"/>
  <c r="BS66" i="29"/>
  <c r="BS12" i="29" s="1"/>
  <c r="G23" i="30" s="1"/>
  <c r="BT65" i="29"/>
  <c r="BS82" i="29"/>
  <c r="BT81" i="29"/>
  <c r="BR110" i="29"/>
  <c r="BS109" i="29"/>
  <c r="BR120" i="29"/>
  <c r="BS119" i="29"/>
  <c r="BU91" i="29"/>
  <c r="BT92" i="29"/>
  <c r="BS103" i="29"/>
  <c r="BR104" i="29"/>
  <c r="BS37" i="29"/>
  <c r="BR38" i="29"/>
  <c r="BR34" i="29" s="1"/>
  <c r="BY149" i="29"/>
  <c r="BX150" i="29"/>
  <c r="BP5" i="29"/>
  <c r="BO4" i="29"/>
  <c r="BS105" i="29"/>
  <c r="BR106" i="29"/>
  <c r="BW137" i="29"/>
  <c r="BV138" i="29"/>
  <c r="BW143" i="29"/>
  <c r="BV144" i="29"/>
  <c r="BV129" i="29"/>
  <c r="BU130" i="29"/>
  <c r="BV145" i="29"/>
  <c r="BU146" i="29"/>
  <c r="BV131" i="29"/>
  <c r="BU132" i="29"/>
  <c r="BU136" i="29"/>
  <c r="BV135" i="29"/>
  <c r="BX141" i="29"/>
  <c r="BW142" i="29"/>
  <c r="BU148" i="29"/>
  <c r="BV147" i="29"/>
  <c r="BV140" i="29"/>
  <c r="BW139" i="29"/>
  <c r="BT128" i="29"/>
  <c r="BU126" i="29" s="1"/>
  <c r="BU127" i="29"/>
  <c r="BU133" i="29"/>
  <c r="BT134" i="29"/>
  <c r="BY54" i="29" l="1"/>
  <c r="BZ53" i="29"/>
  <c r="BX72" i="29"/>
  <c r="BY71" i="29"/>
  <c r="BY123" i="29"/>
  <c r="BX124" i="29"/>
  <c r="BX44" i="29"/>
  <c r="BY43" i="29"/>
  <c r="BX58" i="29"/>
  <c r="BY57" i="29"/>
  <c r="G11" i="30"/>
  <c r="BT96" i="29"/>
  <c r="BT7" i="29" s="1"/>
  <c r="BU95" i="29"/>
  <c r="BR48" i="29"/>
  <c r="BR9" i="29" s="1"/>
  <c r="BT121" i="29"/>
  <c r="BS122" i="29"/>
  <c r="BT8" i="29"/>
  <c r="BT49" i="29"/>
  <c r="BS50" i="29"/>
  <c r="BT41" i="29"/>
  <c r="BS42" i="29"/>
  <c r="BS100" i="29"/>
  <c r="BS14" i="29" s="1"/>
  <c r="G16" i="30" s="1"/>
  <c r="BS104" i="29"/>
  <c r="BT103" i="29"/>
  <c r="BT40" i="29"/>
  <c r="BU39" i="29"/>
  <c r="BV69" i="29"/>
  <c r="BU70" i="29"/>
  <c r="BT105" i="29"/>
  <c r="BS106" i="29"/>
  <c r="BU81" i="29"/>
  <c r="BT82" i="29"/>
  <c r="BT114" i="29"/>
  <c r="BU113" i="29"/>
  <c r="BT56" i="29"/>
  <c r="BU55" i="29"/>
  <c r="BQ5" i="29"/>
  <c r="BP4" i="29"/>
  <c r="BP3" i="29" s="1"/>
  <c r="BU92" i="29"/>
  <c r="BV91" i="29"/>
  <c r="BS68" i="29"/>
  <c r="BT67" i="29"/>
  <c r="BS80" i="29"/>
  <c r="BT79" i="29"/>
  <c r="BT87" i="29"/>
  <c r="BS88" i="29"/>
  <c r="BS120" i="29"/>
  <c r="BT119" i="29"/>
  <c r="BT66" i="29"/>
  <c r="BU65" i="29"/>
  <c r="BV36" i="29"/>
  <c r="BW35" i="29"/>
  <c r="BT51" i="29"/>
  <c r="BS52" i="29"/>
  <c r="BZ149" i="29"/>
  <c r="BY150" i="29"/>
  <c r="BT112" i="29"/>
  <c r="BU111" i="29"/>
  <c r="BT93" i="29"/>
  <c r="BS94" i="29"/>
  <c r="BT63" i="29"/>
  <c r="BT64" i="29" s="1"/>
  <c r="BS11" i="29"/>
  <c r="G22" i="30" s="1"/>
  <c r="BU117" i="29"/>
  <c r="BT118" i="29"/>
  <c r="BS116" i="29"/>
  <c r="BT115" i="29"/>
  <c r="BT37" i="29"/>
  <c r="BS38" i="29"/>
  <c r="BS34" i="29" s="1"/>
  <c r="BS84" i="29"/>
  <c r="BT83" i="29"/>
  <c r="BS90" i="29"/>
  <c r="BT89" i="29"/>
  <c r="BU85" i="29"/>
  <c r="BT86" i="29"/>
  <c r="BT109" i="29"/>
  <c r="BS110" i="29"/>
  <c r="BU101" i="29"/>
  <c r="BT102" i="29"/>
  <c r="BS78" i="29"/>
  <c r="BT77" i="29"/>
  <c r="BT108" i="29"/>
  <c r="BU107" i="29"/>
  <c r="BV133" i="29"/>
  <c r="BU134" i="29"/>
  <c r="BY141" i="29"/>
  <c r="BX142" i="29"/>
  <c r="BW129" i="29"/>
  <c r="BV130" i="29"/>
  <c r="BV136" i="29"/>
  <c r="BW135" i="29"/>
  <c r="BW144" i="29"/>
  <c r="BX143" i="29"/>
  <c r="BW140" i="29"/>
  <c r="BX139" i="29"/>
  <c r="BU128" i="29"/>
  <c r="BV126" i="29" s="1"/>
  <c r="BV127" i="29"/>
  <c r="BW131" i="29"/>
  <c r="BV132" i="29"/>
  <c r="BW138" i="29"/>
  <c r="BX137" i="29"/>
  <c r="BW147" i="29"/>
  <c r="BV148" i="29"/>
  <c r="BW145" i="29"/>
  <c r="BV146" i="29"/>
  <c r="BZ54" i="29" l="1"/>
  <c r="CA53" i="29"/>
  <c r="BY44" i="29"/>
  <c r="BZ43" i="29"/>
  <c r="BZ123" i="29"/>
  <c r="BY124" i="29"/>
  <c r="BY72" i="29"/>
  <c r="BZ71" i="29"/>
  <c r="BY58" i="29"/>
  <c r="BZ57" i="29"/>
  <c r="BU96" i="29"/>
  <c r="BU7" i="29" s="1"/>
  <c r="BV95" i="29"/>
  <c r="BS48" i="29"/>
  <c r="BS9" i="29" s="1"/>
  <c r="G15" i="30" s="1"/>
  <c r="G14" i="30" s="1"/>
  <c r="BU8" i="29"/>
  <c r="BT100" i="29"/>
  <c r="BT122" i="29"/>
  <c r="BU121" i="29"/>
  <c r="BU49" i="29"/>
  <c r="BT50" i="29"/>
  <c r="BT42" i="29"/>
  <c r="BU41" i="29"/>
  <c r="BS15" i="29"/>
  <c r="G24" i="30" s="1"/>
  <c r="BU108" i="29"/>
  <c r="BV107" i="29"/>
  <c r="BU37" i="29"/>
  <c r="BT38" i="29"/>
  <c r="BT34" i="29" s="1"/>
  <c r="BW91" i="29"/>
  <c r="BV92" i="29"/>
  <c r="BV113" i="29"/>
  <c r="BU114" i="29"/>
  <c r="BW69" i="29"/>
  <c r="BV70" i="29"/>
  <c r="BV85" i="29"/>
  <c r="BU86" i="29"/>
  <c r="BU115" i="29"/>
  <c r="BT116" i="29"/>
  <c r="BU40" i="29"/>
  <c r="BV39" i="29"/>
  <c r="BU77" i="29"/>
  <c r="BT78" i="29"/>
  <c r="BT90" i="29"/>
  <c r="BU89" i="29"/>
  <c r="BT94" i="29"/>
  <c r="BU93" i="29"/>
  <c r="BU51" i="29"/>
  <c r="BT52" i="29"/>
  <c r="BU87" i="29"/>
  <c r="BT88" i="29"/>
  <c r="BV111" i="29"/>
  <c r="BU112" i="29"/>
  <c r="BW36" i="29"/>
  <c r="BX35" i="29"/>
  <c r="BR5" i="29"/>
  <c r="BQ4" i="29"/>
  <c r="BU82" i="29"/>
  <c r="BV81" i="29"/>
  <c r="BT104" i="29"/>
  <c r="BU103" i="29"/>
  <c r="BU83" i="29"/>
  <c r="BT84" i="29"/>
  <c r="BV117" i="29"/>
  <c r="BU118" i="29"/>
  <c r="BU79" i="29"/>
  <c r="BT80" i="29"/>
  <c r="BT120" i="29"/>
  <c r="BU119" i="29"/>
  <c r="BV101" i="29"/>
  <c r="BU102" i="29"/>
  <c r="BU66" i="29"/>
  <c r="BV65" i="29"/>
  <c r="BU105" i="29"/>
  <c r="BT106" i="29"/>
  <c r="BU109" i="29"/>
  <c r="BT110" i="29"/>
  <c r="BU63" i="29"/>
  <c r="BU64" i="29" s="1"/>
  <c r="CA149" i="29"/>
  <c r="BZ150" i="29"/>
  <c r="BT68" i="29"/>
  <c r="BU67" i="29"/>
  <c r="BU56" i="29"/>
  <c r="BV55" i="29"/>
  <c r="BX131" i="29"/>
  <c r="BW132" i="29"/>
  <c r="BV128" i="29"/>
  <c r="BW126" i="29" s="1"/>
  <c r="BW127" i="29"/>
  <c r="BW146" i="29"/>
  <c r="BX145" i="29"/>
  <c r="BW130" i="29"/>
  <c r="BX129" i="29"/>
  <c r="BX140" i="29"/>
  <c r="BY139" i="29"/>
  <c r="BW136" i="29"/>
  <c r="BX135" i="29"/>
  <c r="BX147" i="29"/>
  <c r="BW148" i="29"/>
  <c r="BZ141" i="29"/>
  <c r="BY142" i="29"/>
  <c r="BY137" i="29"/>
  <c r="BX138" i="29"/>
  <c r="BY143" i="29"/>
  <c r="BX144" i="29"/>
  <c r="BV134" i="29"/>
  <c r="BW133" i="29"/>
  <c r="CA54" i="29" l="1"/>
  <c r="CB53" i="29"/>
  <c r="CA57" i="29"/>
  <c r="BZ58" i="29"/>
  <c r="BZ72" i="29"/>
  <c r="CA71" i="29"/>
  <c r="BZ124" i="29"/>
  <c r="CA123" i="29"/>
  <c r="BZ44" i="29"/>
  <c r="CA43" i="29"/>
  <c r="BV96" i="29"/>
  <c r="BV7" i="29" s="1"/>
  <c r="BW95" i="29"/>
  <c r="BT48" i="29"/>
  <c r="BT9" i="29" s="1"/>
  <c r="BS10" i="29"/>
  <c r="G21" i="30" s="1"/>
  <c r="BS26" i="29"/>
  <c r="G19" i="30" s="1"/>
  <c r="BV121" i="29"/>
  <c r="BU122" i="29"/>
  <c r="BV8" i="29"/>
  <c r="BU50" i="29"/>
  <c r="BV49" i="29"/>
  <c r="BU42" i="29"/>
  <c r="BV41" i="29"/>
  <c r="BU100" i="29"/>
  <c r="BV63" i="29"/>
  <c r="BV64" i="29" s="1"/>
  <c r="BU88" i="29"/>
  <c r="BV87" i="29"/>
  <c r="BV77" i="29"/>
  <c r="BU78" i="29"/>
  <c r="BW70" i="29"/>
  <c r="BX69" i="29"/>
  <c r="BW55" i="29"/>
  <c r="BV56" i="29"/>
  <c r="BW101" i="29"/>
  <c r="BV102" i="29"/>
  <c r="BV118" i="29"/>
  <c r="BW117" i="29"/>
  <c r="BV40" i="29"/>
  <c r="BW39" i="29"/>
  <c r="BU110" i="29"/>
  <c r="BV109" i="29"/>
  <c r="BU120" i="29"/>
  <c r="BV119" i="29"/>
  <c r="BS5" i="29"/>
  <c r="BR4" i="29"/>
  <c r="BV51" i="29"/>
  <c r="BU52" i="29"/>
  <c r="BW113" i="29"/>
  <c r="BV114" i="29"/>
  <c r="BV37" i="29"/>
  <c r="BU38" i="29"/>
  <c r="BU34" i="29" s="1"/>
  <c r="BV67" i="29"/>
  <c r="BU68" i="29"/>
  <c r="BU84" i="29"/>
  <c r="BV83" i="29"/>
  <c r="BX36" i="29"/>
  <c r="BY35" i="29"/>
  <c r="BV93" i="29"/>
  <c r="BU94" i="29"/>
  <c r="BV108" i="29"/>
  <c r="BW107" i="29"/>
  <c r="BU106" i="29"/>
  <c r="BV105" i="29"/>
  <c r="BU116" i="29"/>
  <c r="BV115" i="29"/>
  <c r="BW92" i="29"/>
  <c r="BX91" i="29"/>
  <c r="BV103" i="29"/>
  <c r="BU104" i="29"/>
  <c r="BV89" i="29"/>
  <c r="BU90" i="29"/>
  <c r="CA150" i="29"/>
  <c r="CB149" i="29"/>
  <c r="BV66" i="29"/>
  <c r="BW65" i="29"/>
  <c r="BV112" i="29"/>
  <c r="BW111" i="29"/>
  <c r="BV86" i="29"/>
  <c r="BW85" i="29"/>
  <c r="BV79" i="29"/>
  <c r="BU80" i="29"/>
  <c r="BW81" i="29"/>
  <c r="BV82" i="29"/>
  <c r="BY147" i="29"/>
  <c r="BX148" i="29"/>
  <c r="BX136" i="29"/>
  <c r="BY135" i="29"/>
  <c r="BW128" i="29"/>
  <c r="BX126" i="29" s="1"/>
  <c r="BX127" i="29"/>
  <c r="BY140" i="29"/>
  <c r="BZ139" i="29"/>
  <c r="BY138" i="29"/>
  <c r="BZ137" i="29"/>
  <c r="BY131" i="29"/>
  <c r="BX132" i="29"/>
  <c r="BX146" i="29"/>
  <c r="BY145" i="29"/>
  <c r="BY129" i="29"/>
  <c r="BX130" i="29"/>
  <c r="BX133" i="29"/>
  <c r="BW134" i="29"/>
  <c r="BY144" i="29"/>
  <c r="BZ143" i="29"/>
  <c r="BZ142" i="29"/>
  <c r="CA141" i="29"/>
  <c r="CB54" i="29" l="1"/>
  <c r="CC53" i="29"/>
  <c r="CA44" i="29"/>
  <c r="CB43" i="29"/>
  <c r="CB123" i="29"/>
  <c r="CA124" i="29"/>
  <c r="CA72" i="29"/>
  <c r="CB71" i="29"/>
  <c r="CB57" i="29"/>
  <c r="CA58" i="29"/>
  <c r="BW96" i="29"/>
  <c r="BW7" i="29" s="1"/>
  <c r="BX95" i="29"/>
  <c r="BU48" i="29"/>
  <c r="BU9" i="29" s="1"/>
  <c r="BS13" i="29"/>
  <c r="G20" i="30" s="1"/>
  <c r="BW8" i="29"/>
  <c r="BW121" i="29"/>
  <c r="BV122" i="29"/>
  <c r="BV50" i="29"/>
  <c r="BW49" i="29"/>
  <c r="BW41" i="29"/>
  <c r="BV42" i="29"/>
  <c r="BV100" i="29"/>
  <c r="CB150" i="29"/>
  <c r="CC149" i="29"/>
  <c r="BV52" i="29"/>
  <c r="BW51" i="29"/>
  <c r="BY91" i="29"/>
  <c r="BX92" i="29"/>
  <c r="BW108" i="29"/>
  <c r="BX107" i="29"/>
  <c r="BX117" i="29"/>
  <c r="BW118" i="29"/>
  <c r="BX85" i="29"/>
  <c r="BW86" i="29"/>
  <c r="BV68" i="29"/>
  <c r="BW67" i="29"/>
  <c r="G10" i="30"/>
  <c r="BT5" i="29"/>
  <c r="BS4" i="29"/>
  <c r="BS3" i="29" s="1"/>
  <c r="BW77" i="29"/>
  <c r="BV78" i="29"/>
  <c r="BW82" i="29"/>
  <c r="BX81" i="29"/>
  <c r="BW115" i="29"/>
  <c r="BV116" i="29"/>
  <c r="BW119" i="29"/>
  <c r="BV120" i="29"/>
  <c r="BV88" i="29"/>
  <c r="BW87" i="29"/>
  <c r="BW112" i="29"/>
  <c r="BX111" i="29"/>
  <c r="BW93" i="29"/>
  <c r="BV94" i="29"/>
  <c r="BW37" i="29"/>
  <c r="BV38" i="29"/>
  <c r="BV34" i="29" s="1"/>
  <c r="BX101" i="29"/>
  <c r="BW102" i="29"/>
  <c r="BW79" i="29"/>
  <c r="BV80" i="29"/>
  <c r="BV90" i="29"/>
  <c r="BW89" i="29"/>
  <c r="BZ35" i="29"/>
  <c r="BY36" i="29"/>
  <c r="BV110" i="29"/>
  <c r="BW109" i="29"/>
  <c r="BX65" i="29"/>
  <c r="BW66" i="29"/>
  <c r="BX113" i="29"/>
  <c r="BW114" i="29"/>
  <c r="BX55" i="29"/>
  <c r="BW56" i="29"/>
  <c r="BV104" i="29"/>
  <c r="BW103" i="29"/>
  <c r="BV106" i="29"/>
  <c r="BW105" i="29"/>
  <c r="BV84" i="29"/>
  <c r="BW83" i="29"/>
  <c r="BW40" i="29"/>
  <c r="BX39" i="29"/>
  <c r="BX70" i="29"/>
  <c r="BY69" i="29"/>
  <c r="BW63" i="29"/>
  <c r="BW64" i="29" s="1"/>
  <c r="BZ129" i="29"/>
  <c r="BY130" i="29"/>
  <c r="CB141" i="29"/>
  <c r="CA142" i="29"/>
  <c r="BZ145" i="29"/>
  <c r="BY146" i="29"/>
  <c r="BX128" i="29"/>
  <c r="BY126" i="29" s="1"/>
  <c r="BY127" i="29"/>
  <c r="CA143" i="29"/>
  <c r="BZ144" i="29"/>
  <c r="BZ135" i="29"/>
  <c r="BY136" i="29"/>
  <c r="BZ140" i="29"/>
  <c r="CA139" i="29"/>
  <c r="BZ131" i="29"/>
  <c r="BY132" i="29"/>
  <c r="CA137" i="29"/>
  <c r="BZ138" i="29"/>
  <c r="BY133" i="29"/>
  <c r="BX134" i="29"/>
  <c r="BZ147" i="29"/>
  <c r="BY148" i="29"/>
  <c r="CC54" i="29" l="1"/>
  <c r="CD53" i="29"/>
  <c r="CB72" i="29"/>
  <c r="CC71" i="29"/>
  <c r="CC57" i="29"/>
  <c r="CB58" i="29"/>
  <c r="CB124" i="29"/>
  <c r="CC123" i="29"/>
  <c r="CB44" i="29"/>
  <c r="CC43" i="29"/>
  <c r="BX96" i="29"/>
  <c r="BX7" i="29" s="1"/>
  <c r="BY95" i="29"/>
  <c r="BV48" i="29"/>
  <c r="BV9" i="29" s="1"/>
  <c r="BS27" i="29"/>
  <c r="G18" i="30" s="1"/>
  <c r="BX121" i="29"/>
  <c r="BW122" i="29"/>
  <c r="BX8" i="29"/>
  <c r="BX49" i="29"/>
  <c r="BW50" i="29"/>
  <c r="BW42" i="29"/>
  <c r="BX41" i="29"/>
  <c r="BW100" i="29"/>
  <c r="BX51" i="29"/>
  <c r="BW52" i="29"/>
  <c r="BW78" i="29"/>
  <c r="BX77" i="29"/>
  <c r="BX63" i="29"/>
  <c r="BX64" i="29" s="1"/>
  <c r="BX105" i="29"/>
  <c r="BW106" i="29"/>
  <c r="BW38" i="29"/>
  <c r="BW34" i="29" s="1"/>
  <c r="BX37" i="29"/>
  <c r="BY85" i="29"/>
  <c r="BX86" i="29"/>
  <c r="BZ69" i="29"/>
  <c r="BY70" i="29"/>
  <c r="BW90" i="29"/>
  <c r="BX89" i="29"/>
  <c r="BW120" i="29"/>
  <c r="BX119" i="29"/>
  <c r="BT4" i="29"/>
  <c r="BU5" i="29"/>
  <c r="CD149" i="29"/>
  <c r="CC150" i="29"/>
  <c r="BX103" i="29"/>
  <c r="BW104" i="29"/>
  <c r="BY65" i="29"/>
  <c r="BX66" i="29"/>
  <c r="BW94" i="29"/>
  <c r="BX93" i="29"/>
  <c r="G30" i="30"/>
  <c r="G44" i="30"/>
  <c r="G37" i="30"/>
  <c r="BY117" i="29"/>
  <c r="BX118" i="29"/>
  <c r="BY39" i="29"/>
  <c r="BX40" i="29"/>
  <c r="BX109" i="29"/>
  <c r="BW110" i="29"/>
  <c r="BY111" i="29"/>
  <c r="BX112" i="29"/>
  <c r="BW116" i="29"/>
  <c r="BX115" i="29"/>
  <c r="BX67" i="29"/>
  <c r="BW68" i="29"/>
  <c r="BX108" i="29"/>
  <c r="BY107" i="29"/>
  <c r="BX114" i="29"/>
  <c r="BY113" i="29"/>
  <c r="BW80" i="29"/>
  <c r="BX79" i="29"/>
  <c r="BX82" i="29"/>
  <c r="BY81" i="29"/>
  <c r="BY55" i="29"/>
  <c r="BX56" i="29"/>
  <c r="BW88" i="29"/>
  <c r="BX87" i="29"/>
  <c r="BX83" i="29"/>
  <c r="BW84" i="29"/>
  <c r="BZ36" i="29"/>
  <c r="CA35" i="29"/>
  <c r="BX102" i="29"/>
  <c r="BY101" i="29"/>
  <c r="BZ91" i="29"/>
  <c r="BY92" i="29"/>
  <c r="CA147" i="29"/>
  <c r="BZ148" i="29"/>
  <c r="CA145" i="29"/>
  <c r="BZ146" i="29"/>
  <c r="CA140" i="29"/>
  <c r="CB139" i="29"/>
  <c r="BZ133" i="29"/>
  <c r="BY134" i="29"/>
  <c r="BZ136" i="29"/>
  <c r="CA135" i="29"/>
  <c r="CB142" i="29"/>
  <c r="CC141" i="29"/>
  <c r="CB137" i="29"/>
  <c r="CA138" i="29"/>
  <c r="CA144" i="29"/>
  <c r="CB143" i="29"/>
  <c r="CA129" i="29"/>
  <c r="BZ130" i="29"/>
  <c r="BY128" i="29"/>
  <c r="BZ126" i="29" s="1"/>
  <c r="BZ127" i="29"/>
  <c r="CA131" i="29"/>
  <c r="BZ132" i="29"/>
  <c r="CD54" i="29" l="1"/>
  <c r="CE53" i="29"/>
  <c r="CD123" i="29"/>
  <c r="CC124" i="29"/>
  <c r="CD57" i="29"/>
  <c r="CC58" i="29"/>
  <c r="CC44" i="29"/>
  <c r="CD43" i="29"/>
  <c r="CC72" i="29"/>
  <c r="CD71" i="29"/>
  <c r="BY96" i="29"/>
  <c r="BY7" i="29" s="1"/>
  <c r="BZ95" i="29"/>
  <c r="BS28" i="29"/>
  <c r="G17" i="30" s="1"/>
  <c r="G31" i="30" s="1"/>
  <c r="G35" i="30" s="1"/>
  <c r="BY121" i="29"/>
  <c r="BX122" i="29"/>
  <c r="BY8" i="29"/>
  <c r="BW48" i="29"/>
  <c r="BW9" i="29" s="1"/>
  <c r="BY49" i="29"/>
  <c r="BX50" i="29"/>
  <c r="BY41" i="29"/>
  <c r="BX42" i="29"/>
  <c r="BX100" i="29"/>
  <c r="BZ92" i="29"/>
  <c r="CA91" i="29"/>
  <c r="G38" i="30"/>
  <c r="G45" i="30"/>
  <c r="BY82" i="29"/>
  <c r="BZ81" i="29"/>
  <c r="BY105" i="29"/>
  <c r="BX106" i="29"/>
  <c r="BZ101" i="29"/>
  <c r="BY102" i="29"/>
  <c r="BY87" i="29"/>
  <c r="BX88" i="29"/>
  <c r="BX68" i="29"/>
  <c r="BY67" i="29"/>
  <c r="BY40" i="29"/>
  <c r="BZ39" i="29"/>
  <c r="BX120" i="29"/>
  <c r="BY119" i="29"/>
  <c r="BY109" i="29"/>
  <c r="BX110" i="29"/>
  <c r="BX80" i="29"/>
  <c r="BY79" i="29"/>
  <c r="BX116" i="29"/>
  <c r="BY115" i="29"/>
  <c r="BY66" i="29"/>
  <c r="BZ65" i="29"/>
  <c r="BY63" i="29"/>
  <c r="BY64" i="29" s="1"/>
  <c r="BX94" i="29"/>
  <c r="BY93" i="29"/>
  <c r="CA36" i="29"/>
  <c r="CB35" i="29"/>
  <c r="BY118" i="29"/>
  <c r="BZ117" i="29"/>
  <c r="BX90" i="29"/>
  <c r="BY89" i="29"/>
  <c r="BZ85" i="29"/>
  <c r="BY86" i="29"/>
  <c r="BX78" i="29"/>
  <c r="BY77" i="29"/>
  <c r="BY114" i="29"/>
  <c r="BZ113" i="29"/>
  <c r="BY103" i="29"/>
  <c r="BX104" i="29"/>
  <c r="BY37" i="29"/>
  <c r="BX38" i="29"/>
  <c r="BX34" i="29" s="1"/>
  <c r="BV5" i="29"/>
  <c r="BU4" i="29"/>
  <c r="BZ55" i="29"/>
  <c r="BY56" i="29"/>
  <c r="BY112" i="29"/>
  <c r="BZ111" i="29"/>
  <c r="BY83" i="29"/>
  <c r="BX84" i="29"/>
  <c r="BZ107" i="29"/>
  <c r="BY108" i="29"/>
  <c r="CE149" i="29"/>
  <c r="CD150" i="29"/>
  <c r="BZ70" i="29"/>
  <c r="CA69" i="29"/>
  <c r="BX52" i="29"/>
  <c r="BY51" i="29"/>
  <c r="CA133" i="29"/>
  <c r="BZ134" i="29"/>
  <c r="CB140" i="29"/>
  <c r="CC139" i="29"/>
  <c r="CB131" i="29"/>
  <c r="CA132" i="29"/>
  <c r="CB138" i="29"/>
  <c r="CC137" i="29"/>
  <c r="BZ128" i="29"/>
  <c r="CA126" i="29" s="1"/>
  <c r="CA127" i="29"/>
  <c r="CD141" i="29"/>
  <c r="CC142" i="29"/>
  <c r="CB145" i="29"/>
  <c r="CA146" i="29"/>
  <c r="CC143" i="29"/>
  <c r="CB144" i="29"/>
  <c r="CA136" i="29"/>
  <c r="CB135" i="29"/>
  <c r="CB129" i="29"/>
  <c r="CA130" i="29"/>
  <c r="CB147" i="29"/>
  <c r="CA148" i="29"/>
  <c r="CE54" i="29" l="1"/>
  <c r="CF53" i="29"/>
  <c r="CD44" i="29"/>
  <c r="CE43" i="29"/>
  <c r="CD58" i="29"/>
  <c r="CE57" i="29"/>
  <c r="CE71" i="29"/>
  <c r="CD72" i="29"/>
  <c r="CE123" i="29"/>
  <c r="CD124" i="29"/>
  <c r="BZ96" i="29"/>
  <c r="BZ7" i="29" s="1"/>
  <c r="CA95" i="29"/>
  <c r="BX48" i="29"/>
  <c r="BX9" i="29" s="1"/>
  <c r="G34" i="30"/>
  <c r="G32" i="30"/>
  <c r="G33" i="30" s="1"/>
  <c r="BZ8" i="29"/>
  <c r="BZ121" i="29"/>
  <c r="BY122" i="29"/>
  <c r="BY50" i="29"/>
  <c r="BZ49" i="29"/>
  <c r="BZ41" i="29"/>
  <c r="BY42" i="29"/>
  <c r="BY100" i="29"/>
  <c r="CA101" i="29"/>
  <c r="BZ102" i="29"/>
  <c r="CB91" i="29"/>
  <c r="CA92" i="29"/>
  <c r="G42" i="30"/>
  <c r="G41" i="30"/>
  <c r="G39" i="30"/>
  <c r="G40" i="30" s="1"/>
  <c r="BY38" i="29"/>
  <c r="BY34" i="29" s="1"/>
  <c r="BZ37" i="29"/>
  <c r="BZ40" i="29"/>
  <c r="CA39" i="29"/>
  <c r="CE150" i="29"/>
  <c r="CF149" i="29"/>
  <c r="BY94" i="29"/>
  <c r="BZ93" i="29"/>
  <c r="BZ79" i="29"/>
  <c r="BY80" i="29"/>
  <c r="BZ105" i="29"/>
  <c r="BY106" i="29"/>
  <c r="BW5" i="29"/>
  <c r="BV4" i="29"/>
  <c r="BV3" i="29" s="1"/>
  <c r="BY120" i="29"/>
  <c r="BZ119" i="29"/>
  <c r="CB36" i="29"/>
  <c r="CC35" i="29"/>
  <c r="BZ56" i="29"/>
  <c r="CA55" i="29"/>
  <c r="BY104" i="29"/>
  <c r="BZ103" i="29"/>
  <c r="BZ86" i="29"/>
  <c r="CA85" i="29"/>
  <c r="BY68" i="29"/>
  <c r="BZ67" i="29"/>
  <c r="BY78" i="29"/>
  <c r="BZ77" i="29"/>
  <c r="BZ108" i="29"/>
  <c r="CA107" i="29"/>
  <c r="BZ114" i="29"/>
  <c r="CA113" i="29"/>
  <c r="BY90" i="29"/>
  <c r="BZ89" i="29"/>
  <c r="BZ82" i="29"/>
  <c r="CA81" i="29"/>
  <c r="BZ115" i="29"/>
  <c r="BY116" i="29"/>
  <c r="BY52" i="29"/>
  <c r="BZ51" i="29"/>
  <c r="BZ63" i="29"/>
  <c r="BZ64" i="29" s="1"/>
  <c r="CB69" i="29"/>
  <c r="CA70" i="29"/>
  <c r="CA111" i="29"/>
  <c r="BZ112" i="29"/>
  <c r="BZ83" i="29"/>
  <c r="BY84" i="29"/>
  <c r="CA117" i="29"/>
  <c r="BZ118" i="29"/>
  <c r="CA65" i="29"/>
  <c r="BZ66" i="29"/>
  <c r="BZ109" i="29"/>
  <c r="BY110" i="29"/>
  <c r="BY88" i="29"/>
  <c r="BZ87" i="29"/>
  <c r="G49" i="30"/>
  <c r="G46" i="30"/>
  <c r="G47" i="30" s="1"/>
  <c r="G48" i="30"/>
  <c r="CB148" i="29"/>
  <c r="CC147" i="29"/>
  <c r="CC145" i="29"/>
  <c r="CB146" i="29"/>
  <c r="CB132" i="29"/>
  <c r="CC131" i="29"/>
  <c r="CC140" i="29"/>
  <c r="CD139" i="29"/>
  <c r="CC129" i="29"/>
  <c r="CB130" i="29"/>
  <c r="CD142" i="29"/>
  <c r="CE141" i="29"/>
  <c r="CB136" i="29"/>
  <c r="CC135" i="29"/>
  <c r="CA128" i="29"/>
  <c r="CB126" i="29" s="1"/>
  <c r="CB127" i="29"/>
  <c r="CB133" i="29"/>
  <c r="CA134" i="29"/>
  <c r="CD137" i="29"/>
  <c r="CC138" i="29"/>
  <c r="CD143" i="29"/>
  <c r="CC144" i="29"/>
  <c r="CF54" i="29" l="1"/>
  <c r="CG53" i="29"/>
  <c r="CE124" i="29"/>
  <c r="CF123" i="29"/>
  <c r="CE72" i="29"/>
  <c r="CF71" i="29"/>
  <c r="CF57" i="29"/>
  <c r="CE58" i="29"/>
  <c r="CE44" i="29"/>
  <c r="CF43" i="29"/>
  <c r="CA96" i="29"/>
  <c r="CA7" i="29" s="1"/>
  <c r="CB95" i="29"/>
  <c r="BY48" i="29"/>
  <c r="BY9" i="29" s="1"/>
  <c r="BZ122" i="29"/>
  <c r="CA121" i="29"/>
  <c r="CA8" i="29"/>
  <c r="BZ50" i="29"/>
  <c r="CA49" i="29"/>
  <c r="BZ42" i="29"/>
  <c r="CA41" i="29"/>
  <c r="BZ100" i="29"/>
  <c r="CA66" i="29"/>
  <c r="CB65" i="29"/>
  <c r="BZ88" i="29"/>
  <c r="CA87" i="29"/>
  <c r="CA63" i="29"/>
  <c r="CA64" i="29" s="1"/>
  <c r="BX5" i="29"/>
  <c r="BW4" i="29"/>
  <c r="BZ84" i="29"/>
  <c r="CA83" i="29"/>
  <c r="BZ52" i="29"/>
  <c r="CA51" i="29"/>
  <c r="CA114" i="29"/>
  <c r="CB113" i="29"/>
  <c r="CA56" i="29"/>
  <c r="CB55" i="29"/>
  <c r="CG149" i="29"/>
  <c r="CF150" i="29"/>
  <c r="CB81" i="29"/>
  <c r="CA82" i="29"/>
  <c r="CA109" i="29"/>
  <c r="BZ110" i="29"/>
  <c r="CA67" i="29"/>
  <c r="BZ68" i="29"/>
  <c r="CC36" i="29"/>
  <c r="CD35" i="29"/>
  <c r="CA112" i="29"/>
  <c r="CB111" i="29"/>
  <c r="CA115" i="29"/>
  <c r="BZ116" i="29"/>
  <c r="CA105" i="29"/>
  <c r="BZ106" i="29"/>
  <c r="CA119" i="29"/>
  <c r="BZ120" i="29"/>
  <c r="CA40" i="29"/>
  <c r="CB39" i="29"/>
  <c r="CB92" i="29"/>
  <c r="CC91" i="29"/>
  <c r="CA86" i="29"/>
  <c r="CB85" i="29"/>
  <c r="CC69" i="29"/>
  <c r="CB70" i="29"/>
  <c r="BZ80" i="29"/>
  <c r="CA79" i="29"/>
  <c r="CB107" i="29"/>
  <c r="CA108" i="29"/>
  <c r="CB117" i="29"/>
  <c r="CA118" i="29"/>
  <c r="BZ90" i="29"/>
  <c r="CA89" i="29"/>
  <c r="CA77" i="29"/>
  <c r="BZ78" i="29"/>
  <c r="CA103" i="29"/>
  <c r="BZ104" i="29"/>
  <c r="CA93" i="29"/>
  <c r="BZ94" i="29"/>
  <c r="BZ38" i="29"/>
  <c r="BZ34" i="29" s="1"/>
  <c r="CA37" i="29"/>
  <c r="CB101" i="29"/>
  <c r="CA102" i="29"/>
  <c r="CC136" i="29"/>
  <c r="CD135" i="29"/>
  <c r="CD131" i="29"/>
  <c r="CC132" i="29"/>
  <c r="CF141" i="29"/>
  <c r="CE142" i="29"/>
  <c r="CE137" i="29"/>
  <c r="CD138" i="29"/>
  <c r="CD145" i="29"/>
  <c r="CC146" i="29"/>
  <c r="CE139" i="29"/>
  <c r="CD140" i="29"/>
  <c r="CC148" i="29"/>
  <c r="CD147" i="29"/>
  <c r="CB128" i="29"/>
  <c r="CC126" i="29" s="1"/>
  <c r="CC127" i="29"/>
  <c r="CE143" i="29"/>
  <c r="CD144" i="29"/>
  <c r="CC133" i="29"/>
  <c r="CB134" i="29"/>
  <c r="CD129" i="29"/>
  <c r="CC130" i="29"/>
  <c r="CG54" i="29" l="1"/>
  <c r="CH53" i="29"/>
  <c r="CF44" i="29"/>
  <c r="CG43" i="29"/>
  <c r="CF58" i="29"/>
  <c r="CG57" i="29"/>
  <c r="CF72" i="29"/>
  <c r="CG71" i="29"/>
  <c r="CG123" i="29"/>
  <c r="CF124" i="29"/>
  <c r="CB96" i="29"/>
  <c r="CB7" i="29" s="1"/>
  <c r="CC95" i="29"/>
  <c r="BZ48" i="29"/>
  <c r="BZ9" i="29" s="1"/>
  <c r="CB8" i="29"/>
  <c r="CB121" i="29"/>
  <c r="CA122" i="29"/>
  <c r="CA50" i="29"/>
  <c r="CB49" i="29"/>
  <c r="CA42" i="29"/>
  <c r="CB41" i="29"/>
  <c r="CA100" i="29"/>
  <c r="CD69" i="29"/>
  <c r="CC70" i="29"/>
  <c r="CA120" i="29"/>
  <c r="CB119" i="29"/>
  <c r="CA110" i="29"/>
  <c r="CB109" i="29"/>
  <c r="CB56" i="29"/>
  <c r="CC55" i="29"/>
  <c r="CB93" i="29"/>
  <c r="CA94" i="29"/>
  <c r="CB118" i="29"/>
  <c r="CC117" i="29"/>
  <c r="CB86" i="29"/>
  <c r="CC85" i="29"/>
  <c r="CD36" i="29"/>
  <c r="CE35" i="29"/>
  <c r="BY5" i="29"/>
  <c r="BX4" i="29"/>
  <c r="CC81" i="29"/>
  <c r="CB82" i="29"/>
  <c r="CC113" i="29"/>
  <c r="CB114" i="29"/>
  <c r="CB63" i="29"/>
  <c r="CB64" i="29" s="1"/>
  <c r="CB103" i="29"/>
  <c r="CA104" i="29"/>
  <c r="CB108" i="29"/>
  <c r="CC107" i="29"/>
  <c r="CD91" i="29"/>
  <c r="CC92" i="29"/>
  <c r="CB105" i="29"/>
  <c r="CA106" i="29"/>
  <c r="CA68" i="29"/>
  <c r="CB67" i="29"/>
  <c r="CB51" i="29"/>
  <c r="CA52" i="29"/>
  <c r="CA88" i="29"/>
  <c r="CB87" i="29"/>
  <c r="CC101" i="29"/>
  <c r="CB102" i="29"/>
  <c r="CB77" i="29"/>
  <c r="CA78" i="29"/>
  <c r="CA80" i="29"/>
  <c r="CB79" i="29"/>
  <c r="CB40" i="29"/>
  <c r="CC39" i="29"/>
  <c r="CB37" i="29"/>
  <c r="CA38" i="29"/>
  <c r="CA34" i="29" s="1"/>
  <c r="CA90" i="29"/>
  <c r="CB89" i="29"/>
  <c r="CA116" i="29"/>
  <c r="CB115" i="29"/>
  <c r="CH149" i="29"/>
  <c r="CG150" i="29"/>
  <c r="CA84" i="29"/>
  <c r="CB83" i="29"/>
  <c r="CB66" i="29"/>
  <c r="CC65" i="29"/>
  <c r="CB112" i="29"/>
  <c r="CC111" i="29"/>
  <c r="CE129" i="29"/>
  <c r="CD130" i="29"/>
  <c r="CD133" i="29"/>
  <c r="CC134" i="29"/>
  <c r="CE140" i="29"/>
  <c r="CF139" i="29"/>
  <c r="CG141" i="29"/>
  <c r="CF142" i="29"/>
  <c r="CE147" i="29"/>
  <c r="CD148" i="29"/>
  <c r="CE144" i="29"/>
  <c r="CF143" i="29"/>
  <c r="CE145" i="29"/>
  <c r="CD146" i="29"/>
  <c r="CE131" i="29"/>
  <c r="CD132" i="29"/>
  <c r="CC128" i="29"/>
  <c r="CD126" i="29" s="1"/>
  <c r="CD127" i="29"/>
  <c r="CD136" i="29"/>
  <c r="CE135" i="29"/>
  <c r="CE138" i="29"/>
  <c r="CF137" i="29"/>
  <c r="CH54" i="29" l="1"/>
  <c r="CI53" i="29"/>
  <c r="CH123" i="29"/>
  <c r="CG124" i="29"/>
  <c r="CG72" i="29"/>
  <c r="CH71" i="29"/>
  <c r="CG44" i="29"/>
  <c r="CH43" i="29"/>
  <c r="CG58" i="29"/>
  <c r="CH57" i="29"/>
  <c r="CC96" i="29"/>
  <c r="CC7" i="29" s="1"/>
  <c r="CD95" i="29"/>
  <c r="CA48" i="29"/>
  <c r="CA9" i="29" s="1"/>
  <c r="CC121" i="29"/>
  <c r="CB122" i="29"/>
  <c r="CC8" i="29"/>
  <c r="CC49" i="29"/>
  <c r="CB50" i="29"/>
  <c r="CB42" i="29"/>
  <c r="CC41" i="29"/>
  <c r="CB100" i="29"/>
  <c r="CB78" i="29"/>
  <c r="CC77" i="29"/>
  <c r="CE91" i="29"/>
  <c r="CD92" i="29"/>
  <c r="CC114" i="29"/>
  <c r="CD113" i="29"/>
  <c r="CI149" i="29"/>
  <c r="CH150" i="29"/>
  <c r="CB68" i="29"/>
  <c r="CC67" i="29"/>
  <c r="CC108" i="29"/>
  <c r="CD107" i="29"/>
  <c r="CC86" i="29"/>
  <c r="CD85" i="29"/>
  <c r="CC109" i="29"/>
  <c r="CB110" i="29"/>
  <c r="CB38" i="29"/>
  <c r="CB34" i="29" s="1"/>
  <c r="CC37" i="29"/>
  <c r="CE36" i="29"/>
  <c r="CF35" i="29"/>
  <c r="CD111" i="29"/>
  <c r="CC112" i="29"/>
  <c r="CB116" i="29"/>
  <c r="CC115" i="29"/>
  <c r="CD101" i="29"/>
  <c r="CC102" i="29"/>
  <c r="CC82" i="29"/>
  <c r="CD81" i="29"/>
  <c r="CD55" i="29"/>
  <c r="CC56" i="29"/>
  <c r="CC40" i="29"/>
  <c r="CD39" i="29"/>
  <c r="CC87" i="29"/>
  <c r="CB88" i="29"/>
  <c r="CD117" i="29"/>
  <c r="CC118" i="29"/>
  <c r="CC119" i="29"/>
  <c r="CB120" i="29"/>
  <c r="CD65" i="29"/>
  <c r="CC66" i="29"/>
  <c r="CB90" i="29"/>
  <c r="CC89" i="29"/>
  <c r="CB106" i="29"/>
  <c r="CC105" i="29"/>
  <c r="CB104" i="29"/>
  <c r="CC103" i="29"/>
  <c r="CC79" i="29"/>
  <c r="CB80" i="29"/>
  <c r="CB84" i="29"/>
  <c r="CC83" i="29"/>
  <c r="CC51" i="29"/>
  <c r="CB52" i="29"/>
  <c r="CC63" i="29"/>
  <c r="CC64" i="29" s="1"/>
  <c r="BZ5" i="29"/>
  <c r="BY4" i="29"/>
  <c r="BY3" i="29" s="1"/>
  <c r="CC93" i="29"/>
  <c r="CB94" i="29"/>
  <c r="CD70" i="29"/>
  <c r="CE69" i="29"/>
  <c r="CE146" i="29"/>
  <c r="CF145" i="29"/>
  <c r="CE136" i="29"/>
  <c r="CF135" i="29"/>
  <c r="CG143" i="29"/>
  <c r="CF144" i="29"/>
  <c r="CD134" i="29"/>
  <c r="CE133" i="29"/>
  <c r="CF140" i="29"/>
  <c r="CG139" i="29"/>
  <c r="CD128" i="29"/>
  <c r="CE126" i="29" s="1"/>
  <c r="CE127" i="29"/>
  <c r="CG137" i="29"/>
  <c r="CF138" i="29"/>
  <c r="CF147" i="29"/>
  <c r="CE148" i="29"/>
  <c r="CF131" i="29"/>
  <c r="CE132" i="29"/>
  <c r="CH141" i="29"/>
  <c r="CG142" i="29"/>
  <c r="CE130" i="29"/>
  <c r="CF129" i="29"/>
  <c r="CI54" i="29" l="1"/>
  <c r="CJ53" i="29"/>
  <c r="CI57" i="29"/>
  <c r="CH58" i="29"/>
  <c r="CI43" i="29"/>
  <c r="CH44" i="29"/>
  <c r="CI71" i="29"/>
  <c r="CH72" i="29"/>
  <c r="CH124" i="29"/>
  <c r="CI123" i="29"/>
  <c r="CD96" i="29"/>
  <c r="CD7" i="29" s="1"/>
  <c r="CE95" i="29"/>
  <c r="CB48" i="29"/>
  <c r="CB9" i="29" s="1"/>
  <c r="CD8" i="29"/>
  <c r="CC100" i="29"/>
  <c r="CC122" i="29"/>
  <c r="CD121" i="29"/>
  <c r="CD49" i="29"/>
  <c r="CC50" i="29"/>
  <c r="CD41" i="29"/>
  <c r="CC42" i="29"/>
  <c r="CA5" i="29"/>
  <c r="BZ4" i="29"/>
  <c r="CD82" i="29"/>
  <c r="CE81" i="29"/>
  <c r="CG35" i="29"/>
  <c r="CF36" i="29"/>
  <c r="CE107" i="29"/>
  <c r="CD108" i="29"/>
  <c r="CJ149" i="29"/>
  <c r="CI150" i="29"/>
  <c r="CD63" i="29"/>
  <c r="CD64" i="29" s="1"/>
  <c r="CD79" i="29"/>
  <c r="CC80" i="29"/>
  <c r="CE65" i="29"/>
  <c r="CD66" i="29"/>
  <c r="CD114" i="29"/>
  <c r="CE113" i="29"/>
  <c r="CD103" i="29"/>
  <c r="CC104" i="29"/>
  <c r="CC38" i="29"/>
  <c r="CC34" i="29" s="1"/>
  <c r="CD37" i="29"/>
  <c r="CD67" i="29"/>
  <c r="CC68" i="29"/>
  <c r="CF69" i="29"/>
  <c r="CE70" i="29"/>
  <c r="CC88" i="29"/>
  <c r="CD87" i="29"/>
  <c r="CE101" i="29"/>
  <c r="CD102" i="29"/>
  <c r="CD51" i="29"/>
  <c r="CC52" i="29"/>
  <c r="CC106" i="29"/>
  <c r="CD105" i="29"/>
  <c r="CD40" i="29"/>
  <c r="CE39" i="29"/>
  <c r="CD115" i="29"/>
  <c r="CC116" i="29"/>
  <c r="CF91" i="29"/>
  <c r="CE92" i="29"/>
  <c r="CD83" i="29"/>
  <c r="CC84" i="29"/>
  <c r="CD119" i="29"/>
  <c r="CC120" i="29"/>
  <c r="CD109" i="29"/>
  <c r="CC110" i="29"/>
  <c r="CC94" i="29"/>
  <c r="CD93" i="29"/>
  <c r="CC90" i="29"/>
  <c r="CD89" i="29"/>
  <c r="CE85" i="29"/>
  <c r="CD86" i="29"/>
  <c r="CC78" i="29"/>
  <c r="CD77" i="29"/>
  <c r="CE117" i="29"/>
  <c r="CD118" i="29"/>
  <c r="CD56" i="29"/>
  <c r="CE55" i="29"/>
  <c r="CD112" i="29"/>
  <c r="CE111" i="29"/>
  <c r="CG147" i="29"/>
  <c r="CF148" i="29"/>
  <c r="CH142" i="29"/>
  <c r="CI141" i="29"/>
  <c r="CG138" i="29"/>
  <c r="CH137" i="29"/>
  <c r="CG144" i="29"/>
  <c r="CH143" i="29"/>
  <c r="CE128" i="29"/>
  <c r="CF126" i="29" s="1"/>
  <c r="CF127" i="29"/>
  <c r="CG135" i="29"/>
  <c r="CF136" i="29"/>
  <c r="CF133" i="29"/>
  <c r="CE134" i="29"/>
  <c r="CG131" i="29"/>
  <c r="CF132" i="29"/>
  <c r="CG129" i="29"/>
  <c r="CF130" i="29"/>
  <c r="CG140" i="29"/>
  <c r="CH139" i="29"/>
  <c r="CF146" i="29"/>
  <c r="CG145" i="29"/>
  <c r="CJ54" i="29" l="1"/>
  <c r="CK53" i="29"/>
  <c r="CI72" i="29"/>
  <c r="CJ71" i="29"/>
  <c r="CI44" i="29"/>
  <c r="CJ43" i="29"/>
  <c r="CJ123" i="29"/>
  <c r="CI124" i="29"/>
  <c r="CI58" i="29"/>
  <c r="CJ57" i="29"/>
  <c r="CE96" i="29"/>
  <c r="CE7" i="29" s="1"/>
  <c r="H12" i="30" s="1"/>
  <c r="CF95" i="29"/>
  <c r="CC48" i="29"/>
  <c r="CC9" i="29" s="1"/>
  <c r="CE121" i="29"/>
  <c r="CD122" i="29"/>
  <c r="CE8" i="29"/>
  <c r="H13" i="30" s="1"/>
  <c r="CD50" i="29"/>
  <c r="CE49" i="29"/>
  <c r="CD42" i="29"/>
  <c r="CE41" i="29"/>
  <c r="CD100" i="29"/>
  <c r="CD116" i="29"/>
  <c r="CE115" i="29"/>
  <c r="CE89" i="29"/>
  <c r="CD90" i="29"/>
  <c r="CD106" i="29"/>
  <c r="CE105" i="29"/>
  <c r="CE118" i="29"/>
  <c r="CF117" i="29"/>
  <c r="CD84" i="29"/>
  <c r="CE83" i="29"/>
  <c r="CE66" i="29"/>
  <c r="CE12" i="29" s="1"/>
  <c r="H23" i="30" s="1"/>
  <c r="CF65" i="29"/>
  <c r="CE108" i="29"/>
  <c r="CF107" i="29"/>
  <c r="CD78" i="29"/>
  <c r="CE77" i="29"/>
  <c r="CE93" i="29"/>
  <c r="CD94" i="29"/>
  <c r="CF92" i="29"/>
  <c r="CG91" i="29"/>
  <c r="CE51" i="29"/>
  <c r="CD52" i="29"/>
  <c r="CF70" i="29"/>
  <c r="CG69" i="29"/>
  <c r="CD104" i="29"/>
  <c r="CE103" i="29"/>
  <c r="CE79" i="29"/>
  <c r="CD80" i="29"/>
  <c r="CG36" i="29"/>
  <c r="CH35" i="29"/>
  <c r="CF101" i="29"/>
  <c r="CE102" i="29"/>
  <c r="CE112" i="29"/>
  <c r="CF111" i="29"/>
  <c r="CF113" i="29"/>
  <c r="CE114" i="29"/>
  <c r="CE22" i="29" s="1"/>
  <c r="CF81" i="29"/>
  <c r="CE82" i="29"/>
  <c r="CD68" i="29"/>
  <c r="CE67" i="29"/>
  <c r="CE63" i="29"/>
  <c r="CE64" i="29" s="1"/>
  <c r="CE109" i="29"/>
  <c r="CD110" i="29"/>
  <c r="CE56" i="29"/>
  <c r="CF55" i="29"/>
  <c r="CE40" i="29"/>
  <c r="CF39" i="29"/>
  <c r="CE87" i="29"/>
  <c r="CD88" i="29"/>
  <c r="CE37" i="29"/>
  <c r="CD38" i="29"/>
  <c r="CD34" i="29" s="1"/>
  <c r="CF85" i="29"/>
  <c r="CE86" i="29"/>
  <c r="CE119" i="29"/>
  <c r="CD120" i="29"/>
  <c r="CK149" i="29"/>
  <c r="CJ150" i="29"/>
  <c r="CB5" i="29"/>
  <c r="CA4" i="29"/>
  <c r="CH131" i="29"/>
  <c r="CG132" i="29"/>
  <c r="CH145" i="29"/>
  <c r="CG146" i="29"/>
  <c r="CI137" i="29"/>
  <c r="CH138" i="29"/>
  <c r="CG133" i="29"/>
  <c r="CF134" i="29"/>
  <c r="CH140" i="29"/>
  <c r="CI139" i="29"/>
  <c r="CJ141" i="29"/>
  <c r="CI142" i="29"/>
  <c r="CH135" i="29"/>
  <c r="CG136" i="29"/>
  <c r="CI143" i="29"/>
  <c r="CH144" i="29"/>
  <c r="CF128" i="29"/>
  <c r="CG126" i="29" s="1"/>
  <c r="CG127" i="29"/>
  <c r="CH129" i="29"/>
  <c r="CG130" i="29"/>
  <c r="CH147" i="29"/>
  <c r="CG148" i="29"/>
  <c r="CK54" i="29" l="1"/>
  <c r="CL53" i="29"/>
  <c r="CJ124" i="29"/>
  <c r="CK123" i="29"/>
  <c r="CJ44" i="29"/>
  <c r="CK43" i="29"/>
  <c r="CK71" i="29"/>
  <c r="CJ72" i="29"/>
  <c r="CJ58" i="29"/>
  <c r="CK57" i="29"/>
  <c r="H11" i="30"/>
  <c r="CF96" i="29"/>
  <c r="CF7" i="29" s="1"/>
  <c r="CG95" i="29"/>
  <c r="CD48" i="29"/>
  <c r="CD9" i="29" s="1"/>
  <c r="CF8" i="29"/>
  <c r="CF121" i="29"/>
  <c r="CE122" i="29"/>
  <c r="CF49" i="29"/>
  <c r="CE50" i="29"/>
  <c r="CF41" i="29"/>
  <c r="CE42" i="29"/>
  <c r="CE100" i="29"/>
  <c r="CE14" i="29" s="1"/>
  <c r="H16" i="30" s="1"/>
  <c r="CE88" i="29"/>
  <c r="CF87" i="29"/>
  <c r="CH91" i="29"/>
  <c r="CG92" i="29"/>
  <c r="CG65" i="29"/>
  <c r="CF66" i="29"/>
  <c r="CF40" i="29"/>
  <c r="CG39" i="29"/>
  <c r="CF67" i="29"/>
  <c r="CE68" i="29"/>
  <c r="CE80" i="29"/>
  <c r="CF79" i="29"/>
  <c r="CF105" i="29"/>
  <c r="CE106" i="29"/>
  <c r="CL149" i="29"/>
  <c r="CK150" i="29"/>
  <c r="CE11" i="29"/>
  <c r="H22" i="30" s="1"/>
  <c r="CF63" i="29"/>
  <c r="CF64" i="29" s="1"/>
  <c r="CE120" i="29"/>
  <c r="CF119" i="29"/>
  <c r="CF112" i="29"/>
  <c r="CG111" i="29"/>
  <c r="CF103" i="29"/>
  <c r="CE104" i="29"/>
  <c r="CE52" i="29"/>
  <c r="CF51" i="29"/>
  <c r="CF56" i="29"/>
  <c r="CG55" i="29"/>
  <c r="CF93" i="29"/>
  <c r="CE94" i="29"/>
  <c r="CB4" i="29"/>
  <c r="CB3" i="29" s="1"/>
  <c r="CC5" i="29"/>
  <c r="CG85" i="29"/>
  <c r="CF86" i="29"/>
  <c r="CG81" i="29"/>
  <c r="CF82" i="29"/>
  <c r="CH69" i="29"/>
  <c r="CG70" i="29"/>
  <c r="CF77" i="29"/>
  <c r="CE78" i="29"/>
  <c r="CF83" i="29"/>
  <c r="CE84" i="29"/>
  <c r="CE90" i="29"/>
  <c r="CF89" i="29"/>
  <c r="CF102" i="29"/>
  <c r="CG101" i="29"/>
  <c r="CF115" i="29"/>
  <c r="CE116" i="29"/>
  <c r="CE38" i="29"/>
  <c r="CE34" i="29" s="1"/>
  <c r="CF37" i="29"/>
  <c r="CF109" i="29"/>
  <c r="CE110" i="29"/>
  <c r="CF114" i="29"/>
  <c r="CG113" i="29"/>
  <c r="CI35" i="29"/>
  <c r="CH36" i="29"/>
  <c r="CG107" i="29"/>
  <c r="CF108" i="29"/>
  <c r="CF118" i="29"/>
  <c r="CG117" i="29"/>
  <c r="CI147" i="29"/>
  <c r="CH148" i="29"/>
  <c r="CH136" i="29"/>
  <c r="CI135" i="29"/>
  <c r="CJ137" i="29"/>
  <c r="CI138" i="29"/>
  <c r="CI129" i="29"/>
  <c r="CH130" i="29"/>
  <c r="CJ142" i="29"/>
  <c r="CK141" i="29"/>
  <c r="CI145" i="29"/>
  <c r="CH146" i="29"/>
  <c r="CH127" i="29"/>
  <c r="CG128" i="29"/>
  <c r="CH126" i="29" s="1"/>
  <c r="CI140" i="29"/>
  <c r="CJ139" i="29"/>
  <c r="CI131" i="29"/>
  <c r="CH132" i="29"/>
  <c r="CI144" i="29"/>
  <c r="CJ143" i="29"/>
  <c r="CH133" i="29"/>
  <c r="CG134" i="29"/>
  <c r="CL54" i="29" l="1"/>
  <c r="CM53" i="29"/>
  <c r="CL71" i="29"/>
  <c r="CK72" i="29"/>
  <c r="CK58" i="29"/>
  <c r="CL57" i="29"/>
  <c r="CK44" i="29"/>
  <c r="CL43" i="29"/>
  <c r="CK124" i="29"/>
  <c r="CL123" i="29"/>
  <c r="CG96" i="29"/>
  <c r="CG7" i="29" s="1"/>
  <c r="CH95" i="29"/>
  <c r="CE48" i="29"/>
  <c r="CE9" i="29" s="1"/>
  <c r="CF122" i="29"/>
  <c r="CG121" i="29"/>
  <c r="CG8" i="29"/>
  <c r="CG49" i="29"/>
  <c r="CF50" i="29"/>
  <c r="CF42" i="29"/>
  <c r="CG41" i="29"/>
  <c r="CE15" i="29"/>
  <c r="H24" i="30" s="1"/>
  <c r="CF100" i="29"/>
  <c r="CH113" i="29"/>
  <c r="CG114" i="29"/>
  <c r="CG102" i="29"/>
  <c r="CH101" i="29"/>
  <c r="CG63" i="29"/>
  <c r="CG64" i="29" s="1"/>
  <c r="CF80" i="29"/>
  <c r="CG79" i="29"/>
  <c r="CG118" i="29"/>
  <c r="CH117" i="29"/>
  <c r="CI69" i="29"/>
  <c r="CH70" i="29"/>
  <c r="CH92" i="29"/>
  <c r="CI91" i="29"/>
  <c r="CF90" i="29"/>
  <c r="CG89" i="29"/>
  <c r="CF110" i="29"/>
  <c r="CG109" i="29"/>
  <c r="CF104" i="29"/>
  <c r="CG103" i="29"/>
  <c r="CF68" i="29"/>
  <c r="CG67" i="29"/>
  <c r="CH107" i="29"/>
  <c r="CG108" i="29"/>
  <c r="CF38" i="29"/>
  <c r="CF34" i="29" s="1"/>
  <c r="CG37" i="29"/>
  <c r="CH81" i="29"/>
  <c r="CG82" i="29"/>
  <c r="CG93" i="29"/>
  <c r="CF94" i="29"/>
  <c r="CH111" i="29"/>
  <c r="CG112" i="29"/>
  <c r="CG40" i="29"/>
  <c r="CH39" i="29"/>
  <c r="CF88" i="29"/>
  <c r="CG87" i="29"/>
  <c r="CF84" i="29"/>
  <c r="CG83" i="29"/>
  <c r="CG56" i="29"/>
  <c r="CH55" i="29"/>
  <c r="CL150" i="29"/>
  <c r="CM149" i="29"/>
  <c r="CH85" i="29"/>
  <c r="CG86" i="29"/>
  <c r="CF120" i="29"/>
  <c r="CG119" i="29"/>
  <c r="CI36" i="29"/>
  <c r="CJ35" i="29"/>
  <c r="CF116" i="29"/>
  <c r="CG115" i="29"/>
  <c r="CF78" i="29"/>
  <c r="CG77" i="29"/>
  <c r="CD5" i="29"/>
  <c r="CC4" i="29"/>
  <c r="CF52" i="29"/>
  <c r="CG51" i="29"/>
  <c r="CF106" i="29"/>
  <c r="CG105" i="29"/>
  <c r="CH65" i="29"/>
  <c r="CG66" i="29"/>
  <c r="CJ129" i="29"/>
  <c r="CI130" i="29"/>
  <c r="CI133" i="29"/>
  <c r="CH134" i="29"/>
  <c r="CH128" i="29"/>
  <c r="CI126" i="29" s="1"/>
  <c r="CI127" i="29"/>
  <c r="CJ138" i="29"/>
  <c r="CK137" i="29"/>
  <c r="CK143" i="29"/>
  <c r="CJ144" i="29"/>
  <c r="CI136" i="29"/>
  <c r="CJ135" i="29"/>
  <c r="CJ145" i="29"/>
  <c r="CI146" i="29"/>
  <c r="CJ140" i="29"/>
  <c r="CK139" i="29"/>
  <c r="CL141" i="29"/>
  <c r="CK142" i="29"/>
  <c r="CJ131" i="29"/>
  <c r="CI132" i="29"/>
  <c r="CJ147" i="29"/>
  <c r="CI148" i="29"/>
  <c r="CM54" i="29" l="1"/>
  <c r="CN53" i="29"/>
  <c r="CL124" i="29"/>
  <c r="CM123" i="29"/>
  <c r="CL44" i="29"/>
  <c r="CM43" i="29"/>
  <c r="CM57" i="29"/>
  <c r="CL58" i="29"/>
  <c r="CM71" i="29"/>
  <c r="CL72" i="29"/>
  <c r="CH96" i="29"/>
  <c r="CH7" i="29" s="1"/>
  <c r="CI95" i="29"/>
  <c r="CF48" i="29"/>
  <c r="CF9" i="29" s="1"/>
  <c r="CH8" i="29"/>
  <c r="CG122" i="29"/>
  <c r="CH121" i="29"/>
  <c r="CH49" i="29"/>
  <c r="CG50" i="29"/>
  <c r="CG42" i="29"/>
  <c r="CH41" i="29"/>
  <c r="CG100" i="29"/>
  <c r="CI111" i="29"/>
  <c r="CH112" i="29"/>
  <c r="CI107" i="29"/>
  <c r="CH108" i="29"/>
  <c r="CG120" i="29"/>
  <c r="CH119" i="29"/>
  <c r="CH83" i="29"/>
  <c r="CG84" i="29"/>
  <c r="CG68" i="29"/>
  <c r="CH67" i="29"/>
  <c r="CE5" i="29"/>
  <c r="CD4" i="29"/>
  <c r="CH93" i="29"/>
  <c r="CG94" i="29"/>
  <c r="CH63" i="29"/>
  <c r="CH64" i="29" s="1"/>
  <c r="CG78" i="29"/>
  <c r="CH77" i="29"/>
  <c r="CG88" i="29"/>
  <c r="CH87" i="29"/>
  <c r="CG104" i="29"/>
  <c r="CH103" i="29"/>
  <c r="CJ69" i="29"/>
  <c r="CI70" i="29"/>
  <c r="CE26" i="29"/>
  <c r="CE10" i="29"/>
  <c r="H15" i="30"/>
  <c r="H14" i="30" s="1"/>
  <c r="CI65" i="29"/>
  <c r="CH66" i="29"/>
  <c r="CI85" i="29"/>
  <c r="CH86" i="29"/>
  <c r="CI81" i="29"/>
  <c r="CH82" i="29"/>
  <c r="CH102" i="29"/>
  <c r="CI101" i="29"/>
  <c r="CG106" i="29"/>
  <c r="CH105" i="29"/>
  <c r="CG116" i="29"/>
  <c r="CH115" i="29"/>
  <c r="CN149" i="29"/>
  <c r="CM150" i="29"/>
  <c r="CH40" i="29"/>
  <c r="CI39" i="29"/>
  <c r="CG38" i="29"/>
  <c r="CG34" i="29" s="1"/>
  <c r="CH37" i="29"/>
  <c r="CH109" i="29"/>
  <c r="CG110" i="29"/>
  <c r="CH89" i="29"/>
  <c r="CG90" i="29"/>
  <c r="CH118" i="29"/>
  <c r="CI117" i="29"/>
  <c r="CG52" i="29"/>
  <c r="CH51" i="29"/>
  <c r="CJ36" i="29"/>
  <c r="CK35" i="29"/>
  <c r="CH56" i="29"/>
  <c r="CI55" i="29"/>
  <c r="CJ91" i="29"/>
  <c r="CI92" i="29"/>
  <c r="CG80" i="29"/>
  <c r="CH79" i="29"/>
  <c r="CI113" i="29"/>
  <c r="CH114" i="29"/>
  <c r="CK145" i="29"/>
  <c r="CJ146" i="29"/>
  <c r="CJ136" i="29"/>
  <c r="CK135" i="29"/>
  <c r="CJ132" i="29"/>
  <c r="CK131" i="29"/>
  <c r="CJ133" i="29"/>
  <c r="CI134" i="29"/>
  <c r="CJ127" i="29"/>
  <c r="CI128" i="29"/>
  <c r="CJ126" i="29" s="1"/>
  <c r="CL142" i="29"/>
  <c r="CM141" i="29"/>
  <c r="CL143" i="29"/>
  <c r="CK144" i="29"/>
  <c r="CK129" i="29"/>
  <c r="CJ130" i="29"/>
  <c r="CJ148" i="29"/>
  <c r="CK147" i="29"/>
  <c r="CK140" i="29"/>
  <c r="CL139" i="29"/>
  <c r="CK138" i="29"/>
  <c r="CL137" i="29"/>
  <c r="CN54" i="29" l="1"/>
  <c r="CO53" i="29"/>
  <c r="CN71" i="29"/>
  <c r="CM72" i="29"/>
  <c r="CM58" i="29"/>
  <c r="CN57" i="29"/>
  <c r="CM124" i="29"/>
  <c r="CN123" i="29"/>
  <c r="CM44" i="29"/>
  <c r="CN43" i="29"/>
  <c r="CI96" i="29"/>
  <c r="CI7" i="29" s="1"/>
  <c r="CJ95" i="29"/>
  <c r="CG48" i="29"/>
  <c r="CG9" i="29" s="1"/>
  <c r="CH122" i="29"/>
  <c r="CI121" i="29"/>
  <c r="CI8" i="29"/>
  <c r="CI49" i="29"/>
  <c r="CH50" i="29"/>
  <c r="CI41" i="29"/>
  <c r="CH42" i="29"/>
  <c r="CH100" i="29"/>
  <c r="CJ117" i="29"/>
  <c r="CI118" i="29"/>
  <c r="CI40" i="29"/>
  <c r="CJ39" i="29"/>
  <c r="CJ101" i="29"/>
  <c r="CI102" i="29"/>
  <c r="CI103" i="29"/>
  <c r="CH104" i="29"/>
  <c r="CJ55" i="29"/>
  <c r="CI56" i="29"/>
  <c r="CJ65" i="29"/>
  <c r="CI66" i="29"/>
  <c r="CI93" i="29"/>
  <c r="CH94" i="29"/>
  <c r="CH84" i="29"/>
  <c r="CI83" i="29"/>
  <c r="CJ113" i="29"/>
  <c r="CI114" i="29"/>
  <c r="CI87" i="29"/>
  <c r="CH88" i="29"/>
  <c r="CH120" i="29"/>
  <c r="CI119" i="29"/>
  <c r="CI79" i="29"/>
  <c r="CH80" i="29"/>
  <c r="CK36" i="29"/>
  <c r="CL35" i="29"/>
  <c r="CH90" i="29"/>
  <c r="CI89" i="29"/>
  <c r="CO149" i="29"/>
  <c r="CN150" i="29"/>
  <c r="CE13" i="29"/>
  <c r="H21" i="30"/>
  <c r="H10" i="30"/>
  <c r="CF5" i="29"/>
  <c r="CE4" i="29"/>
  <c r="CE3" i="29" s="1"/>
  <c r="CH116" i="29"/>
  <c r="CI115" i="29"/>
  <c r="H19" i="30"/>
  <c r="CI77" i="29"/>
  <c r="CH78" i="29"/>
  <c r="CI51" i="29"/>
  <c r="CH52" i="29"/>
  <c r="CI109" i="29"/>
  <c r="CH110" i="29"/>
  <c r="CJ81" i="29"/>
  <c r="CI82" i="29"/>
  <c r="CJ107" i="29"/>
  <c r="CI108" i="29"/>
  <c r="CJ92" i="29"/>
  <c r="CK91" i="29"/>
  <c r="CI37" i="29"/>
  <c r="CH38" i="29"/>
  <c r="CH34" i="29" s="1"/>
  <c r="CH106" i="29"/>
  <c r="CI105" i="29"/>
  <c r="CJ70" i="29"/>
  <c r="CK69" i="29"/>
  <c r="CI67" i="29"/>
  <c r="CH68" i="29"/>
  <c r="CI86" i="29"/>
  <c r="CJ85" i="29"/>
  <c r="CI63" i="29"/>
  <c r="CI64" i="29" s="1"/>
  <c r="CJ111" i="29"/>
  <c r="CI112" i="29"/>
  <c r="CL129" i="29"/>
  <c r="CK130" i="29"/>
  <c r="CK133" i="29"/>
  <c r="CJ134" i="29"/>
  <c r="CM137" i="29"/>
  <c r="CL138" i="29"/>
  <c r="CL131" i="29"/>
  <c r="CK132" i="29"/>
  <c r="CM143" i="29"/>
  <c r="CL144" i="29"/>
  <c r="CM139" i="29"/>
  <c r="CL140" i="29"/>
  <c r="CN141" i="29"/>
  <c r="CM142" i="29"/>
  <c r="CK136" i="29"/>
  <c r="CL135" i="29"/>
  <c r="CK148" i="29"/>
  <c r="CL147" i="29"/>
  <c r="CK127" i="29"/>
  <c r="CJ128" i="29"/>
  <c r="CK126" i="29" s="1"/>
  <c r="CL145" i="29"/>
  <c r="CK146" i="29"/>
  <c r="CO54" i="29" l="1"/>
  <c r="CP53" i="29"/>
  <c r="CO123" i="29"/>
  <c r="CN124" i="29"/>
  <c r="CN44" i="29"/>
  <c r="CO43" i="29"/>
  <c r="CO57" i="29"/>
  <c r="CN58" i="29"/>
  <c r="CO71" i="29"/>
  <c r="CN72" i="29"/>
  <c r="CJ96" i="29"/>
  <c r="CJ7" i="29" s="1"/>
  <c r="CK95" i="29"/>
  <c r="CH48" i="29"/>
  <c r="CH9" i="29" s="1"/>
  <c r="CJ8" i="29"/>
  <c r="CJ121" i="29"/>
  <c r="CI122" i="29"/>
  <c r="CI50" i="29"/>
  <c r="CJ49" i="29"/>
  <c r="CI42" i="29"/>
  <c r="CJ41" i="29"/>
  <c r="CI100" i="29"/>
  <c r="H20" i="30"/>
  <c r="CE27" i="29"/>
  <c r="CJ112" i="29"/>
  <c r="CK111" i="29"/>
  <c r="CI68" i="29"/>
  <c r="CJ67" i="29"/>
  <c r="CJ109" i="29"/>
  <c r="CI110" i="29"/>
  <c r="CP149" i="29"/>
  <c r="CO150" i="29"/>
  <c r="CK70" i="29"/>
  <c r="CL69" i="29"/>
  <c r="CJ89" i="29"/>
  <c r="CI90" i="29"/>
  <c r="CJ103" i="29"/>
  <c r="CI104" i="29"/>
  <c r="CJ63" i="29"/>
  <c r="CJ64" i="29" s="1"/>
  <c r="CJ108" i="29"/>
  <c r="CK107" i="29"/>
  <c r="CI52" i="29"/>
  <c r="CJ51" i="29"/>
  <c r="CG5" i="29"/>
  <c r="CF4" i="29"/>
  <c r="CI88" i="29"/>
  <c r="CJ87" i="29"/>
  <c r="CJ93" i="29"/>
  <c r="CI94" i="29"/>
  <c r="CJ86" i="29"/>
  <c r="CK85" i="29"/>
  <c r="CJ105" i="29"/>
  <c r="CI106" i="29"/>
  <c r="H44" i="30"/>
  <c r="H37" i="30"/>
  <c r="H30" i="30"/>
  <c r="CL36" i="29"/>
  <c r="CM35" i="29"/>
  <c r="CK101" i="29"/>
  <c r="CJ102" i="29"/>
  <c r="CJ77" i="29"/>
  <c r="CI78" i="29"/>
  <c r="CJ66" i="29"/>
  <c r="CK65" i="29"/>
  <c r="CJ40" i="29"/>
  <c r="CK39" i="29"/>
  <c r="CI38" i="29"/>
  <c r="CI34" i="29" s="1"/>
  <c r="CJ37" i="29"/>
  <c r="CK81" i="29"/>
  <c r="CJ82" i="29"/>
  <c r="CI80" i="29"/>
  <c r="CJ79" i="29"/>
  <c r="CK113" i="29"/>
  <c r="CJ114" i="29"/>
  <c r="CK92" i="29"/>
  <c r="CL91" i="29"/>
  <c r="CI116" i="29"/>
  <c r="CJ115" i="29"/>
  <c r="CI120" i="29"/>
  <c r="CJ119" i="29"/>
  <c r="CI84" i="29"/>
  <c r="CJ83" i="29"/>
  <c r="CJ56" i="29"/>
  <c r="CK55" i="29"/>
  <c r="CK117" i="29"/>
  <c r="CJ118" i="29"/>
  <c r="CM145" i="29"/>
  <c r="CL146" i="29"/>
  <c r="CO141" i="29"/>
  <c r="CN142" i="29"/>
  <c r="CM138" i="29"/>
  <c r="CN137" i="29"/>
  <c r="CL127" i="29"/>
  <c r="CK128" i="29"/>
  <c r="CL126" i="29" s="1"/>
  <c r="CM140" i="29"/>
  <c r="CN139" i="29"/>
  <c r="CL133" i="29"/>
  <c r="CK134" i="29"/>
  <c r="CM147" i="29"/>
  <c r="CL148" i="29"/>
  <c r="CM144" i="29"/>
  <c r="CN143" i="29"/>
  <c r="CM129" i="29"/>
  <c r="CL130" i="29"/>
  <c r="CL136" i="29"/>
  <c r="CM135" i="29"/>
  <c r="CM131" i="29"/>
  <c r="CL132" i="29"/>
  <c r="CP54" i="29" l="1"/>
  <c r="CQ53" i="29"/>
  <c r="CP71" i="29"/>
  <c r="CO72" i="29"/>
  <c r="CO58" i="29"/>
  <c r="CP57" i="29"/>
  <c r="CO44" i="29"/>
  <c r="CP43" i="29"/>
  <c r="CP123" i="29"/>
  <c r="CO124" i="29"/>
  <c r="CK96" i="29"/>
  <c r="CK7" i="29" s="1"/>
  <c r="CL95" i="29"/>
  <c r="CI48" i="29"/>
  <c r="CI9" i="29" s="1"/>
  <c r="CK121" i="29"/>
  <c r="CJ122" i="29"/>
  <c r="CK8" i="29"/>
  <c r="CJ50" i="29"/>
  <c r="CK49" i="29"/>
  <c r="CJ42" i="29"/>
  <c r="CK41" i="29"/>
  <c r="CJ100" i="29"/>
  <c r="CM91" i="29"/>
  <c r="CL92" i="29"/>
  <c r="CJ52" i="29"/>
  <c r="CK51" i="29"/>
  <c r="CK109" i="29"/>
  <c r="CJ110" i="29"/>
  <c r="CJ84" i="29"/>
  <c r="CK83" i="29"/>
  <c r="CJ90" i="29"/>
  <c r="CK89" i="29"/>
  <c r="CK67" i="29"/>
  <c r="CJ68" i="29"/>
  <c r="CJ104" i="29"/>
  <c r="CK103" i="29"/>
  <c r="CL113" i="29"/>
  <c r="CK114" i="29"/>
  <c r="CK77" i="29"/>
  <c r="CJ78" i="29"/>
  <c r="CK108" i="29"/>
  <c r="CL107" i="29"/>
  <c r="CJ120" i="29"/>
  <c r="CK119" i="29"/>
  <c r="CJ80" i="29"/>
  <c r="CK79" i="29"/>
  <c r="CK40" i="29"/>
  <c r="CL39" i="29"/>
  <c r="CK93" i="29"/>
  <c r="CJ94" i="29"/>
  <c r="CL70" i="29"/>
  <c r="CM69" i="29"/>
  <c r="CL111" i="29"/>
  <c r="CK112" i="29"/>
  <c r="CH5" i="29"/>
  <c r="CG4" i="29"/>
  <c r="CJ88" i="29"/>
  <c r="CK87" i="29"/>
  <c r="CK56" i="29"/>
  <c r="CL55" i="29"/>
  <c r="CK86" i="29"/>
  <c r="CL85" i="29"/>
  <c r="CJ116" i="29"/>
  <c r="CK115" i="29"/>
  <c r="CL65" i="29"/>
  <c r="CK66" i="29"/>
  <c r="CK63" i="29"/>
  <c r="CK64" i="29" s="1"/>
  <c r="H18" i="30"/>
  <c r="CE28" i="29"/>
  <c r="H17" i="30" s="1"/>
  <c r="H31" i="30" s="1"/>
  <c r="CK37" i="29"/>
  <c r="CJ38" i="29"/>
  <c r="CJ34" i="29" s="1"/>
  <c r="CM36" i="29"/>
  <c r="CN35" i="29"/>
  <c r="CL117" i="29"/>
  <c r="CK118" i="29"/>
  <c r="CL81" i="29"/>
  <c r="CK82" i="29"/>
  <c r="CL101" i="29"/>
  <c r="CK102" i="29"/>
  <c r="CK105" i="29"/>
  <c r="CJ106" i="29"/>
  <c r="CQ149" i="29"/>
  <c r="CP150" i="29"/>
  <c r="CM127" i="29"/>
  <c r="CL128" i="29"/>
  <c r="CM126" i="29" s="1"/>
  <c r="CO137" i="29"/>
  <c r="CN138" i="29"/>
  <c r="CN131" i="29"/>
  <c r="CM132" i="29"/>
  <c r="CN147" i="29"/>
  <c r="CM148" i="29"/>
  <c r="CM136" i="29"/>
  <c r="CN135" i="29"/>
  <c r="CO143" i="29"/>
  <c r="CN144" i="29"/>
  <c r="CL134" i="29"/>
  <c r="CM133" i="29"/>
  <c r="CP141" i="29"/>
  <c r="CO142" i="29"/>
  <c r="CO139" i="29"/>
  <c r="CN140" i="29"/>
  <c r="CM130" i="29"/>
  <c r="CN129" i="29"/>
  <c r="CM146" i="29"/>
  <c r="CN145" i="29"/>
  <c r="CQ54" i="29" l="1"/>
  <c r="CR53" i="29"/>
  <c r="CP44" i="29"/>
  <c r="CQ43" i="29"/>
  <c r="CP124" i="29"/>
  <c r="CQ123" i="29"/>
  <c r="CP58" i="29"/>
  <c r="CQ57" i="29"/>
  <c r="CP72" i="29"/>
  <c r="CQ71" i="29"/>
  <c r="CL96" i="29"/>
  <c r="CL7" i="29" s="1"/>
  <c r="CM95" i="29"/>
  <c r="CL8" i="29"/>
  <c r="CL121" i="29"/>
  <c r="CK122" i="29"/>
  <c r="CJ48" i="29"/>
  <c r="CJ9" i="29" s="1"/>
  <c r="CL49" i="29"/>
  <c r="CK50" i="29"/>
  <c r="CK42" i="29"/>
  <c r="CL41" i="29"/>
  <c r="CK100" i="29"/>
  <c r="CL82" i="29"/>
  <c r="CM81" i="29"/>
  <c r="H38" i="30"/>
  <c r="H45" i="30"/>
  <c r="CL86" i="29"/>
  <c r="CM85" i="29"/>
  <c r="CM39" i="29"/>
  <c r="CL40" i="29"/>
  <c r="CM113" i="29"/>
  <c r="CL114" i="29"/>
  <c r="CK84" i="29"/>
  <c r="CL83" i="29"/>
  <c r="CL63" i="29"/>
  <c r="CL64" i="29" s="1"/>
  <c r="CI5" i="29"/>
  <c r="CH4" i="29"/>
  <c r="CH3" i="29" s="1"/>
  <c r="CL108" i="29"/>
  <c r="CM107" i="29"/>
  <c r="CK104" i="29"/>
  <c r="CL103" i="29"/>
  <c r="CR149" i="29"/>
  <c r="CQ150" i="29"/>
  <c r="CM117" i="29"/>
  <c r="CL118" i="29"/>
  <c r="CL56" i="29"/>
  <c r="CM55" i="29"/>
  <c r="CK80" i="29"/>
  <c r="CL79" i="29"/>
  <c r="CN36" i="29"/>
  <c r="CO35" i="29"/>
  <c r="CL112" i="29"/>
  <c r="CM111" i="29"/>
  <c r="CL109" i="29"/>
  <c r="CK110" i="29"/>
  <c r="CK106" i="29"/>
  <c r="CL105" i="29"/>
  <c r="CK88" i="29"/>
  <c r="CL87" i="29"/>
  <c r="CM70" i="29"/>
  <c r="CN69" i="29"/>
  <c r="CK120" i="29"/>
  <c r="CL119" i="29"/>
  <c r="CK78" i="29"/>
  <c r="CL77" i="29"/>
  <c r="CL67" i="29"/>
  <c r="CK68" i="29"/>
  <c r="CK52" i="29"/>
  <c r="CL51" i="29"/>
  <c r="CL66" i="29"/>
  <c r="CM65" i="29"/>
  <c r="CL89" i="29"/>
  <c r="CK90" i="29"/>
  <c r="CL102" i="29"/>
  <c r="CM101" i="29"/>
  <c r="CK38" i="29"/>
  <c r="CK34" i="29" s="1"/>
  <c r="CL37" i="29"/>
  <c r="CK116" i="29"/>
  <c r="CL115" i="29"/>
  <c r="H35" i="30"/>
  <c r="H32" i="30"/>
  <c r="H33" i="30" s="1"/>
  <c r="H34" i="30"/>
  <c r="CL93" i="29"/>
  <c r="CK94" i="29"/>
  <c r="CN91" i="29"/>
  <c r="CM92" i="29"/>
  <c r="CO131" i="29"/>
  <c r="CN132" i="29"/>
  <c r="CN146" i="29"/>
  <c r="CO145" i="29"/>
  <c r="CO144" i="29"/>
  <c r="CP143" i="29"/>
  <c r="CO138" i="29"/>
  <c r="CP137" i="29"/>
  <c r="CN136" i="29"/>
  <c r="CO135" i="29"/>
  <c r="CN133" i="29"/>
  <c r="CM134" i="29"/>
  <c r="CO140" i="29"/>
  <c r="CP139" i="29"/>
  <c r="CN127" i="29"/>
  <c r="CM128" i="29"/>
  <c r="CN126" i="29" s="1"/>
  <c r="CO129" i="29"/>
  <c r="CN130" i="29"/>
  <c r="CP142" i="29"/>
  <c r="CQ141" i="29"/>
  <c r="CO147" i="29"/>
  <c r="CN148" i="29"/>
  <c r="CR54" i="29" l="1"/>
  <c r="CS53" i="29"/>
  <c r="CQ58" i="29"/>
  <c r="CR57" i="29"/>
  <c r="CQ124" i="29"/>
  <c r="CR123" i="29"/>
  <c r="CQ72" i="29"/>
  <c r="CR71" i="29"/>
  <c r="CQ44" i="29"/>
  <c r="CR43" i="29"/>
  <c r="CM96" i="29"/>
  <c r="CM7" i="29" s="1"/>
  <c r="CN95" i="29"/>
  <c r="CL122" i="29"/>
  <c r="CM121" i="29"/>
  <c r="CM8" i="29"/>
  <c r="CK48" i="29"/>
  <c r="CK9" i="29" s="1"/>
  <c r="CL50" i="29"/>
  <c r="CM49" i="29"/>
  <c r="CM41" i="29"/>
  <c r="CL42" i="29"/>
  <c r="CL100" i="29"/>
  <c r="CM115" i="29"/>
  <c r="CL116" i="29"/>
  <c r="CL90" i="29"/>
  <c r="CM89" i="29"/>
  <c r="CL88" i="29"/>
  <c r="CM87" i="29"/>
  <c r="CP35" i="29"/>
  <c r="CO36" i="29"/>
  <c r="CM63" i="29"/>
  <c r="CM64" i="29" s="1"/>
  <c r="CM40" i="29"/>
  <c r="CN39" i="29"/>
  <c r="CM67" i="29"/>
  <c r="CL68" i="29"/>
  <c r="CS149" i="29"/>
  <c r="CR150" i="29"/>
  <c r="CN85" i="29"/>
  <c r="CM86" i="29"/>
  <c r="CM93" i="29"/>
  <c r="CL94" i="29"/>
  <c r="CM37" i="29"/>
  <c r="CL38" i="29"/>
  <c r="CL34" i="29" s="1"/>
  <c r="CL78" i="29"/>
  <c r="CM77" i="29"/>
  <c r="CM105" i="29"/>
  <c r="CL106" i="29"/>
  <c r="CL80" i="29"/>
  <c r="CM79" i="29"/>
  <c r="CL104" i="29"/>
  <c r="CM103" i="29"/>
  <c r="CL84" i="29"/>
  <c r="CM83" i="29"/>
  <c r="CJ5" i="29"/>
  <c r="CI4" i="29"/>
  <c r="CM66" i="29"/>
  <c r="CN65" i="29"/>
  <c r="H49" i="30"/>
  <c r="H46" i="30"/>
  <c r="H47" i="30" s="1"/>
  <c r="H48" i="30"/>
  <c r="CN101" i="29"/>
  <c r="CM102" i="29"/>
  <c r="CL120" i="29"/>
  <c r="CM119" i="29"/>
  <c r="CM56" i="29"/>
  <c r="CN55" i="29"/>
  <c r="CN107" i="29"/>
  <c r="CM108" i="29"/>
  <c r="H42" i="30"/>
  <c r="H39" i="30"/>
  <c r="H40" i="30" s="1"/>
  <c r="H41" i="30"/>
  <c r="CM118" i="29"/>
  <c r="CN117" i="29"/>
  <c r="CM109" i="29"/>
  <c r="CL110" i="29"/>
  <c r="CN113" i="29"/>
  <c r="CM114" i="29"/>
  <c r="CN81" i="29"/>
  <c r="CM82" i="29"/>
  <c r="CO91" i="29"/>
  <c r="CN92" i="29"/>
  <c r="CL52" i="29"/>
  <c r="CM51" i="29"/>
  <c r="CO69" i="29"/>
  <c r="CN70" i="29"/>
  <c r="CM112" i="29"/>
  <c r="CN111" i="29"/>
  <c r="CO127" i="29"/>
  <c r="CN128" i="29"/>
  <c r="CO126" i="29" s="1"/>
  <c r="CP140" i="29"/>
  <c r="CQ139" i="29"/>
  <c r="CQ143" i="29"/>
  <c r="CP144" i="29"/>
  <c r="CQ137" i="29"/>
  <c r="CP138" i="29"/>
  <c r="CR141" i="29"/>
  <c r="CQ142" i="29"/>
  <c r="CP145" i="29"/>
  <c r="CO146" i="29"/>
  <c r="CP147" i="29"/>
  <c r="CO148" i="29"/>
  <c r="CO133" i="29"/>
  <c r="CN134" i="29"/>
  <c r="CP135" i="29"/>
  <c r="CO136" i="29"/>
  <c r="CP129" i="29"/>
  <c r="CO130" i="29"/>
  <c r="CP131" i="29"/>
  <c r="CO132" i="29"/>
  <c r="CS54" i="29" l="1"/>
  <c r="CT53" i="29"/>
  <c r="CS71" i="29"/>
  <c r="CR72" i="29"/>
  <c r="CS123" i="29"/>
  <c r="CR124" i="29"/>
  <c r="CR58" i="29"/>
  <c r="CS57" i="29"/>
  <c r="CR44" i="29"/>
  <c r="CS43" i="29"/>
  <c r="CN96" i="29"/>
  <c r="CN7" i="29" s="1"/>
  <c r="CO95" i="29"/>
  <c r="CL48" i="29"/>
  <c r="CL9" i="29" s="1"/>
  <c r="CN8" i="29"/>
  <c r="CN121" i="29"/>
  <c r="CM122" i="29"/>
  <c r="CM50" i="29"/>
  <c r="CN49" i="29"/>
  <c r="CN41" i="29"/>
  <c r="CM42" i="29"/>
  <c r="CM100" i="29"/>
  <c r="CM120" i="29"/>
  <c r="CN119" i="29"/>
  <c r="CS150" i="29"/>
  <c r="CT149" i="29"/>
  <c r="CQ35" i="29"/>
  <c r="CP36" i="29"/>
  <c r="CO70" i="29"/>
  <c r="CP69" i="29"/>
  <c r="CN114" i="29"/>
  <c r="CO113" i="29"/>
  <c r="CN66" i="29"/>
  <c r="CO65" i="29"/>
  <c r="CN79" i="29"/>
  <c r="CM80" i="29"/>
  <c r="CM88" i="29"/>
  <c r="CN87" i="29"/>
  <c r="CM52" i="29"/>
  <c r="CN51" i="29"/>
  <c r="CN37" i="29"/>
  <c r="CM38" i="29"/>
  <c r="CM34" i="29" s="1"/>
  <c r="CN67" i="29"/>
  <c r="CM68" i="29"/>
  <c r="CN109" i="29"/>
  <c r="CM110" i="29"/>
  <c r="CN102" i="29"/>
  <c r="CO101" i="29"/>
  <c r="CN40" i="29"/>
  <c r="CO39" i="29"/>
  <c r="CN89" i="29"/>
  <c r="CM90" i="29"/>
  <c r="CK5" i="29"/>
  <c r="CJ4" i="29"/>
  <c r="CM106" i="29"/>
  <c r="CN105" i="29"/>
  <c r="CM94" i="29"/>
  <c r="CN93" i="29"/>
  <c r="CP91" i="29"/>
  <c r="CO92" i="29"/>
  <c r="CO117" i="29"/>
  <c r="CN118" i="29"/>
  <c r="CO107" i="29"/>
  <c r="CN108" i="29"/>
  <c r="CM84" i="29"/>
  <c r="CN83" i="29"/>
  <c r="CM78" i="29"/>
  <c r="CN77" i="29"/>
  <c r="CN63" i="29"/>
  <c r="CN64" i="29" s="1"/>
  <c r="CO111" i="29"/>
  <c r="CN112" i="29"/>
  <c r="CN56" i="29"/>
  <c r="CO55" i="29"/>
  <c r="CO85" i="29"/>
  <c r="CN86" i="29"/>
  <c r="CM116" i="29"/>
  <c r="CN115" i="29"/>
  <c r="CN82" i="29"/>
  <c r="CO81" i="29"/>
  <c r="CM104" i="29"/>
  <c r="CN103" i="29"/>
  <c r="CQ131" i="29"/>
  <c r="CP132" i="29"/>
  <c r="CQ147" i="29"/>
  <c r="CP148" i="29"/>
  <c r="CQ144" i="29"/>
  <c r="CR143" i="29"/>
  <c r="CQ140" i="29"/>
  <c r="CR139" i="29"/>
  <c r="CQ129" i="29"/>
  <c r="CP130" i="29"/>
  <c r="CQ145" i="29"/>
  <c r="CP146" i="29"/>
  <c r="CP136" i="29"/>
  <c r="CQ135" i="29"/>
  <c r="CR142" i="29"/>
  <c r="CS141" i="29"/>
  <c r="CP127" i="29"/>
  <c r="CO128" i="29"/>
  <c r="CP126" i="29" s="1"/>
  <c r="CP133" i="29"/>
  <c r="CO134" i="29"/>
  <c r="CR137" i="29"/>
  <c r="CQ138" i="29"/>
  <c r="CT54" i="29" l="1"/>
  <c r="CU53" i="29"/>
  <c r="CS58" i="29"/>
  <c r="CT57" i="29"/>
  <c r="CS44" i="29"/>
  <c r="CT43" i="29"/>
  <c r="CT123" i="29"/>
  <c r="CS124" i="29"/>
  <c r="CS72" i="29"/>
  <c r="CT71" i="29"/>
  <c r="CO96" i="29"/>
  <c r="CO7" i="29" s="1"/>
  <c r="CP95" i="29"/>
  <c r="CM48" i="29"/>
  <c r="CM9" i="29" s="1"/>
  <c r="CN122" i="29"/>
  <c r="CO121" i="29"/>
  <c r="CO8" i="29"/>
  <c r="CO49" i="29"/>
  <c r="CN50" i="29"/>
  <c r="CN42" i="29"/>
  <c r="CO41" i="29"/>
  <c r="CN100" i="29"/>
  <c r="CP81" i="29"/>
  <c r="CO82" i="29"/>
  <c r="CO105" i="29"/>
  <c r="CN106" i="29"/>
  <c r="CP39" i="29"/>
  <c r="CO40" i="29"/>
  <c r="CO79" i="29"/>
  <c r="CN80" i="29"/>
  <c r="CQ36" i="29"/>
  <c r="CR35" i="29"/>
  <c r="CO112" i="29"/>
  <c r="CP111" i="29"/>
  <c r="CP107" i="29"/>
  <c r="CO108" i="29"/>
  <c r="CO37" i="29"/>
  <c r="CN38" i="29"/>
  <c r="CN34" i="29" s="1"/>
  <c r="CO66" i="29"/>
  <c r="CP65" i="29"/>
  <c r="CU149" i="29"/>
  <c r="CT150" i="29"/>
  <c r="CN116" i="29"/>
  <c r="CO115" i="29"/>
  <c r="CP101" i="29"/>
  <c r="CO102" i="29"/>
  <c r="CO63" i="29"/>
  <c r="CO64" i="29" s="1"/>
  <c r="CP117" i="29"/>
  <c r="CO118" i="29"/>
  <c r="CL5" i="29"/>
  <c r="CK4" i="29"/>
  <c r="CK3" i="29" s="1"/>
  <c r="CN52" i="29"/>
  <c r="CO51" i="29"/>
  <c r="CP113" i="29"/>
  <c r="CO114" i="29"/>
  <c r="CN104" i="29"/>
  <c r="CO103" i="29"/>
  <c r="CN78" i="29"/>
  <c r="CO77" i="29"/>
  <c r="CP85" i="29"/>
  <c r="CO86" i="29"/>
  <c r="CQ91" i="29"/>
  <c r="CP92" i="29"/>
  <c r="CO109" i="29"/>
  <c r="CN110" i="29"/>
  <c r="CO87" i="29"/>
  <c r="CN88" i="29"/>
  <c r="CP70" i="29"/>
  <c r="CQ69" i="29"/>
  <c r="CN120" i="29"/>
  <c r="CO119" i="29"/>
  <c r="CO56" i="29"/>
  <c r="CP55" i="29"/>
  <c r="CO83" i="29"/>
  <c r="CN84" i="29"/>
  <c r="CN94" i="29"/>
  <c r="CO93" i="29"/>
  <c r="CN90" i="29"/>
  <c r="CO89" i="29"/>
  <c r="CN68" i="29"/>
  <c r="CO67" i="29"/>
  <c r="CQ136" i="29"/>
  <c r="CR135" i="29"/>
  <c r="CS143" i="29"/>
  <c r="CR144" i="29"/>
  <c r="CR138" i="29"/>
  <c r="CS137" i="29"/>
  <c r="CT141" i="29"/>
  <c r="CS142" i="29"/>
  <c r="CQ133" i="29"/>
  <c r="CP134" i="29"/>
  <c r="CR145" i="29"/>
  <c r="CQ146" i="29"/>
  <c r="CR147" i="29"/>
  <c r="CQ148" i="29"/>
  <c r="CR140" i="29"/>
  <c r="CS139" i="29"/>
  <c r="CP128" i="29"/>
  <c r="CQ126" i="29" s="1"/>
  <c r="CQ127" i="29"/>
  <c r="CR129" i="29"/>
  <c r="CQ130" i="29"/>
  <c r="CR131" i="29"/>
  <c r="CQ132" i="29"/>
  <c r="CU54" i="29" l="1"/>
  <c r="CV53" i="29"/>
  <c r="CU123" i="29"/>
  <c r="CT124" i="29"/>
  <c r="CT72" i="29"/>
  <c r="CU71" i="29"/>
  <c r="CT58" i="29"/>
  <c r="CU57" i="29"/>
  <c r="CU43" i="29"/>
  <c r="CT44" i="29"/>
  <c r="CP96" i="29"/>
  <c r="CP7" i="29" s="1"/>
  <c r="CQ95" i="29"/>
  <c r="CN48" i="29"/>
  <c r="CN9" i="29" s="1"/>
  <c r="CP8" i="29"/>
  <c r="CO122" i="29"/>
  <c r="CP121" i="29"/>
  <c r="CP49" i="29"/>
  <c r="CO50" i="29"/>
  <c r="CP41" i="29"/>
  <c r="CO42" i="29"/>
  <c r="CO100" i="29"/>
  <c r="CQ92" i="29"/>
  <c r="CR91" i="29"/>
  <c r="CP102" i="29"/>
  <c r="CQ101" i="29"/>
  <c r="CO38" i="29"/>
  <c r="CO34" i="29" s="1"/>
  <c r="CP37" i="29"/>
  <c r="CO80" i="29"/>
  <c r="CP79" i="29"/>
  <c r="CQ70" i="29"/>
  <c r="CR69" i="29"/>
  <c r="CO116" i="29"/>
  <c r="CP115" i="29"/>
  <c r="CP93" i="29"/>
  <c r="CO94" i="29"/>
  <c r="CP103" i="29"/>
  <c r="CO104" i="29"/>
  <c r="CO68" i="29"/>
  <c r="CP67" i="29"/>
  <c r="CP83" i="29"/>
  <c r="CO84" i="29"/>
  <c r="CP86" i="29"/>
  <c r="CQ85" i="29"/>
  <c r="CM5" i="29"/>
  <c r="CL4" i="29"/>
  <c r="CQ107" i="29"/>
  <c r="CP108" i="29"/>
  <c r="CQ39" i="29"/>
  <c r="CP40" i="29"/>
  <c r="CP56" i="29"/>
  <c r="CQ55" i="29"/>
  <c r="CP112" i="29"/>
  <c r="CQ111" i="29"/>
  <c r="CO120" i="29"/>
  <c r="CP119" i="29"/>
  <c r="CP89" i="29"/>
  <c r="CO90" i="29"/>
  <c r="CO88" i="29"/>
  <c r="CP87" i="29"/>
  <c r="CQ117" i="29"/>
  <c r="CP118" i="29"/>
  <c r="CU150" i="29"/>
  <c r="CV149" i="29"/>
  <c r="CO106" i="29"/>
  <c r="CP105" i="29"/>
  <c r="CP77" i="29"/>
  <c r="CO78" i="29"/>
  <c r="CQ113" i="29"/>
  <c r="CP114" i="29"/>
  <c r="CQ65" i="29"/>
  <c r="CP66" i="29"/>
  <c r="CS35" i="29"/>
  <c r="CR36" i="29"/>
  <c r="CP109" i="29"/>
  <c r="CO110" i="29"/>
  <c r="CO52" i="29"/>
  <c r="CP51" i="29"/>
  <c r="CP63" i="29"/>
  <c r="CP64" i="29" s="1"/>
  <c r="CQ81" i="29"/>
  <c r="CP82" i="29"/>
  <c r="CR132" i="29"/>
  <c r="CS131" i="29"/>
  <c r="CR148" i="29"/>
  <c r="CS147" i="29"/>
  <c r="CS129" i="29"/>
  <c r="CR130" i="29"/>
  <c r="CS145" i="29"/>
  <c r="CR146" i="29"/>
  <c r="CT143" i="29"/>
  <c r="CS144" i="29"/>
  <c r="CT137" i="29"/>
  <c r="CS138" i="29"/>
  <c r="CR127" i="29"/>
  <c r="CQ128" i="29"/>
  <c r="CR126" i="29" s="1"/>
  <c r="CR136" i="29"/>
  <c r="CS135" i="29"/>
  <c r="CR133" i="29"/>
  <c r="CQ134" i="29"/>
  <c r="CS140" i="29"/>
  <c r="CT139" i="29"/>
  <c r="CT142" i="29"/>
  <c r="CU141" i="29"/>
  <c r="CV54" i="29" l="1"/>
  <c r="CW53" i="29"/>
  <c r="CU58" i="29"/>
  <c r="CV57" i="29"/>
  <c r="CU44" i="29"/>
  <c r="CV43" i="29"/>
  <c r="CU72" i="29"/>
  <c r="CV71" i="29"/>
  <c r="CV123" i="29"/>
  <c r="CU124" i="29"/>
  <c r="CQ96" i="29"/>
  <c r="CQ7" i="29" s="1"/>
  <c r="I12" i="30" s="1"/>
  <c r="CR95" i="29"/>
  <c r="CO48" i="29"/>
  <c r="CO9" i="29" s="1"/>
  <c r="CP122" i="29"/>
  <c r="CQ121" i="29"/>
  <c r="CQ8" i="29"/>
  <c r="I13" i="30" s="1"/>
  <c r="CP50" i="29"/>
  <c r="CQ49" i="29"/>
  <c r="CP42" i="29"/>
  <c r="CQ41" i="29"/>
  <c r="CP100" i="29"/>
  <c r="CW149" i="29"/>
  <c r="CV150" i="29"/>
  <c r="CQ119" i="29"/>
  <c r="CP120" i="29"/>
  <c r="CQ56" i="29"/>
  <c r="CR55" i="29"/>
  <c r="CN5" i="29"/>
  <c r="CM4" i="29"/>
  <c r="CP104" i="29"/>
  <c r="CQ103" i="29"/>
  <c r="CQ114" i="29"/>
  <c r="CQ22" i="29" s="1"/>
  <c r="CR113" i="29"/>
  <c r="CR85" i="29"/>
  <c r="CQ86" i="29"/>
  <c r="CP38" i="29"/>
  <c r="CP34" i="29" s="1"/>
  <c r="CQ37" i="29"/>
  <c r="CP52" i="29"/>
  <c r="CQ51" i="29"/>
  <c r="CQ79" i="29"/>
  <c r="CP80" i="29"/>
  <c r="CP110" i="29"/>
  <c r="CQ109" i="29"/>
  <c r="CR111" i="29"/>
  <c r="CQ112" i="29"/>
  <c r="CP94" i="29"/>
  <c r="CQ93" i="29"/>
  <c r="CQ77" i="29"/>
  <c r="CP78" i="29"/>
  <c r="CQ118" i="29"/>
  <c r="CR117" i="29"/>
  <c r="CP116" i="29"/>
  <c r="CQ115" i="29"/>
  <c r="CR101" i="29"/>
  <c r="CQ102" i="29"/>
  <c r="CP90" i="29"/>
  <c r="CQ89" i="29"/>
  <c r="CQ82" i="29"/>
  <c r="CR81" i="29"/>
  <c r="CP88" i="29"/>
  <c r="CQ87" i="29"/>
  <c r="CQ40" i="29"/>
  <c r="CR39" i="29"/>
  <c r="CP84" i="29"/>
  <c r="CQ83" i="29"/>
  <c r="CT35" i="29"/>
  <c r="CS36" i="29"/>
  <c r="CQ67" i="29"/>
  <c r="CP68" i="29"/>
  <c r="CS69" i="29"/>
  <c r="CR70" i="29"/>
  <c r="CR92" i="29"/>
  <c r="CS91" i="29"/>
  <c r="CQ66" i="29"/>
  <c r="CQ12" i="29" s="1"/>
  <c r="I23" i="30" s="1"/>
  <c r="CR65" i="29"/>
  <c r="CQ63" i="29"/>
  <c r="CQ64" i="29" s="1"/>
  <c r="CQ105" i="29"/>
  <c r="CP106" i="29"/>
  <c r="CQ108" i="29"/>
  <c r="CR107" i="29"/>
  <c r="CT145" i="29"/>
  <c r="CS146" i="29"/>
  <c r="CS127" i="29"/>
  <c r="CR128" i="29"/>
  <c r="CS126" i="29" s="1"/>
  <c r="CT129" i="29"/>
  <c r="CS130" i="29"/>
  <c r="CS136" i="29"/>
  <c r="CT135" i="29"/>
  <c r="CT140" i="29"/>
  <c r="CU139" i="29"/>
  <c r="CS148" i="29"/>
  <c r="CT147" i="29"/>
  <c r="CU137" i="29"/>
  <c r="CT138" i="29"/>
  <c r="CT131" i="29"/>
  <c r="CS132" i="29"/>
  <c r="CV141" i="29"/>
  <c r="CU142" i="29"/>
  <c r="CS133" i="29"/>
  <c r="CR134" i="29"/>
  <c r="CU143" i="29"/>
  <c r="CT144" i="29"/>
  <c r="CW54" i="29" l="1"/>
  <c r="CX53" i="29"/>
  <c r="CV72" i="29"/>
  <c r="CW71" i="29"/>
  <c r="CV124" i="29"/>
  <c r="CW123" i="29"/>
  <c r="CV44" i="29"/>
  <c r="CW43" i="29"/>
  <c r="CV58" i="29"/>
  <c r="CW57" i="29"/>
  <c r="I11" i="30"/>
  <c r="CR96" i="29"/>
  <c r="CR7" i="29" s="1"/>
  <c r="CS95" i="29"/>
  <c r="CP48" i="29"/>
  <c r="CP9" i="29" s="1"/>
  <c r="CR8" i="29"/>
  <c r="CQ122" i="29"/>
  <c r="CR121" i="29"/>
  <c r="CR49" i="29"/>
  <c r="CQ50" i="29"/>
  <c r="CQ42" i="29"/>
  <c r="CR41" i="29"/>
  <c r="CQ100" i="29"/>
  <c r="CQ14" i="29" s="1"/>
  <c r="I16" i="30" s="1"/>
  <c r="CQ84" i="29"/>
  <c r="CR83" i="29"/>
  <c r="CR115" i="29"/>
  <c r="CQ116" i="29"/>
  <c r="CQ38" i="29"/>
  <c r="CQ34" i="29" s="1"/>
  <c r="CR37" i="29"/>
  <c r="CQ106" i="29"/>
  <c r="CR105" i="29"/>
  <c r="CS70" i="29"/>
  <c r="CT69" i="29"/>
  <c r="CS111" i="29"/>
  <c r="CR112" i="29"/>
  <c r="CO5" i="29"/>
  <c r="CN4" i="29"/>
  <c r="CN3" i="29" s="1"/>
  <c r="CR63" i="29"/>
  <c r="CR64" i="29" s="1"/>
  <c r="CQ11" i="29"/>
  <c r="I22" i="30" s="1"/>
  <c r="CR40" i="29"/>
  <c r="CS39" i="29"/>
  <c r="CS81" i="29"/>
  <c r="CR82" i="29"/>
  <c r="CS117" i="29"/>
  <c r="CR118" i="29"/>
  <c r="CQ110" i="29"/>
  <c r="CR109" i="29"/>
  <c r="CR56" i="29"/>
  <c r="CS55" i="29"/>
  <c r="CR67" i="29"/>
  <c r="CQ68" i="29"/>
  <c r="CR86" i="29"/>
  <c r="CS85" i="29"/>
  <c r="CR108" i="29"/>
  <c r="CS107" i="29"/>
  <c r="CR66" i="29"/>
  <c r="CS65" i="29"/>
  <c r="CR89" i="29"/>
  <c r="CQ90" i="29"/>
  <c r="CS113" i="29"/>
  <c r="CR114" i="29"/>
  <c r="CR77" i="29"/>
  <c r="CQ78" i="29"/>
  <c r="CQ80" i="29"/>
  <c r="CR79" i="29"/>
  <c r="CQ120" i="29"/>
  <c r="CR119" i="29"/>
  <c r="CT91" i="29"/>
  <c r="CS92" i="29"/>
  <c r="CU35" i="29"/>
  <c r="CT36" i="29"/>
  <c r="CQ88" i="29"/>
  <c r="CR87" i="29"/>
  <c r="CQ94" i="29"/>
  <c r="CR93" i="29"/>
  <c r="CQ52" i="29"/>
  <c r="CR51" i="29"/>
  <c r="CQ104" i="29"/>
  <c r="CR103" i="29"/>
  <c r="CS101" i="29"/>
  <c r="CR102" i="29"/>
  <c r="CX149" i="29"/>
  <c r="CW150" i="29"/>
  <c r="CU144" i="29"/>
  <c r="CV143" i="29"/>
  <c r="CU138" i="29"/>
  <c r="CV137" i="29"/>
  <c r="CU129" i="29"/>
  <c r="CT130" i="29"/>
  <c r="CT133" i="29"/>
  <c r="CS134" i="29"/>
  <c r="CT127" i="29"/>
  <c r="CS128" i="29"/>
  <c r="CT126" i="29" s="1"/>
  <c r="CU140" i="29"/>
  <c r="CV139" i="29"/>
  <c r="CW141" i="29"/>
  <c r="CV142" i="29"/>
  <c r="CU145" i="29"/>
  <c r="CT146" i="29"/>
  <c r="CU147" i="29"/>
  <c r="CT148" i="29"/>
  <c r="CT136" i="29"/>
  <c r="CU135" i="29"/>
  <c r="CU131" i="29"/>
  <c r="CT132" i="29"/>
  <c r="CX54" i="29" l="1"/>
  <c r="CY53" i="29"/>
  <c r="CW58" i="29"/>
  <c r="CX57" i="29"/>
  <c r="CW44" i="29"/>
  <c r="CX43" i="29"/>
  <c r="CW124" i="29"/>
  <c r="CX123" i="29"/>
  <c r="CW72" i="29"/>
  <c r="CX71" i="29"/>
  <c r="CS96" i="29"/>
  <c r="CS7" i="29" s="1"/>
  <c r="CT95" i="29"/>
  <c r="CQ48" i="29"/>
  <c r="CQ9" i="29" s="1"/>
  <c r="CQ26" i="29" s="1"/>
  <c r="CS121" i="29"/>
  <c r="CR122" i="29"/>
  <c r="CS8" i="29"/>
  <c r="CR50" i="29"/>
  <c r="CS49" i="29"/>
  <c r="CR42" i="29"/>
  <c r="CS41" i="29"/>
  <c r="CR100" i="29"/>
  <c r="CQ15" i="29"/>
  <c r="I24" i="30" s="1"/>
  <c r="CS103" i="29"/>
  <c r="CR104" i="29"/>
  <c r="CR68" i="29"/>
  <c r="CS67" i="29"/>
  <c r="CS82" i="29"/>
  <c r="CT81" i="29"/>
  <c r="CT111" i="29"/>
  <c r="CS112" i="29"/>
  <c r="CT65" i="29"/>
  <c r="CS66" i="29"/>
  <c r="CT55" i="29"/>
  <c r="CS56" i="29"/>
  <c r="CS40" i="29"/>
  <c r="CT39" i="29"/>
  <c r="CS115" i="29"/>
  <c r="CR116" i="29"/>
  <c r="CY149" i="29"/>
  <c r="CX150" i="29"/>
  <c r="CR52" i="29"/>
  <c r="CS51" i="29"/>
  <c r="CV35" i="29"/>
  <c r="CU36" i="29"/>
  <c r="CS77" i="29"/>
  <c r="CR78" i="29"/>
  <c r="CT70" i="29"/>
  <c r="CU69" i="29"/>
  <c r="CS108" i="29"/>
  <c r="CT107" i="29"/>
  <c r="CR110" i="29"/>
  <c r="CS109" i="29"/>
  <c r="CS93" i="29"/>
  <c r="CR94" i="29"/>
  <c r="CU91" i="29"/>
  <c r="CT92" i="29"/>
  <c r="CS114" i="29"/>
  <c r="CT113" i="29"/>
  <c r="CS63" i="29"/>
  <c r="CS64" i="29" s="1"/>
  <c r="CR106" i="29"/>
  <c r="CS105" i="29"/>
  <c r="CR84" i="29"/>
  <c r="CS83" i="29"/>
  <c r="CT101" i="29"/>
  <c r="CS102" i="29"/>
  <c r="CS119" i="29"/>
  <c r="CR120" i="29"/>
  <c r="CT85" i="29"/>
  <c r="CS86" i="29"/>
  <c r="CR90" i="29"/>
  <c r="CS89" i="29"/>
  <c r="CS118" i="29"/>
  <c r="CT117" i="29"/>
  <c r="CP5" i="29"/>
  <c r="CO4" i="29"/>
  <c r="CR38" i="29"/>
  <c r="CR34" i="29" s="1"/>
  <c r="CS37" i="29"/>
  <c r="CS87" i="29"/>
  <c r="CR88" i="29"/>
  <c r="CS79" i="29"/>
  <c r="CR80" i="29"/>
  <c r="CU146" i="29"/>
  <c r="CV145" i="29"/>
  <c r="CT134" i="29"/>
  <c r="CU133" i="29"/>
  <c r="CV131" i="29"/>
  <c r="CU132" i="29"/>
  <c r="CX141" i="29"/>
  <c r="CW142" i="29"/>
  <c r="CU130" i="29"/>
  <c r="CV129" i="29"/>
  <c r="CU136" i="29"/>
  <c r="CV135" i="29"/>
  <c r="CW139" i="29"/>
  <c r="CV140" i="29"/>
  <c r="CW137" i="29"/>
  <c r="CV138" i="29"/>
  <c r="CW143" i="29"/>
  <c r="CV144" i="29"/>
  <c r="CV147" i="29"/>
  <c r="CU148" i="29"/>
  <c r="CU127" i="29"/>
  <c r="CT128" i="29"/>
  <c r="CU126" i="29" s="1"/>
  <c r="CY54" i="29" l="1"/>
  <c r="CZ53" i="29"/>
  <c r="CY123" i="29"/>
  <c r="CX124" i="29"/>
  <c r="CX72" i="29"/>
  <c r="CY71" i="29"/>
  <c r="CY43" i="29"/>
  <c r="CX44" i="29"/>
  <c r="CY57" i="29"/>
  <c r="CX58" i="29"/>
  <c r="CT96" i="29"/>
  <c r="CT7" i="29" s="1"/>
  <c r="CU95" i="29"/>
  <c r="CR48" i="29"/>
  <c r="CR9" i="29" s="1"/>
  <c r="CT8" i="29"/>
  <c r="CS122" i="29"/>
  <c r="CT121" i="29"/>
  <c r="CS50" i="29"/>
  <c r="CT49" i="29"/>
  <c r="CQ10" i="29"/>
  <c r="CQ13" i="29" s="1"/>
  <c r="CS42" i="29"/>
  <c r="CT41" i="29"/>
  <c r="I15" i="30"/>
  <c r="I14" i="30" s="1"/>
  <c r="CS100" i="29"/>
  <c r="CT118" i="29"/>
  <c r="CU117" i="29"/>
  <c r="CT63" i="29"/>
  <c r="CT64" i="29" s="1"/>
  <c r="CV36" i="29"/>
  <c r="CW35" i="29"/>
  <c r="CQ5" i="29"/>
  <c r="CP4" i="29"/>
  <c r="CT86" i="29"/>
  <c r="CU85" i="29"/>
  <c r="CS80" i="29"/>
  <c r="CT79" i="29"/>
  <c r="CT119" i="29"/>
  <c r="CS120" i="29"/>
  <c r="CS52" i="29"/>
  <c r="CT51" i="29"/>
  <c r="CS68" i="29"/>
  <c r="CT67" i="29"/>
  <c r="CS94" i="29"/>
  <c r="CT93" i="29"/>
  <c r="CT89" i="29"/>
  <c r="CS90" i="29"/>
  <c r="CU113" i="29"/>
  <c r="CT114" i="29"/>
  <c r="CT109" i="29"/>
  <c r="CS110" i="29"/>
  <c r="CT56" i="29"/>
  <c r="CU55" i="29"/>
  <c r="CT87" i="29"/>
  <c r="CS88" i="29"/>
  <c r="CU101" i="29"/>
  <c r="CT102" i="29"/>
  <c r="CU70" i="29"/>
  <c r="CV69" i="29"/>
  <c r="CU39" i="29"/>
  <c r="CT40" i="29"/>
  <c r="CS38" i="29"/>
  <c r="CS34" i="29" s="1"/>
  <c r="CT37" i="29"/>
  <c r="CT83" i="29"/>
  <c r="CS84" i="29"/>
  <c r="CU107" i="29"/>
  <c r="CT108" i="29"/>
  <c r="CZ149" i="29"/>
  <c r="CY150" i="29"/>
  <c r="CT66" i="29"/>
  <c r="CU65" i="29"/>
  <c r="CU81" i="29"/>
  <c r="CT82" i="29"/>
  <c r="CV91" i="29"/>
  <c r="CU92" i="29"/>
  <c r="CT105" i="29"/>
  <c r="CS106" i="29"/>
  <c r="I19" i="30"/>
  <c r="CS78" i="29"/>
  <c r="CT77" i="29"/>
  <c r="CS116" i="29"/>
  <c r="CT115" i="29"/>
  <c r="CU111" i="29"/>
  <c r="CT112" i="29"/>
  <c r="CS104" i="29"/>
  <c r="CT103" i="29"/>
  <c r="CV127" i="29"/>
  <c r="CU128" i="29"/>
  <c r="CV126" i="29" s="1"/>
  <c r="CW140" i="29"/>
  <c r="CX139" i="29"/>
  <c r="CW131" i="29"/>
  <c r="CV132" i="29"/>
  <c r="CW135" i="29"/>
  <c r="CV136" i="29"/>
  <c r="CV133" i="29"/>
  <c r="CU134" i="29"/>
  <c r="CW147" i="29"/>
  <c r="CV148" i="29"/>
  <c r="CW129" i="29"/>
  <c r="CV130" i="29"/>
  <c r="CV146" i="29"/>
  <c r="CW145" i="29"/>
  <c r="CW144" i="29"/>
  <c r="CX143" i="29"/>
  <c r="CW138" i="29"/>
  <c r="CX137" i="29"/>
  <c r="CX142" i="29"/>
  <c r="CY141" i="29"/>
  <c r="CZ54" i="29" l="1"/>
  <c r="DA53" i="29"/>
  <c r="CY58" i="29"/>
  <c r="CZ57" i="29"/>
  <c r="CY44" i="29"/>
  <c r="CZ43" i="29"/>
  <c r="CZ71" i="29"/>
  <c r="CY72" i="29"/>
  <c r="CY124" i="29"/>
  <c r="CZ123" i="29"/>
  <c r="CU96" i="29"/>
  <c r="CU7" i="29" s="1"/>
  <c r="CV95" i="29"/>
  <c r="CS48" i="29"/>
  <c r="CS9" i="29" s="1"/>
  <c r="CU121" i="29"/>
  <c r="CT122" i="29"/>
  <c r="CU8" i="29"/>
  <c r="I21" i="30"/>
  <c r="CU49" i="29"/>
  <c r="CT50" i="29"/>
  <c r="CT42" i="29"/>
  <c r="CU41" i="29"/>
  <c r="CT100" i="29"/>
  <c r="CV81" i="29"/>
  <c r="CU82" i="29"/>
  <c r="CT84" i="29"/>
  <c r="CU83" i="29"/>
  <c r="CU93" i="29"/>
  <c r="CT94" i="29"/>
  <c r="CX35" i="29"/>
  <c r="CW36" i="29"/>
  <c r="CV65" i="29"/>
  <c r="CU66" i="29"/>
  <c r="CT38" i="29"/>
  <c r="CT34" i="29" s="1"/>
  <c r="CU37" i="29"/>
  <c r="CT120" i="29"/>
  <c r="CU119" i="29"/>
  <c r="CV111" i="29"/>
  <c r="CU112" i="29"/>
  <c r="CU105" i="29"/>
  <c r="CT106" i="29"/>
  <c r="CV101" i="29"/>
  <c r="CU102" i="29"/>
  <c r="CT110" i="29"/>
  <c r="CU109" i="29"/>
  <c r="CT68" i="29"/>
  <c r="CU67" i="29"/>
  <c r="CT80" i="29"/>
  <c r="CU79" i="29"/>
  <c r="CT116" i="29"/>
  <c r="CU115" i="29"/>
  <c r="I20" i="30"/>
  <c r="CQ27" i="29"/>
  <c r="CW91" i="29"/>
  <c r="CV92" i="29"/>
  <c r="DA149" i="29"/>
  <c r="CZ150" i="29"/>
  <c r="CU40" i="29"/>
  <c r="CV39" i="29"/>
  <c r="CT88" i="29"/>
  <c r="CU87" i="29"/>
  <c r="CV113" i="29"/>
  <c r="CU114" i="29"/>
  <c r="CT52" i="29"/>
  <c r="CU51" i="29"/>
  <c r="CV85" i="29"/>
  <c r="CU86" i="29"/>
  <c r="CT78" i="29"/>
  <c r="CU77" i="29"/>
  <c r="CV55" i="29"/>
  <c r="CU56" i="29"/>
  <c r="CU63" i="29"/>
  <c r="CU64" i="29" s="1"/>
  <c r="CU108" i="29"/>
  <c r="CV107" i="29"/>
  <c r="CU118" i="29"/>
  <c r="CV117" i="29"/>
  <c r="CT104" i="29"/>
  <c r="CU103" i="29"/>
  <c r="CV70" i="29"/>
  <c r="CW69" i="29"/>
  <c r="CT90" i="29"/>
  <c r="CU89" i="29"/>
  <c r="I10" i="30"/>
  <c r="CR5" i="29"/>
  <c r="CQ4" i="29"/>
  <c r="CQ3" i="29" s="1"/>
  <c r="CX135" i="29"/>
  <c r="CW136" i="29"/>
  <c r="CX129" i="29"/>
  <c r="CW130" i="29"/>
  <c r="CX131" i="29"/>
  <c r="CW132" i="29"/>
  <c r="CY137" i="29"/>
  <c r="CX138" i="29"/>
  <c r="CY139" i="29"/>
  <c r="CX140" i="29"/>
  <c r="CX145" i="29"/>
  <c r="CW146" i="29"/>
  <c r="CX147" i="29"/>
  <c r="CW148" i="29"/>
  <c r="CZ141" i="29"/>
  <c r="CY142" i="29"/>
  <c r="CY143" i="29"/>
  <c r="CX144" i="29"/>
  <c r="CW133" i="29"/>
  <c r="CV134" i="29"/>
  <c r="CW127" i="29"/>
  <c r="CV128" i="29"/>
  <c r="CW126" i="29" s="1"/>
  <c r="DA54" i="29" l="1"/>
  <c r="DB53" i="29"/>
  <c r="DA123" i="29"/>
  <c r="CZ124" i="29"/>
  <c r="CZ72" i="29"/>
  <c r="DA71" i="29"/>
  <c r="CZ44" i="29"/>
  <c r="DA43" i="29"/>
  <c r="CZ58" i="29"/>
  <c r="DA57" i="29"/>
  <c r="CV96" i="29"/>
  <c r="CV7" i="29" s="1"/>
  <c r="CW95" i="29"/>
  <c r="CT48" i="29"/>
  <c r="CT9" i="29" s="1"/>
  <c r="CV8" i="29"/>
  <c r="CU122" i="29"/>
  <c r="CV121" i="29"/>
  <c r="CU50" i="29"/>
  <c r="CV49" i="29"/>
  <c r="CV41" i="29"/>
  <c r="CU42" i="29"/>
  <c r="CU100" i="29"/>
  <c r="CV108" i="29"/>
  <c r="CW107" i="29"/>
  <c r="CV114" i="29"/>
  <c r="CW113" i="29"/>
  <c r="CX91" i="29"/>
  <c r="CW92" i="29"/>
  <c r="CV112" i="29"/>
  <c r="CW111" i="29"/>
  <c r="CR4" i="29"/>
  <c r="CS5" i="29"/>
  <c r="CU104" i="29"/>
  <c r="CV103" i="29"/>
  <c r="CU78" i="29"/>
  <c r="CV77" i="29"/>
  <c r="CU88" i="29"/>
  <c r="CV87" i="29"/>
  <c r="I18" i="30"/>
  <c r="CQ28" i="29"/>
  <c r="I17" i="30" s="1"/>
  <c r="I31" i="30" s="1"/>
  <c r="CV109" i="29"/>
  <c r="CU110" i="29"/>
  <c r="CU120" i="29"/>
  <c r="CV119" i="29"/>
  <c r="CX36" i="29"/>
  <c r="CY35" i="29"/>
  <c r="I44" i="30"/>
  <c r="I37" i="30"/>
  <c r="I30" i="30"/>
  <c r="CV63" i="29"/>
  <c r="CV64" i="29" s="1"/>
  <c r="CV118" i="29"/>
  <c r="CW117" i="29"/>
  <c r="CV40" i="29"/>
  <c r="CW39" i="29"/>
  <c r="CU116" i="29"/>
  <c r="CV115" i="29"/>
  <c r="CU94" i="29"/>
  <c r="CV93" i="29"/>
  <c r="CV86" i="29"/>
  <c r="CW85" i="29"/>
  <c r="CW101" i="29"/>
  <c r="CV102" i="29"/>
  <c r="CU38" i="29"/>
  <c r="CU34" i="29" s="1"/>
  <c r="CV37" i="29"/>
  <c r="CU84" i="29"/>
  <c r="CV83" i="29"/>
  <c r="CU90" i="29"/>
  <c r="CV89" i="29"/>
  <c r="CV51" i="29"/>
  <c r="CU52" i="29"/>
  <c r="CU80" i="29"/>
  <c r="CV79" i="29"/>
  <c r="CU106" i="29"/>
  <c r="CV105" i="29"/>
  <c r="CV56" i="29"/>
  <c r="CW55" i="29"/>
  <c r="DB149" i="29"/>
  <c r="DA150" i="29"/>
  <c r="CX69" i="29"/>
  <c r="CW70" i="29"/>
  <c r="CV67" i="29"/>
  <c r="CU68" i="29"/>
  <c r="CV66" i="29"/>
  <c r="CW65" i="29"/>
  <c r="CW81" i="29"/>
  <c r="CV82" i="29"/>
  <c r="CX127" i="29"/>
  <c r="CW128" i="29"/>
  <c r="CX126" i="29" s="1"/>
  <c r="CY147" i="29"/>
  <c r="CX148" i="29"/>
  <c r="CY131" i="29"/>
  <c r="CX132" i="29"/>
  <c r="CX133" i="29"/>
  <c r="CW134" i="29"/>
  <c r="CY145" i="29"/>
  <c r="CX146" i="29"/>
  <c r="CY129" i="29"/>
  <c r="CX130" i="29"/>
  <c r="CY144" i="29"/>
  <c r="CZ143" i="29"/>
  <c r="CY140" i="29"/>
  <c r="CZ139" i="29"/>
  <c r="CX136" i="29"/>
  <c r="CY135" i="29"/>
  <c r="CZ142" i="29"/>
  <c r="DA141" i="29"/>
  <c r="CZ137" i="29"/>
  <c r="CY138" i="29"/>
  <c r="DB54" i="29" l="1"/>
  <c r="DC53" i="29"/>
  <c r="DA44" i="29"/>
  <c r="DB43" i="29"/>
  <c r="DA58" i="29"/>
  <c r="DB57" i="29"/>
  <c r="DA72" i="29"/>
  <c r="DB71" i="29"/>
  <c r="DA124" i="29"/>
  <c r="DB123" i="29"/>
  <c r="CW96" i="29"/>
  <c r="CW7" i="29" s="1"/>
  <c r="CX95" i="29"/>
  <c r="CU48" i="29"/>
  <c r="CU9" i="29" s="1"/>
  <c r="CV122" i="29"/>
  <c r="CW121" i="29"/>
  <c r="CW8" i="29"/>
  <c r="CV50" i="29"/>
  <c r="CW49" i="29"/>
  <c r="CW41" i="29"/>
  <c r="CV42" i="29"/>
  <c r="CV100" i="29"/>
  <c r="CX81" i="29"/>
  <c r="CW82" i="29"/>
  <c r="CW112" i="29"/>
  <c r="CX111" i="29"/>
  <c r="CW66" i="29"/>
  <c r="CX65" i="29"/>
  <c r="CV80" i="29"/>
  <c r="CW79" i="29"/>
  <c r="CW37" i="29"/>
  <c r="CV38" i="29"/>
  <c r="CV34" i="29" s="1"/>
  <c r="CV94" i="29"/>
  <c r="CW93" i="29"/>
  <c r="CW118" i="29"/>
  <c r="CX117" i="29"/>
  <c r="CX70" i="29"/>
  <c r="CY69" i="29"/>
  <c r="CV120" i="29"/>
  <c r="CW119" i="29"/>
  <c r="CV78" i="29"/>
  <c r="CW77" i="29"/>
  <c r="CX92" i="29"/>
  <c r="CY91" i="29"/>
  <c r="CW87" i="29"/>
  <c r="CV88" i="29"/>
  <c r="CV68" i="29"/>
  <c r="CW67" i="29"/>
  <c r="DC149" i="29"/>
  <c r="DB150" i="29"/>
  <c r="CV52" i="29"/>
  <c r="CW51" i="29"/>
  <c r="CX101" i="29"/>
  <c r="CW102" i="29"/>
  <c r="CV116" i="29"/>
  <c r="CW115" i="29"/>
  <c r="CW63" i="29"/>
  <c r="CW64" i="29" s="1"/>
  <c r="CW103" i="29"/>
  <c r="CV104" i="29"/>
  <c r="CW114" i="29"/>
  <c r="CX113" i="29"/>
  <c r="CY36" i="29"/>
  <c r="CZ35" i="29"/>
  <c r="CX55" i="29"/>
  <c r="CW56" i="29"/>
  <c r="CV90" i="29"/>
  <c r="CW89" i="29"/>
  <c r="CX85" i="29"/>
  <c r="CW86" i="29"/>
  <c r="CW109" i="29"/>
  <c r="CV110" i="29"/>
  <c r="CW40" i="29"/>
  <c r="CX39" i="29"/>
  <c r="I35" i="30"/>
  <c r="I32" i="30"/>
  <c r="I33" i="30" s="1"/>
  <c r="I34" i="30"/>
  <c r="CT5" i="29"/>
  <c r="CS4" i="29"/>
  <c r="CW108" i="29"/>
  <c r="CX107" i="29"/>
  <c r="CV106" i="29"/>
  <c r="CW105" i="29"/>
  <c r="CV84" i="29"/>
  <c r="CW83" i="29"/>
  <c r="I38" i="30"/>
  <c r="I45" i="30"/>
  <c r="CY133" i="29"/>
  <c r="CX134" i="29"/>
  <c r="DA143" i="29"/>
  <c r="CZ144" i="29"/>
  <c r="CZ138" i="29"/>
  <c r="DA137" i="29"/>
  <c r="CZ131" i="29"/>
  <c r="CY132" i="29"/>
  <c r="CZ140" i="29"/>
  <c r="DA139" i="29"/>
  <c r="DB141" i="29"/>
  <c r="DA142" i="29"/>
  <c r="CZ129" i="29"/>
  <c r="CY130" i="29"/>
  <c r="CZ147" i="29"/>
  <c r="CY148" i="29"/>
  <c r="CY136" i="29"/>
  <c r="CZ135" i="29"/>
  <c r="CZ145" i="29"/>
  <c r="CY146" i="29"/>
  <c r="CX128" i="29"/>
  <c r="CY126" i="29" s="1"/>
  <c r="CY127" i="29"/>
  <c r="DC54" i="29" l="1"/>
  <c r="DD53" i="29"/>
  <c r="DB72" i="29"/>
  <c r="DC71" i="29"/>
  <c r="DC123" i="29"/>
  <c r="DB124" i="29"/>
  <c r="DB44" i="29"/>
  <c r="DC43" i="29"/>
  <c r="DB58" i="29"/>
  <c r="DC57" i="29"/>
  <c r="CX96" i="29"/>
  <c r="CX7" i="29" s="1"/>
  <c r="CY95" i="29"/>
  <c r="CV48" i="29"/>
  <c r="CV9" i="29" s="1"/>
  <c r="CX8" i="29"/>
  <c r="CX121" i="29"/>
  <c r="CW122" i="29"/>
  <c r="CW50" i="29"/>
  <c r="CX49" i="29"/>
  <c r="CX41" i="29"/>
  <c r="CW42" i="29"/>
  <c r="CW100" i="29"/>
  <c r="I42" i="30"/>
  <c r="I41" i="30"/>
  <c r="I39" i="30"/>
  <c r="I40" i="30" s="1"/>
  <c r="CX86" i="29"/>
  <c r="CY85" i="29"/>
  <c r="CX102" i="29"/>
  <c r="CY101" i="29"/>
  <c r="CW88" i="29"/>
  <c r="CX87" i="29"/>
  <c r="CZ69" i="29"/>
  <c r="CY70" i="29"/>
  <c r="CX79" i="29"/>
  <c r="CW80" i="29"/>
  <c r="CX40" i="29"/>
  <c r="CY39" i="29"/>
  <c r="CX89" i="29"/>
  <c r="CW90" i="29"/>
  <c r="CW52" i="29"/>
  <c r="CX51" i="29"/>
  <c r="CY92" i="29"/>
  <c r="CZ91" i="29"/>
  <c r="CX108" i="29"/>
  <c r="CY107" i="29"/>
  <c r="CX103" i="29"/>
  <c r="CW104" i="29"/>
  <c r="CY117" i="29"/>
  <c r="CX118" i="29"/>
  <c r="CY65" i="29"/>
  <c r="CX66" i="29"/>
  <c r="CX83" i="29"/>
  <c r="CW84" i="29"/>
  <c r="CX56" i="29"/>
  <c r="CY55" i="29"/>
  <c r="CX63" i="29"/>
  <c r="CX64" i="29" s="1"/>
  <c r="DC150" i="29"/>
  <c r="DD149" i="29"/>
  <c r="CW78" i="29"/>
  <c r="CX77" i="29"/>
  <c r="CX93" i="29"/>
  <c r="CW94" i="29"/>
  <c r="CX112" i="29"/>
  <c r="CY111" i="29"/>
  <c r="CX105" i="29"/>
  <c r="CW106" i="29"/>
  <c r="CU5" i="29"/>
  <c r="CT4" i="29"/>
  <c r="CT3" i="29" s="1"/>
  <c r="DA35" i="29"/>
  <c r="CZ36" i="29"/>
  <c r="CX115" i="29"/>
  <c r="CW116" i="29"/>
  <c r="CX67" i="29"/>
  <c r="CW68" i="29"/>
  <c r="CX109" i="29"/>
  <c r="CW110" i="29"/>
  <c r="CW120" i="29"/>
  <c r="CX119" i="29"/>
  <c r="I49" i="30"/>
  <c r="I48" i="30"/>
  <c r="I46" i="30"/>
  <c r="I47" i="30" s="1"/>
  <c r="CY113" i="29"/>
  <c r="CX114" i="29"/>
  <c r="CW38" i="29"/>
  <c r="CW34" i="29" s="1"/>
  <c r="CX37" i="29"/>
  <c r="CX82" i="29"/>
  <c r="CY81" i="29"/>
  <c r="DA129" i="29"/>
  <c r="CZ130" i="29"/>
  <c r="CZ127" i="29"/>
  <c r="CY128" i="29"/>
  <c r="CZ126" i="29" s="1"/>
  <c r="DA145" i="29"/>
  <c r="CZ146" i="29"/>
  <c r="DB142" i="29"/>
  <c r="DC141" i="29"/>
  <c r="DB143" i="29"/>
  <c r="DA144" i="29"/>
  <c r="CZ136" i="29"/>
  <c r="DA135" i="29"/>
  <c r="DA140" i="29"/>
  <c r="DB139" i="29"/>
  <c r="CZ133" i="29"/>
  <c r="CY134" i="29"/>
  <c r="DA138" i="29"/>
  <c r="DB137" i="29"/>
  <c r="CZ148" i="29"/>
  <c r="DA147" i="29"/>
  <c r="CZ132" i="29"/>
  <c r="DA131" i="29"/>
  <c r="DD54" i="29" l="1"/>
  <c r="DE53" i="29"/>
  <c r="DC44" i="29"/>
  <c r="DD43" i="29"/>
  <c r="DD123" i="29"/>
  <c r="DC124" i="29"/>
  <c r="DC72" i="29"/>
  <c r="DD71" i="29"/>
  <c r="DC58" i="29"/>
  <c r="DD57" i="29"/>
  <c r="CY96" i="29"/>
  <c r="CY7" i="29" s="1"/>
  <c r="CZ95" i="29"/>
  <c r="CW48" i="29"/>
  <c r="CW9" i="29" s="1"/>
  <c r="CX122" i="29"/>
  <c r="CY121" i="29"/>
  <c r="CY8" i="29"/>
  <c r="CX50" i="29"/>
  <c r="CY49" i="29"/>
  <c r="CX42" i="29"/>
  <c r="CY41" i="29"/>
  <c r="CX100" i="29"/>
  <c r="CZ111" i="29"/>
  <c r="CY112" i="29"/>
  <c r="CZ39" i="29"/>
  <c r="CY40" i="29"/>
  <c r="CY115" i="29"/>
  <c r="CX116" i="29"/>
  <c r="CY63" i="29"/>
  <c r="CY64" i="29" s="1"/>
  <c r="CY66" i="29"/>
  <c r="CZ65" i="29"/>
  <c r="CY102" i="29"/>
  <c r="CZ101" i="29"/>
  <c r="CX120" i="29"/>
  <c r="CY119" i="29"/>
  <c r="CZ55" i="29"/>
  <c r="CY56" i="29"/>
  <c r="CZ92" i="29"/>
  <c r="DA91" i="29"/>
  <c r="CY114" i="29"/>
  <c r="CZ113" i="29"/>
  <c r="DB35" i="29"/>
  <c r="DA36" i="29"/>
  <c r="CY93" i="29"/>
  <c r="CX94" i="29"/>
  <c r="CZ117" i="29"/>
  <c r="CY118" i="29"/>
  <c r="CZ85" i="29"/>
  <c r="CY86" i="29"/>
  <c r="CY77" i="29"/>
  <c r="CX78" i="29"/>
  <c r="CY51" i="29"/>
  <c r="CX52" i="29"/>
  <c r="CY79" i="29"/>
  <c r="CX80" i="29"/>
  <c r="CY82" i="29"/>
  <c r="CZ81" i="29"/>
  <c r="CX110" i="29"/>
  <c r="CY109" i="29"/>
  <c r="CV5" i="29"/>
  <c r="CU4" i="29"/>
  <c r="CY103" i="29"/>
  <c r="CX104" i="29"/>
  <c r="DD150" i="29"/>
  <c r="DE149" i="29"/>
  <c r="CZ107" i="29"/>
  <c r="CY108" i="29"/>
  <c r="DA69" i="29"/>
  <c r="CZ70" i="29"/>
  <c r="CX38" i="29"/>
  <c r="CX34" i="29" s="1"/>
  <c r="CY37" i="29"/>
  <c r="CX68" i="29"/>
  <c r="CY67" i="29"/>
  <c r="CY105" i="29"/>
  <c r="CX106" i="29"/>
  <c r="CX84" i="29"/>
  <c r="CY83" i="29"/>
  <c r="CY89" i="29"/>
  <c r="CX90" i="29"/>
  <c r="CY87" i="29"/>
  <c r="CX88" i="29"/>
  <c r="DA133" i="29"/>
  <c r="CZ134" i="29"/>
  <c r="DB140" i="29"/>
  <c r="DC139" i="29"/>
  <c r="DB145" i="29"/>
  <c r="DA146" i="29"/>
  <c r="DD141" i="29"/>
  <c r="DC142" i="29"/>
  <c r="DA136" i="29"/>
  <c r="DB135" i="29"/>
  <c r="DA148" i="29"/>
  <c r="DB147" i="29"/>
  <c r="DA127" i="29"/>
  <c r="CZ128" i="29"/>
  <c r="DA126" i="29" s="1"/>
  <c r="DB131" i="29"/>
  <c r="DA132" i="29"/>
  <c r="DC137" i="29"/>
  <c r="DB138" i="29"/>
  <c r="DC143" i="29"/>
  <c r="DB144" i="29"/>
  <c r="DB129" i="29"/>
  <c r="DA130" i="29"/>
  <c r="DE54" i="29" l="1"/>
  <c r="DF53" i="29"/>
  <c r="DE57" i="29"/>
  <c r="DD58" i="29"/>
  <c r="DE71" i="29"/>
  <c r="DD72" i="29"/>
  <c r="DE123" i="29"/>
  <c r="DD124" i="29"/>
  <c r="DD44" i="29"/>
  <c r="DE43" i="29"/>
  <c r="CZ96" i="29"/>
  <c r="CZ7" i="29" s="1"/>
  <c r="DA95" i="29"/>
  <c r="CX48" i="29"/>
  <c r="CX9" i="29" s="1"/>
  <c r="CZ8" i="29"/>
  <c r="CY122" i="29"/>
  <c r="CZ121" i="29"/>
  <c r="CY50" i="29"/>
  <c r="CZ49" i="29"/>
  <c r="CY42" i="29"/>
  <c r="CZ41" i="29"/>
  <c r="CY100" i="29"/>
  <c r="DA70" i="29"/>
  <c r="DB69" i="29"/>
  <c r="CW5" i="29"/>
  <c r="CV4" i="29"/>
  <c r="CY52" i="29"/>
  <c r="CZ51" i="29"/>
  <c r="CZ86" i="29"/>
  <c r="DA85" i="29"/>
  <c r="DA101" i="29"/>
  <c r="CZ102" i="29"/>
  <c r="CZ115" i="29"/>
  <c r="CY116" i="29"/>
  <c r="CZ109" i="29"/>
  <c r="CY110" i="29"/>
  <c r="CZ83" i="29"/>
  <c r="CY84" i="29"/>
  <c r="CZ114" i="29"/>
  <c r="DA113" i="29"/>
  <c r="CY106" i="29"/>
  <c r="CZ105" i="29"/>
  <c r="CZ108" i="29"/>
  <c r="DA107" i="29"/>
  <c r="CZ118" i="29"/>
  <c r="DA117" i="29"/>
  <c r="DB91" i="29"/>
  <c r="DA92" i="29"/>
  <c r="DA39" i="29"/>
  <c r="CZ40" i="29"/>
  <c r="CY68" i="29"/>
  <c r="CZ67" i="29"/>
  <c r="DF149" i="29"/>
  <c r="DE150" i="29"/>
  <c r="DA81" i="29"/>
  <c r="CZ82" i="29"/>
  <c r="DA65" i="29"/>
  <c r="CZ66" i="29"/>
  <c r="CZ87" i="29"/>
  <c r="CY88" i="29"/>
  <c r="CY78" i="29"/>
  <c r="CZ77" i="29"/>
  <c r="CZ93" i="29"/>
  <c r="CY94" i="29"/>
  <c r="CY38" i="29"/>
  <c r="CY34" i="29" s="1"/>
  <c r="CZ37" i="29"/>
  <c r="DA55" i="29"/>
  <c r="CZ56" i="29"/>
  <c r="CZ63" i="29"/>
  <c r="CZ64" i="29" s="1"/>
  <c r="CY90" i="29"/>
  <c r="CZ89" i="29"/>
  <c r="CZ103" i="29"/>
  <c r="CY104" i="29"/>
  <c r="CY80" i="29"/>
  <c r="CZ79" i="29"/>
  <c r="DB36" i="29"/>
  <c r="DC35" i="29"/>
  <c r="CZ119" i="29"/>
  <c r="CY120" i="29"/>
  <c r="CZ112" i="29"/>
  <c r="DA111" i="29"/>
  <c r="DC129" i="29"/>
  <c r="DB130" i="29"/>
  <c r="DC131" i="29"/>
  <c r="DB132" i="29"/>
  <c r="DE141" i="29"/>
  <c r="DD142" i="29"/>
  <c r="DC144" i="29"/>
  <c r="DD143" i="29"/>
  <c r="DB127" i="29"/>
  <c r="DA128" i="29"/>
  <c r="DB126" i="29" s="1"/>
  <c r="DC145" i="29"/>
  <c r="DB146" i="29"/>
  <c r="DC147" i="29"/>
  <c r="DB148" i="29"/>
  <c r="DC140" i="29"/>
  <c r="DD139" i="29"/>
  <c r="DB136" i="29"/>
  <c r="DC135" i="29"/>
  <c r="DC138" i="29"/>
  <c r="DD137" i="29"/>
  <c r="DB133" i="29"/>
  <c r="DA134" i="29"/>
  <c r="DF54" i="29" l="1"/>
  <c r="DG53" i="29"/>
  <c r="DF123" i="29"/>
  <c r="DE124" i="29"/>
  <c r="DE72" i="29"/>
  <c r="DF71" i="29"/>
  <c r="DE44" i="29"/>
  <c r="DF43" i="29"/>
  <c r="DE58" i="29"/>
  <c r="DF57" i="29"/>
  <c r="DA96" i="29"/>
  <c r="DA7" i="29" s="1"/>
  <c r="DB95" i="29"/>
  <c r="CY48" i="29"/>
  <c r="CY9" i="29" s="1"/>
  <c r="DA121" i="29"/>
  <c r="CZ122" i="29"/>
  <c r="DA8" i="29"/>
  <c r="CZ50" i="29"/>
  <c r="DA49" i="29"/>
  <c r="CZ42" i="29"/>
  <c r="DA41" i="29"/>
  <c r="CZ100" i="29"/>
  <c r="DC36" i="29"/>
  <c r="DD35" i="29"/>
  <c r="DA63" i="29"/>
  <c r="DA64" i="29" s="1"/>
  <c r="DA83" i="29"/>
  <c r="CZ84" i="29"/>
  <c r="DB85" i="29"/>
  <c r="DA86" i="29"/>
  <c r="DA108" i="29"/>
  <c r="DB107" i="29"/>
  <c r="CZ80" i="29"/>
  <c r="DA79" i="29"/>
  <c r="DA93" i="29"/>
  <c r="CZ94" i="29"/>
  <c r="DB65" i="29"/>
  <c r="DA66" i="29"/>
  <c r="DA40" i="29"/>
  <c r="DB39" i="29"/>
  <c r="DA51" i="29"/>
  <c r="CZ52" i="29"/>
  <c r="DA56" i="29"/>
  <c r="DB55" i="29"/>
  <c r="DA77" i="29"/>
  <c r="CZ78" i="29"/>
  <c r="CZ106" i="29"/>
  <c r="DA105" i="29"/>
  <c r="CZ110" i="29"/>
  <c r="DA109" i="29"/>
  <c r="DA112" i="29"/>
  <c r="DB111" i="29"/>
  <c r="DB81" i="29"/>
  <c r="DA82" i="29"/>
  <c r="DC91" i="29"/>
  <c r="DB92" i="29"/>
  <c r="CZ104" i="29"/>
  <c r="DA103" i="29"/>
  <c r="DA118" i="29"/>
  <c r="DB117" i="29"/>
  <c r="DB113" i="29"/>
  <c r="DA114" i="29"/>
  <c r="DA115" i="29"/>
  <c r="CZ116" i="29"/>
  <c r="CX5" i="29"/>
  <c r="CW4" i="29"/>
  <c r="CW3" i="29" s="1"/>
  <c r="CZ90" i="29"/>
  <c r="DA89" i="29"/>
  <c r="CZ38" i="29"/>
  <c r="CZ34" i="29" s="1"/>
  <c r="DA37" i="29"/>
  <c r="DA87" i="29"/>
  <c r="CZ88" i="29"/>
  <c r="DF150" i="29"/>
  <c r="DG149" i="29"/>
  <c r="DB70" i="29"/>
  <c r="DC69" i="29"/>
  <c r="DA119" i="29"/>
  <c r="CZ120" i="29"/>
  <c r="CZ68" i="29"/>
  <c r="DA67" i="29"/>
  <c r="DB101" i="29"/>
  <c r="DA102" i="29"/>
  <c r="DB134" i="29"/>
  <c r="DC133" i="29"/>
  <c r="DE137" i="29"/>
  <c r="DD138" i="29"/>
  <c r="DD147" i="29"/>
  <c r="DC148" i="29"/>
  <c r="DF141" i="29"/>
  <c r="DE142" i="29"/>
  <c r="DC136" i="29"/>
  <c r="DD135" i="29"/>
  <c r="DC146" i="29"/>
  <c r="DD145" i="29"/>
  <c r="DD131" i="29"/>
  <c r="DC132" i="29"/>
  <c r="DE139" i="29"/>
  <c r="DD140" i="29"/>
  <c r="DE143" i="29"/>
  <c r="DD144" i="29"/>
  <c r="DC127" i="29"/>
  <c r="DB128" i="29"/>
  <c r="DC126" i="29" s="1"/>
  <c r="DC130" i="29"/>
  <c r="DD129" i="29"/>
  <c r="DG54" i="29" l="1"/>
  <c r="DH53" i="29"/>
  <c r="DF44" i="29"/>
  <c r="DG43" i="29"/>
  <c r="DG57" i="29"/>
  <c r="DF58" i="29"/>
  <c r="DF72" i="29"/>
  <c r="DG71" i="29"/>
  <c r="DF124" i="29"/>
  <c r="DG123" i="29"/>
  <c r="DB96" i="29"/>
  <c r="DB7" i="29" s="1"/>
  <c r="DC95" i="29"/>
  <c r="CZ48" i="29"/>
  <c r="CZ9" i="29" s="1"/>
  <c r="DB8" i="29"/>
  <c r="DB121" i="29"/>
  <c r="DA122" i="29"/>
  <c r="DA50" i="29"/>
  <c r="DB49" i="29"/>
  <c r="DA42" i="29"/>
  <c r="DB41" i="29"/>
  <c r="DA100" i="29"/>
  <c r="DB93" i="29"/>
  <c r="DA94" i="29"/>
  <c r="DA84" i="29"/>
  <c r="DB83" i="29"/>
  <c r="DB87" i="29"/>
  <c r="DA88" i="29"/>
  <c r="DA116" i="29"/>
  <c r="DB115" i="29"/>
  <c r="DC92" i="29"/>
  <c r="DD91" i="29"/>
  <c r="DB109" i="29"/>
  <c r="DA110" i="29"/>
  <c r="DA80" i="29"/>
  <c r="DB79" i="29"/>
  <c r="DA120" i="29"/>
  <c r="DB119" i="29"/>
  <c r="DA38" i="29"/>
  <c r="DA34" i="29" s="1"/>
  <c r="DB37" i="29"/>
  <c r="DB51" i="29"/>
  <c r="DA52" i="29"/>
  <c r="DC70" i="29"/>
  <c r="DD69" i="29"/>
  <c r="DB114" i="29"/>
  <c r="DC113" i="29"/>
  <c r="DB82" i="29"/>
  <c r="DC81" i="29"/>
  <c r="DA106" i="29"/>
  <c r="DB105" i="29"/>
  <c r="DB40" i="29"/>
  <c r="DC39" i="29"/>
  <c r="DB108" i="29"/>
  <c r="DC107" i="29"/>
  <c r="DC101" i="29"/>
  <c r="DB102" i="29"/>
  <c r="DA90" i="29"/>
  <c r="DB89" i="29"/>
  <c r="DC117" i="29"/>
  <c r="DB118" i="29"/>
  <c r="DB63" i="29"/>
  <c r="DB64" i="29" s="1"/>
  <c r="DA68" i="29"/>
  <c r="DB67" i="29"/>
  <c r="DG150" i="29"/>
  <c r="DH149" i="29"/>
  <c r="DA104" i="29"/>
  <c r="DB103" i="29"/>
  <c r="DB112" i="29"/>
  <c r="DC111" i="29"/>
  <c r="DA78" i="29"/>
  <c r="DB77" i="29"/>
  <c r="DB66" i="29"/>
  <c r="DC65" i="29"/>
  <c r="DC85" i="29"/>
  <c r="DB86" i="29"/>
  <c r="DD36" i="29"/>
  <c r="DE35" i="29"/>
  <c r="CY5" i="29"/>
  <c r="CX4" i="29"/>
  <c r="DB56" i="29"/>
  <c r="DC55" i="29"/>
  <c r="DE140" i="29"/>
  <c r="DF139" i="29"/>
  <c r="DF142" i="29"/>
  <c r="DG141" i="29"/>
  <c r="DD127" i="29"/>
  <c r="DC128" i="29"/>
  <c r="DD126" i="29" s="1"/>
  <c r="DE131" i="29"/>
  <c r="DD132" i="29"/>
  <c r="DE147" i="29"/>
  <c r="DD148" i="29"/>
  <c r="DD146" i="29"/>
  <c r="DE145" i="29"/>
  <c r="DE138" i="29"/>
  <c r="DF137" i="29"/>
  <c r="DE129" i="29"/>
  <c r="DD130" i="29"/>
  <c r="DD136" i="29"/>
  <c r="DE135" i="29"/>
  <c r="DD133" i="29"/>
  <c r="DC134" i="29"/>
  <c r="DE144" i="29"/>
  <c r="DF143" i="29"/>
  <c r="DH54" i="29" l="1"/>
  <c r="DI53" i="29"/>
  <c r="DH123" i="29"/>
  <c r="DG124" i="29"/>
  <c r="DG72" i="29"/>
  <c r="DH71" i="29"/>
  <c r="DG58" i="29"/>
  <c r="DH57" i="29"/>
  <c r="DH43" i="29"/>
  <c r="DG44" i="29"/>
  <c r="DC96" i="29"/>
  <c r="DC7" i="29" s="1"/>
  <c r="J12" i="30" s="1"/>
  <c r="DD95" i="29"/>
  <c r="DA48" i="29"/>
  <c r="DA9" i="29" s="1"/>
  <c r="DC121" i="29"/>
  <c r="DB122" i="29"/>
  <c r="DC8" i="29"/>
  <c r="J13" i="30" s="1"/>
  <c r="DB50" i="29"/>
  <c r="DC49" i="29"/>
  <c r="DB42" i="29"/>
  <c r="DC41" i="29"/>
  <c r="DB100" i="29"/>
  <c r="DB80" i="29"/>
  <c r="DC79" i="29"/>
  <c r="DB68" i="29"/>
  <c r="DC67" i="29"/>
  <c r="DE36" i="29"/>
  <c r="DF35" i="29"/>
  <c r="DD111" i="29"/>
  <c r="DC112" i="29"/>
  <c r="DD81" i="29"/>
  <c r="DC82" i="29"/>
  <c r="DC87" i="29"/>
  <c r="DB88" i="29"/>
  <c r="DB90" i="29"/>
  <c r="DC89" i="29"/>
  <c r="DC63" i="29"/>
  <c r="DC64" i="29" s="1"/>
  <c r="DD101" i="29"/>
  <c r="DC102" i="29"/>
  <c r="DB84" i="29"/>
  <c r="DC83" i="29"/>
  <c r="DC77" i="29"/>
  <c r="DB78" i="29"/>
  <c r="DC56" i="29"/>
  <c r="DD55" i="29"/>
  <c r="DB104" i="29"/>
  <c r="DC103" i="29"/>
  <c r="DC108" i="29"/>
  <c r="DD107" i="29"/>
  <c r="DD113" i="29"/>
  <c r="DC114" i="29"/>
  <c r="DC22" i="29" s="1"/>
  <c r="DC51" i="29"/>
  <c r="DB52" i="29"/>
  <c r="DC109" i="29"/>
  <c r="DB110" i="29"/>
  <c r="DB106" i="29"/>
  <c r="DC105" i="29"/>
  <c r="DC86" i="29"/>
  <c r="DD85" i="29"/>
  <c r="DB38" i="29"/>
  <c r="DB34" i="29" s="1"/>
  <c r="DC37" i="29"/>
  <c r="DE91" i="29"/>
  <c r="DD92" i="29"/>
  <c r="DI149" i="29"/>
  <c r="DH150" i="29"/>
  <c r="DC93" i="29"/>
  <c r="DB94" i="29"/>
  <c r="DC66" i="29"/>
  <c r="DC12" i="29" s="1"/>
  <c r="J23" i="30" s="1"/>
  <c r="DD65" i="29"/>
  <c r="DC40" i="29"/>
  <c r="DD39" i="29"/>
  <c r="DD70" i="29"/>
  <c r="DE69" i="29"/>
  <c r="CZ5" i="29"/>
  <c r="CY4" i="29"/>
  <c r="DC118" i="29"/>
  <c r="DD117" i="29"/>
  <c r="DC119" i="29"/>
  <c r="DB120" i="29"/>
  <c r="DC115" i="29"/>
  <c r="DB116" i="29"/>
  <c r="DE132" i="29"/>
  <c r="DF131" i="29"/>
  <c r="DE133" i="29"/>
  <c r="DD134" i="29"/>
  <c r="DE127" i="29"/>
  <c r="DD128" i="29"/>
  <c r="DE126" i="29" s="1"/>
  <c r="DG137" i="29"/>
  <c r="DF138" i="29"/>
  <c r="DF135" i="29"/>
  <c r="DE136" i="29"/>
  <c r="DF145" i="29"/>
  <c r="DE146" i="29"/>
  <c r="DH141" i="29"/>
  <c r="DG142" i="29"/>
  <c r="DG143" i="29"/>
  <c r="DF144" i="29"/>
  <c r="DF140" i="29"/>
  <c r="DG139" i="29"/>
  <c r="DF129" i="29"/>
  <c r="DE130" i="29"/>
  <c r="DF147" i="29"/>
  <c r="DE148" i="29"/>
  <c r="DI54" i="29" l="1"/>
  <c r="DJ53" i="29"/>
  <c r="DH58" i="29"/>
  <c r="DI57" i="29"/>
  <c r="DH44" i="29"/>
  <c r="DI43" i="29"/>
  <c r="DI71" i="29"/>
  <c r="DH72" i="29"/>
  <c r="DH124" i="29"/>
  <c r="DI123" i="29"/>
  <c r="J11" i="30"/>
  <c r="DD96" i="29"/>
  <c r="DD7" i="29" s="1"/>
  <c r="DE95" i="29"/>
  <c r="DB48" i="29"/>
  <c r="DB9" i="29" s="1"/>
  <c r="DD8" i="29"/>
  <c r="DC122" i="29"/>
  <c r="DD121" i="29"/>
  <c r="DC50" i="29"/>
  <c r="DD49" i="29"/>
  <c r="DC42" i="29"/>
  <c r="DD41" i="29"/>
  <c r="DC100" i="29"/>
  <c r="DC14" i="29" s="1"/>
  <c r="DC15" i="29" s="1"/>
  <c r="J24" i="30" s="1"/>
  <c r="DD109" i="29"/>
  <c r="DC110" i="29"/>
  <c r="DD56" i="29"/>
  <c r="DE55" i="29"/>
  <c r="DD102" i="29"/>
  <c r="DE101" i="29"/>
  <c r="DC68" i="29"/>
  <c r="DD67" i="29"/>
  <c r="CZ4" i="29"/>
  <c r="CZ3" i="29" s="1"/>
  <c r="DA5" i="29"/>
  <c r="DC94" i="29"/>
  <c r="DD93" i="29"/>
  <c r="DD51" i="29"/>
  <c r="DC52" i="29"/>
  <c r="DC11" i="29"/>
  <c r="J22" i="30" s="1"/>
  <c r="DD63" i="29"/>
  <c r="DD64" i="29" s="1"/>
  <c r="DE70" i="29"/>
  <c r="DF69" i="29"/>
  <c r="DD86" i="29"/>
  <c r="DE85" i="29"/>
  <c r="DE81" i="29"/>
  <c r="DD82" i="29"/>
  <c r="DD79" i="29"/>
  <c r="DC80" i="29"/>
  <c r="DC116" i="29"/>
  <c r="DD115" i="29"/>
  <c r="DJ149" i="29"/>
  <c r="DI150" i="29"/>
  <c r="DE113" i="29"/>
  <c r="DD114" i="29"/>
  <c r="DD77" i="29"/>
  <c r="DC78" i="29"/>
  <c r="DD89" i="29"/>
  <c r="DC90" i="29"/>
  <c r="DD40" i="29"/>
  <c r="DE39" i="29"/>
  <c r="DC106" i="29"/>
  <c r="DD105" i="29"/>
  <c r="DD108" i="29"/>
  <c r="DE107" i="29"/>
  <c r="DD83" i="29"/>
  <c r="DC84" i="29"/>
  <c r="DD119" i="29"/>
  <c r="DC120" i="29"/>
  <c r="DF91" i="29"/>
  <c r="DE92" i="29"/>
  <c r="DD112" i="29"/>
  <c r="DE111" i="29"/>
  <c r="DE117" i="29"/>
  <c r="DD118" i="29"/>
  <c r="DD66" i="29"/>
  <c r="DE65" i="29"/>
  <c r="DC38" i="29"/>
  <c r="DC34" i="29" s="1"/>
  <c r="DD37" i="29"/>
  <c r="DC104" i="29"/>
  <c r="DD103" i="29"/>
  <c r="DC88" i="29"/>
  <c r="DD87" i="29"/>
  <c r="DG35" i="29"/>
  <c r="DF36" i="29"/>
  <c r="DG147" i="29"/>
  <c r="DF148" i="29"/>
  <c r="DH142" i="29"/>
  <c r="DI141" i="29"/>
  <c r="DF127" i="29"/>
  <c r="DE128" i="29"/>
  <c r="DF126" i="29" s="1"/>
  <c r="DG129" i="29"/>
  <c r="DF130" i="29"/>
  <c r="DG145" i="29"/>
  <c r="DF146" i="29"/>
  <c r="DG140" i="29"/>
  <c r="DH139" i="29"/>
  <c r="DF136" i="29"/>
  <c r="DG135" i="29"/>
  <c r="DF133" i="29"/>
  <c r="DE134" i="29"/>
  <c r="DG131" i="29"/>
  <c r="DF132" i="29"/>
  <c r="DG144" i="29"/>
  <c r="DH143" i="29"/>
  <c r="DH137" i="29"/>
  <c r="DG138" i="29"/>
  <c r="DJ54" i="29" l="1"/>
  <c r="DK53" i="29"/>
  <c r="DI124" i="29"/>
  <c r="DJ123" i="29"/>
  <c r="DJ71" i="29"/>
  <c r="DI72" i="29"/>
  <c r="DI58" i="29"/>
  <c r="DJ57" i="29"/>
  <c r="DI44" i="29"/>
  <c r="DJ43" i="29"/>
  <c r="DE96" i="29"/>
  <c r="DE7" i="29" s="1"/>
  <c r="DF95" i="29"/>
  <c r="DC48" i="29"/>
  <c r="DC9" i="29" s="1"/>
  <c r="J15" i="30" s="1"/>
  <c r="DE121" i="29"/>
  <c r="DD122" i="29"/>
  <c r="J16" i="30"/>
  <c r="DE8" i="29"/>
  <c r="DD50" i="29"/>
  <c r="DE49" i="29"/>
  <c r="DE41" i="29"/>
  <c r="DD42" i="29"/>
  <c r="DD100" i="29"/>
  <c r="DF39" i="29"/>
  <c r="DE40" i="29"/>
  <c r="DD84" i="29"/>
  <c r="DE83" i="29"/>
  <c r="DD90" i="29"/>
  <c r="DE89" i="29"/>
  <c r="DD38" i="29"/>
  <c r="DD34" i="29" s="1"/>
  <c r="DE37" i="29"/>
  <c r="DE112" i="29"/>
  <c r="DF111" i="29"/>
  <c r="DF107" i="29"/>
  <c r="DE108" i="29"/>
  <c r="DE63" i="29"/>
  <c r="DE64" i="29" s="1"/>
  <c r="DE67" i="29"/>
  <c r="DD68" i="29"/>
  <c r="DD78" i="29"/>
  <c r="DE77" i="29"/>
  <c r="DD80" i="29"/>
  <c r="DE79" i="29"/>
  <c r="DE66" i="29"/>
  <c r="DF65" i="29"/>
  <c r="DD106" i="29"/>
  <c r="DE105" i="29"/>
  <c r="DH35" i="29"/>
  <c r="DG36" i="29"/>
  <c r="DF92" i="29"/>
  <c r="DG91" i="29"/>
  <c r="DF113" i="29"/>
  <c r="DE114" i="29"/>
  <c r="DE82" i="29"/>
  <c r="DF81" i="29"/>
  <c r="DD52" i="29"/>
  <c r="DE51" i="29"/>
  <c r="DE109" i="29"/>
  <c r="DD110" i="29"/>
  <c r="DF85" i="29"/>
  <c r="DE86" i="29"/>
  <c r="DF101" i="29"/>
  <c r="DE102" i="29"/>
  <c r="DF117" i="29"/>
  <c r="DE118" i="29"/>
  <c r="DE119" i="29"/>
  <c r="DD120" i="29"/>
  <c r="DK149" i="29"/>
  <c r="DJ150" i="29"/>
  <c r="DE87" i="29"/>
  <c r="DD88" i="29"/>
  <c r="DE93" i="29"/>
  <c r="DD94" i="29"/>
  <c r="DE103" i="29"/>
  <c r="DD104" i="29"/>
  <c r="DE115" i="29"/>
  <c r="DD116" i="29"/>
  <c r="DF70" i="29"/>
  <c r="DG69" i="29"/>
  <c r="DB5" i="29"/>
  <c r="DA4" i="29"/>
  <c r="DF55" i="29"/>
  <c r="DE56" i="29"/>
  <c r="DH129" i="29"/>
  <c r="DG130" i="29"/>
  <c r="DH138" i="29"/>
  <c r="DI137" i="29"/>
  <c r="DF128" i="29"/>
  <c r="DG126" i="29" s="1"/>
  <c r="DG127" i="29"/>
  <c r="DJ141" i="29"/>
  <c r="DI142" i="29"/>
  <c r="DH140" i="29"/>
  <c r="DI139" i="29"/>
  <c r="DH131" i="29"/>
  <c r="DG132" i="29"/>
  <c r="DG136" i="29"/>
  <c r="DH135" i="29"/>
  <c r="DI143" i="29"/>
  <c r="DH144" i="29"/>
  <c r="DG133" i="29"/>
  <c r="DF134" i="29"/>
  <c r="DH145" i="29"/>
  <c r="DG146" i="29"/>
  <c r="DH147" i="29"/>
  <c r="DG148" i="29"/>
  <c r="DK54" i="29" l="1"/>
  <c r="DL53" i="29"/>
  <c r="DJ58" i="29"/>
  <c r="DK57" i="29"/>
  <c r="DJ44" i="29"/>
  <c r="DK43" i="29"/>
  <c r="DK71" i="29"/>
  <c r="DJ72" i="29"/>
  <c r="DJ124" i="29"/>
  <c r="DK123" i="29"/>
  <c r="DF96" i="29"/>
  <c r="DF7" i="29" s="1"/>
  <c r="DG95" i="29"/>
  <c r="DD48" i="29"/>
  <c r="DD9" i="29" s="1"/>
  <c r="DC10" i="29"/>
  <c r="J21" i="30" s="1"/>
  <c r="DC26" i="29"/>
  <c r="J19" i="30" s="1"/>
  <c r="J14" i="30"/>
  <c r="DE100" i="29"/>
  <c r="DF8" i="29"/>
  <c r="DE122" i="29"/>
  <c r="DF121" i="29"/>
  <c r="DE50" i="29"/>
  <c r="DF49" i="29"/>
  <c r="DE42" i="29"/>
  <c r="DF41" i="29"/>
  <c r="DG101" i="29"/>
  <c r="DF102" i="29"/>
  <c r="DF89" i="29"/>
  <c r="DE90" i="29"/>
  <c r="DF115" i="29"/>
  <c r="DE116" i="29"/>
  <c r="DF67" i="29"/>
  <c r="DE68" i="29"/>
  <c r="DG55" i="29"/>
  <c r="DF56" i="29"/>
  <c r="DF105" i="29"/>
  <c r="DE106" i="29"/>
  <c r="DF63" i="29"/>
  <c r="DF64" i="29" s="1"/>
  <c r="DE78" i="29"/>
  <c r="DF77" i="29"/>
  <c r="DK150" i="29"/>
  <c r="DL149" i="29"/>
  <c r="DF86" i="29"/>
  <c r="DG85" i="29"/>
  <c r="DG113" i="29"/>
  <c r="DF114" i="29"/>
  <c r="DE84" i="29"/>
  <c r="DF83" i="29"/>
  <c r="DG81" i="29"/>
  <c r="DF82" i="29"/>
  <c r="DC5" i="29"/>
  <c r="DB4" i="29"/>
  <c r="DE104" i="29"/>
  <c r="DF103" i="29"/>
  <c r="DH91" i="29"/>
  <c r="DG92" i="29"/>
  <c r="DG65" i="29"/>
  <c r="DF66" i="29"/>
  <c r="DF108" i="29"/>
  <c r="DG107" i="29"/>
  <c r="DH69" i="29"/>
  <c r="DG70" i="29"/>
  <c r="DE120" i="29"/>
  <c r="DF119" i="29"/>
  <c r="DF109" i="29"/>
  <c r="DE110" i="29"/>
  <c r="DF112" i="29"/>
  <c r="DG111" i="29"/>
  <c r="DE88" i="29"/>
  <c r="DF87" i="29"/>
  <c r="DE94" i="29"/>
  <c r="DF93" i="29"/>
  <c r="DF51" i="29"/>
  <c r="DE52" i="29"/>
  <c r="DE80" i="29"/>
  <c r="DF79" i="29"/>
  <c r="DF118" i="29"/>
  <c r="DG117" i="29"/>
  <c r="DH36" i="29"/>
  <c r="DI35" i="29"/>
  <c r="DF37" i="29"/>
  <c r="DE38" i="29"/>
  <c r="DE34" i="29" s="1"/>
  <c r="DF40" i="29"/>
  <c r="DG39" i="29"/>
  <c r="DH148" i="29"/>
  <c r="DI147" i="29"/>
  <c r="DJ142" i="29"/>
  <c r="DK141" i="29"/>
  <c r="DH127" i="29"/>
  <c r="DG128" i="29"/>
  <c r="DH126" i="29" s="1"/>
  <c r="DH136" i="29"/>
  <c r="DI135" i="29"/>
  <c r="DI138" i="29"/>
  <c r="DJ137" i="29"/>
  <c r="DH133" i="29"/>
  <c r="DG134" i="29"/>
  <c r="DH132" i="29"/>
  <c r="DI131" i="29"/>
  <c r="DI140" i="29"/>
  <c r="DJ139" i="29"/>
  <c r="DI145" i="29"/>
  <c r="DH146" i="29"/>
  <c r="DJ143" i="29"/>
  <c r="DI144" i="29"/>
  <c r="DI129" i="29"/>
  <c r="DH130" i="29"/>
  <c r="DL54" i="29" l="1"/>
  <c r="DM53" i="29"/>
  <c r="DE48" i="29"/>
  <c r="DE9" i="29" s="1"/>
  <c r="DK124" i="29"/>
  <c r="DL123" i="29"/>
  <c r="DL71" i="29"/>
  <c r="DK72" i="29"/>
  <c r="DK58" i="29"/>
  <c r="DL57" i="29"/>
  <c r="DL43" i="29"/>
  <c r="DK44" i="29"/>
  <c r="DG96" i="29"/>
  <c r="DG7" i="29" s="1"/>
  <c r="DH95" i="29"/>
  <c r="DC13" i="29"/>
  <c r="J20" i="30" s="1"/>
  <c r="DG121" i="29"/>
  <c r="DF122" i="29"/>
  <c r="DG8" i="29"/>
  <c r="DF50" i="29"/>
  <c r="DG49" i="29"/>
  <c r="DG41" i="29"/>
  <c r="DF42" i="29"/>
  <c r="DF100" i="29"/>
  <c r="DH39" i="29"/>
  <c r="DG40" i="29"/>
  <c r="DG79" i="29"/>
  <c r="DF80" i="29"/>
  <c r="DG112" i="29"/>
  <c r="DH111" i="29"/>
  <c r="DI91" i="29"/>
  <c r="DH92" i="29"/>
  <c r="DG105" i="29"/>
  <c r="DF106" i="29"/>
  <c r="DG115" i="29"/>
  <c r="DF116" i="29"/>
  <c r="DI69" i="29"/>
  <c r="DH70" i="29"/>
  <c r="DG103" i="29"/>
  <c r="DF104" i="29"/>
  <c r="DG77" i="29"/>
  <c r="DF78" i="29"/>
  <c r="DG89" i="29"/>
  <c r="DF90" i="29"/>
  <c r="DF38" i="29"/>
  <c r="DF34" i="29" s="1"/>
  <c r="DG37" i="29"/>
  <c r="DF52" i="29"/>
  <c r="DG51" i="29"/>
  <c r="DH107" i="29"/>
  <c r="DG108" i="29"/>
  <c r="DI36" i="29"/>
  <c r="DJ35" i="29"/>
  <c r="DF94" i="29"/>
  <c r="DG93" i="29"/>
  <c r="J10" i="30"/>
  <c r="DD5" i="29"/>
  <c r="DC4" i="29"/>
  <c r="DC3" i="29" s="1"/>
  <c r="DH113" i="29"/>
  <c r="DG114" i="29"/>
  <c r="DG63" i="29"/>
  <c r="DG64" i="29" s="1"/>
  <c r="DG56" i="29"/>
  <c r="DH55" i="29"/>
  <c r="DF110" i="29"/>
  <c r="DG109" i="29"/>
  <c r="DG86" i="29"/>
  <c r="DH85" i="29"/>
  <c r="DH117" i="29"/>
  <c r="DG118" i="29"/>
  <c r="DF88" i="29"/>
  <c r="DG87" i="29"/>
  <c r="DF120" i="29"/>
  <c r="DG119" i="29"/>
  <c r="DG66" i="29"/>
  <c r="DH65" i="29"/>
  <c r="DH81" i="29"/>
  <c r="DG82" i="29"/>
  <c r="DF68" i="29"/>
  <c r="DG67" i="29"/>
  <c r="DG102" i="29"/>
  <c r="DH101" i="29"/>
  <c r="DF84" i="29"/>
  <c r="DG83" i="29"/>
  <c r="DM149" i="29"/>
  <c r="DL150" i="29"/>
  <c r="DI132" i="29"/>
  <c r="DJ131" i="29"/>
  <c r="DK143" i="29"/>
  <c r="DJ144" i="29"/>
  <c r="DI133" i="29"/>
  <c r="DH134" i="29"/>
  <c r="DI127" i="29"/>
  <c r="DH128" i="29"/>
  <c r="DI126" i="29" s="1"/>
  <c r="DI136" i="29"/>
  <c r="DJ135" i="29"/>
  <c r="DK137" i="29"/>
  <c r="DJ138" i="29"/>
  <c r="DL141" i="29"/>
  <c r="DK142" i="29"/>
  <c r="DJ145" i="29"/>
  <c r="DI146" i="29"/>
  <c r="DJ129" i="29"/>
  <c r="DI130" i="29"/>
  <c r="DJ140" i="29"/>
  <c r="DK139" i="29"/>
  <c r="DI148" i="29"/>
  <c r="DJ147" i="29"/>
  <c r="DM54" i="29" l="1"/>
  <c r="DN53" i="29"/>
  <c r="DL44" i="29"/>
  <c r="DM43" i="29"/>
  <c r="DL58" i="29"/>
  <c r="DM57" i="29"/>
  <c r="DM71" i="29"/>
  <c r="DL72" i="29"/>
  <c r="DL124" i="29"/>
  <c r="DM123" i="29"/>
  <c r="DH96" i="29"/>
  <c r="DH7" i="29" s="1"/>
  <c r="DI95" i="29"/>
  <c r="DF48" i="29"/>
  <c r="DF9" i="29" s="1"/>
  <c r="DC27" i="29"/>
  <c r="DC28" i="29" s="1"/>
  <c r="J17" i="30" s="1"/>
  <c r="J31" i="30" s="1"/>
  <c r="DH8" i="29"/>
  <c r="DH121" i="29"/>
  <c r="DG122" i="29"/>
  <c r="DH49" i="29"/>
  <c r="DG50" i="29"/>
  <c r="DH41" i="29"/>
  <c r="DG42" i="29"/>
  <c r="DG100" i="29"/>
  <c r="DN149" i="29"/>
  <c r="DM150" i="29"/>
  <c r="DI81" i="29"/>
  <c r="DH82" i="29"/>
  <c r="DH118" i="29"/>
  <c r="DI117" i="29"/>
  <c r="DH108" i="29"/>
  <c r="DI107" i="29"/>
  <c r="DH89" i="29"/>
  <c r="DG90" i="29"/>
  <c r="DG104" i="29"/>
  <c r="DH103" i="29"/>
  <c r="DJ91" i="29"/>
  <c r="DI92" i="29"/>
  <c r="DH83" i="29"/>
  <c r="DG84" i="29"/>
  <c r="DH66" i="29"/>
  <c r="DI65" i="29"/>
  <c r="DE5" i="29"/>
  <c r="DD4" i="29"/>
  <c r="DH112" i="29"/>
  <c r="DI111" i="29"/>
  <c r="DH56" i="29"/>
  <c r="DI55" i="29"/>
  <c r="J44" i="30"/>
  <c r="J30" i="30"/>
  <c r="J37" i="30"/>
  <c r="DI70" i="29"/>
  <c r="DJ69" i="29"/>
  <c r="DH114" i="29"/>
  <c r="DI113" i="29"/>
  <c r="DI101" i="29"/>
  <c r="DH102" i="29"/>
  <c r="DH119" i="29"/>
  <c r="DG120" i="29"/>
  <c r="DH93" i="29"/>
  <c r="DG94" i="29"/>
  <c r="DH51" i="29"/>
  <c r="DG52" i="29"/>
  <c r="DH86" i="29"/>
  <c r="DI85" i="29"/>
  <c r="DG116" i="29"/>
  <c r="DH115" i="29"/>
  <c r="DH79" i="29"/>
  <c r="DG80" i="29"/>
  <c r="DG68" i="29"/>
  <c r="DH67" i="29"/>
  <c r="DH87" i="29"/>
  <c r="DG88" i="29"/>
  <c r="DH63" i="29"/>
  <c r="DH64" i="29" s="1"/>
  <c r="DK35" i="29"/>
  <c r="DJ36" i="29"/>
  <c r="DG38" i="29"/>
  <c r="DG34" i="29" s="1"/>
  <c r="DH37" i="29"/>
  <c r="DG110" i="29"/>
  <c r="DH109" i="29"/>
  <c r="DH77" i="29"/>
  <c r="DG78" i="29"/>
  <c r="DH105" i="29"/>
  <c r="DG106" i="29"/>
  <c r="DH40" i="29"/>
  <c r="DI39" i="29"/>
  <c r="DK145" i="29"/>
  <c r="DJ146" i="29"/>
  <c r="DJ127" i="29"/>
  <c r="DI128" i="29"/>
  <c r="DJ126" i="29" s="1"/>
  <c r="DK147" i="29"/>
  <c r="DJ148" i="29"/>
  <c r="DM141" i="29"/>
  <c r="DL142" i="29"/>
  <c r="DJ133" i="29"/>
  <c r="DI134" i="29"/>
  <c r="DK140" i="29"/>
  <c r="DL139" i="29"/>
  <c r="DK138" i="29"/>
  <c r="DL137" i="29"/>
  <c r="DK144" i="29"/>
  <c r="DL143" i="29"/>
  <c r="DJ136" i="29"/>
  <c r="DK135" i="29"/>
  <c r="DJ132" i="29"/>
  <c r="DK131" i="29"/>
  <c r="DK129" i="29"/>
  <c r="DJ130" i="29"/>
  <c r="DN54" i="29" l="1"/>
  <c r="DO53" i="29"/>
  <c r="DM124" i="29"/>
  <c r="DN123" i="29"/>
  <c r="DN71" i="29"/>
  <c r="DM72" i="29"/>
  <c r="DN43" i="29"/>
  <c r="DM44" i="29"/>
  <c r="DM58" i="29"/>
  <c r="DN57" i="29"/>
  <c r="DI96" i="29"/>
  <c r="DI7" i="29" s="1"/>
  <c r="DJ95" i="29"/>
  <c r="DG48" i="29"/>
  <c r="DG9" i="29" s="1"/>
  <c r="J18" i="30"/>
  <c r="J38" i="30" s="1"/>
  <c r="DI121" i="29"/>
  <c r="DH122" i="29"/>
  <c r="DI8" i="29"/>
  <c r="DH50" i="29"/>
  <c r="DI49" i="29"/>
  <c r="DI41" i="29"/>
  <c r="DH42" i="29"/>
  <c r="DH100" i="29"/>
  <c r="DH120" i="29"/>
  <c r="DI119" i="29"/>
  <c r="DI108" i="29"/>
  <c r="DJ107" i="29"/>
  <c r="DH84" i="29"/>
  <c r="DI83" i="29"/>
  <c r="DH106" i="29"/>
  <c r="DI105" i="29"/>
  <c r="DK36" i="29"/>
  <c r="DL35" i="29"/>
  <c r="DI79" i="29"/>
  <c r="DH80" i="29"/>
  <c r="DI102" i="29"/>
  <c r="DJ101" i="29"/>
  <c r="DI56" i="29"/>
  <c r="DJ55" i="29"/>
  <c r="DI118" i="29"/>
  <c r="DJ117" i="29"/>
  <c r="DI115" i="29"/>
  <c r="DH116" i="29"/>
  <c r="DJ113" i="29"/>
  <c r="DI114" i="29"/>
  <c r="DF5" i="29"/>
  <c r="DE4" i="29"/>
  <c r="DJ92" i="29"/>
  <c r="DK91" i="29"/>
  <c r="DI77" i="29"/>
  <c r="DH78" i="29"/>
  <c r="DI63" i="29"/>
  <c r="DI64" i="29" s="1"/>
  <c r="DI51" i="29"/>
  <c r="DH52" i="29"/>
  <c r="J35" i="30"/>
  <c r="J32" i="30"/>
  <c r="J33" i="30" s="1"/>
  <c r="J34" i="30"/>
  <c r="DI103" i="29"/>
  <c r="DH104" i="29"/>
  <c r="DH110" i="29"/>
  <c r="DI109" i="29"/>
  <c r="DJ70" i="29"/>
  <c r="DK69" i="29"/>
  <c r="DJ81" i="29"/>
  <c r="DI82" i="29"/>
  <c r="DI87" i="29"/>
  <c r="DH88" i="29"/>
  <c r="DI86" i="29"/>
  <c r="DJ85" i="29"/>
  <c r="DI93" i="29"/>
  <c r="DH94" i="29"/>
  <c r="DJ111" i="29"/>
  <c r="DI112" i="29"/>
  <c r="DI66" i="29"/>
  <c r="DJ65" i="29"/>
  <c r="DI40" i="29"/>
  <c r="DJ39" i="29"/>
  <c r="DH38" i="29"/>
  <c r="DH34" i="29" s="1"/>
  <c r="DI37" i="29"/>
  <c r="DH68" i="29"/>
  <c r="DI67" i="29"/>
  <c r="DH90" i="29"/>
  <c r="DI89" i="29"/>
  <c r="DO149" i="29"/>
  <c r="DN150" i="29"/>
  <c r="DK130" i="29"/>
  <c r="DL129" i="29"/>
  <c r="DL147" i="29"/>
  <c r="DK148" i="29"/>
  <c r="DK127" i="29"/>
  <c r="DJ128" i="29"/>
  <c r="DK126" i="29" s="1"/>
  <c r="DM137" i="29"/>
  <c r="DL138" i="29"/>
  <c r="DK136" i="29"/>
  <c r="DL135" i="29"/>
  <c r="DM139" i="29"/>
  <c r="DL140" i="29"/>
  <c r="DJ134" i="29"/>
  <c r="DK133" i="29"/>
  <c r="DK146" i="29"/>
  <c r="DL145" i="29"/>
  <c r="DM143" i="29"/>
  <c r="DL144" i="29"/>
  <c r="DK132" i="29"/>
  <c r="DL131" i="29"/>
  <c r="DN141" i="29"/>
  <c r="DM142" i="29"/>
  <c r="DO54" i="29" l="1"/>
  <c r="DP53" i="29"/>
  <c r="DN58" i="29"/>
  <c r="DO57" i="29"/>
  <c r="DN44" i="29"/>
  <c r="DO43" i="29"/>
  <c r="DO71" i="29"/>
  <c r="DN72" i="29"/>
  <c r="DN124" i="29"/>
  <c r="DO123" i="29"/>
  <c r="DJ96" i="29"/>
  <c r="DJ7" i="29" s="1"/>
  <c r="DK95" i="29"/>
  <c r="J45" i="30"/>
  <c r="J46" i="30" s="1"/>
  <c r="J47" i="30" s="1"/>
  <c r="DH48" i="29"/>
  <c r="DH9" i="29" s="1"/>
  <c r="DJ8" i="29"/>
  <c r="DI122" i="29"/>
  <c r="DJ121" i="29"/>
  <c r="DJ49" i="29"/>
  <c r="DI50" i="29"/>
  <c r="DJ41" i="29"/>
  <c r="DI42" i="29"/>
  <c r="DI100" i="29"/>
  <c r="DJ89" i="29"/>
  <c r="DI90" i="29"/>
  <c r="DJ66" i="29"/>
  <c r="DK65" i="29"/>
  <c r="DI110" i="29"/>
  <c r="DJ109" i="29"/>
  <c r="DJ118" i="29"/>
  <c r="DK117" i="29"/>
  <c r="DJ79" i="29"/>
  <c r="DI80" i="29"/>
  <c r="DI88" i="29"/>
  <c r="DJ87" i="29"/>
  <c r="DL36" i="29"/>
  <c r="DM35" i="29"/>
  <c r="DJ67" i="29"/>
  <c r="DI68" i="29"/>
  <c r="DI52" i="29"/>
  <c r="DJ51" i="29"/>
  <c r="DG5" i="29"/>
  <c r="DF4" i="29"/>
  <c r="DF3" i="29" s="1"/>
  <c r="DJ56" i="29"/>
  <c r="DK55" i="29"/>
  <c r="DK107" i="29"/>
  <c r="DJ108" i="29"/>
  <c r="DJ112" i="29"/>
  <c r="DK111" i="29"/>
  <c r="DK81" i="29"/>
  <c r="DJ82" i="29"/>
  <c r="DI104" i="29"/>
  <c r="DJ103" i="29"/>
  <c r="DJ63" i="29"/>
  <c r="DJ64" i="29" s="1"/>
  <c r="DI106" i="29"/>
  <c r="DJ105" i="29"/>
  <c r="DJ37" i="29"/>
  <c r="DI38" i="29"/>
  <c r="DI34" i="29" s="1"/>
  <c r="DJ114" i="29"/>
  <c r="DK113" i="29"/>
  <c r="DJ102" i="29"/>
  <c r="DK101" i="29"/>
  <c r="DJ93" i="29"/>
  <c r="DI94" i="29"/>
  <c r="J42" i="30"/>
  <c r="J39" i="30"/>
  <c r="J40" i="30" s="1"/>
  <c r="J41" i="30"/>
  <c r="DI84" i="29"/>
  <c r="DJ83" i="29"/>
  <c r="DJ40" i="29"/>
  <c r="DK39" i="29"/>
  <c r="DK85" i="29"/>
  <c r="DJ86" i="29"/>
  <c r="DL69" i="29"/>
  <c r="DK70" i="29"/>
  <c r="DI78" i="29"/>
  <c r="DJ77" i="29"/>
  <c r="DI120" i="29"/>
  <c r="DJ119" i="29"/>
  <c r="DP149" i="29"/>
  <c r="DO150" i="29"/>
  <c r="DL91" i="29"/>
  <c r="DK92" i="29"/>
  <c r="DI116" i="29"/>
  <c r="DJ115" i="29"/>
  <c r="DM138" i="29"/>
  <c r="DN137" i="29"/>
  <c r="DN142" i="29"/>
  <c r="DO141" i="29"/>
  <c r="DL127" i="29"/>
  <c r="DK128" i="29"/>
  <c r="DL126" i="29" s="1"/>
  <c r="DM131" i="29"/>
  <c r="DL132" i="29"/>
  <c r="DL146" i="29"/>
  <c r="DM145" i="29"/>
  <c r="DM140" i="29"/>
  <c r="DN139" i="29"/>
  <c r="DM147" i="29"/>
  <c r="DL148" i="29"/>
  <c r="DL133" i="29"/>
  <c r="DK134" i="29"/>
  <c r="DM135" i="29"/>
  <c r="DL136" i="29"/>
  <c r="DM129" i="29"/>
  <c r="DL130" i="29"/>
  <c r="DM144" i="29"/>
  <c r="DN143" i="29"/>
  <c r="DP54" i="29" l="1"/>
  <c r="DQ53" i="29"/>
  <c r="DP71" i="29"/>
  <c r="DO72" i="29"/>
  <c r="DP43" i="29"/>
  <c r="DO44" i="29"/>
  <c r="DP123" i="29"/>
  <c r="DO124" i="29"/>
  <c r="DO58" i="29"/>
  <c r="DP57" i="29"/>
  <c r="DK96" i="29"/>
  <c r="DK7" i="29" s="1"/>
  <c r="DL95" i="29"/>
  <c r="J48" i="30"/>
  <c r="J49" i="30"/>
  <c r="DI48" i="29"/>
  <c r="DI9" i="29" s="1"/>
  <c r="DK121" i="29"/>
  <c r="DJ122" i="29"/>
  <c r="DK8" i="29"/>
  <c r="DJ50" i="29"/>
  <c r="DK49" i="29"/>
  <c r="DJ42" i="29"/>
  <c r="DK41" i="29"/>
  <c r="DJ100" i="29"/>
  <c r="DM91" i="29"/>
  <c r="DL92" i="29"/>
  <c r="DK102" i="29"/>
  <c r="DL101" i="29"/>
  <c r="DJ38" i="29"/>
  <c r="DJ34" i="29" s="1"/>
  <c r="DK37" i="29"/>
  <c r="DL81" i="29"/>
  <c r="DK82" i="29"/>
  <c r="DH5" i="29"/>
  <c r="DG4" i="29"/>
  <c r="DL70" i="29"/>
  <c r="DM69" i="29"/>
  <c r="DJ94" i="29"/>
  <c r="DK93" i="29"/>
  <c r="DQ149" i="29"/>
  <c r="DP150" i="29"/>
  <c r="DL85" i="29"/>
  <c r="DK86" i="29"/>
  <c r="DJ106" i="29"/>
  <c r="DK105" i="29"/>
  <c r="DL111" i="29"/>
  <c r="DK112" i="29"/>
  <c r="DJ52" i="29"/>
  <c r="DK51" i="29"/>
  <c r="DJ88" i="29"/>
  <c r="DK87" i="29"/>
  <c r="DJ110" i="29"/>
  <c r="DK109" i="29"/>
  <c r="DJ120" i="29"/>
  <c r="DK119" i="29"/>
  <c r="DK40" i="29"/>
  <c r="DL39" i="29"/>
  <c r="DK114" i="29"/>
  <c r="DL113" i="29"/>
  <c r="DK66" i="29"/>
  <c r="DL65" i="29"/>
  <c r="DL117" i="29"/>
  <c r="DK118" i="29"/>
  <c r="DJ116" i="29"/>
  <c r="DK115" i="29"/>
  <c r="DJ78" i="29"/>
  <c r="DK77" i="29"/>
  <c r="DK63" i="29"/>
  <c r="DK64" i="29" s="1"/>
  <c r="DL107" i="29"/>
  <c r="DK108" i="29"/>
  <c r="DK67" i="29"/>
  <c r="DJ68" i="29"/>
  <c r="DJ104" i="29"/>
  <c r="DK103" i="29"/>
  <c r="DK56" i="29"/>
  <c r="DL55" i="29"/>
  <c r="DJ84" i="29"/>
  <c r="DK83" i="29"/>
  <c r="DN35" i="29"/>
  <c r="DM36" i="29"/>
  <c r="DJ80" i="29"/>
  <c r="DK79" i="29"/>
  <c r="DJ90" i="29"/>
  <c r="DK89" i="29"/>
  <c r="DN147" i="29"/>
  <c r="DM148" i="29"/>
  <c r="DM127" i="29"/>
  <c r="DL128" i="29"/>
  <c r="DM126" i="29" s="1"/>
  <c r="DN140" i="29"/>
  <c r="DO139" i="29"/>
  <c r="DP141" i="29"/>
  <c r="DO142" i="29"/>
  <c r="DN145" i="29"/>
  <c r="DM146" i="29"/>
  <c r="DO137" i="29"/>
  <c r="DN138" i="29"/>
  <c r="DO143" i="29"/>
  <c r="DN144" i="29"/>
  <c r="DN135" i="29"/>
  <c r="DM136" i="29"/>
  <c r="DN129" i="29"/>
  <c r="DM130" i="29"/>
  <c r="DM133" i="29"/>
  <c r="DL134" i="29"/>
  <c r="DM132" i="29"/>
  <c r="DN131" i="29"/>
  <c r="DQ54" i="29" l="1"/>
  <c r="DR53" i="29"/>
  <c r="DP58" i="29"/>
  <c r="DQ57" i="29"/>
  <c r="DP124" i="29"/>
  <c r="DQ123" i="29"/>
  <c r="DP44" i="29"/>
  <c r="DQ43" i="29"/>
  <c r="DQ71" i="29"/>
  <c r="DP72" i="29"/>
  <c r="DL96" i="29"/>
  <c r="DL7" i="29" s="1"/>
  <c r="DM95" i="29"/>
  <c r="DJ48" i="29"/>
  <c r="DJ9" i="29" s="1"/>
  <c r="DL8" i="29"/>
  <c r="DK122" i="29"/>
  <c r="DL121" i="29"/>
  <c r="DK50" i="29"/>
  <c r="DL49" i="29"/>
  <c r="DK42" i="29"/>
  <c r="DL41" i="29"/>
  <c r="DK100" i="29"/>
  <c r="DO35" i="29"/>
  <c r="DN36" i="29"/>
  <c r="DL63" i="29"/>
  <c r="DL64" i="29" s="1"/>
  <c r="DL112" i="29"/>
  <c r="DM111" i="29"/>
  <c r="DL83" i="29"/>
  <c r="DK84" i="29"/>
  <c r="DK78" i="29"/>
  <c r="DL77" i="29"/>
  <c r="DK110" i="29"/>
  <c r="DL109" i="29"/>
  <c r="DK106" i="29"/>
  <c r="DL105" i="29"/>
  <c r="DQ150" i="29"/>
  <c r="DR149" i="29"/>
  <c r="DL82" i="29"/>
  <c r="DM81" i="29"/>
  <c r="DK94" i="29"/>
  <c r="DL93" i="29"/>
  <c r="DL37" i="29"/>
  <c r="DK38" i="29"/>
  <c r="DK34" i="29" s="1"/>
  <c r="DK90" i="29"/>
  <c r="DL89" i="29"/>
  <c r="DM55" i="29"/>
  <c r="DL56" i="29"/>
  <c r="DK116" i="29"/>
  <c r="DL115" i="29"/>
  <c r="DL114" i="29"/>
  <c r="DM113" i="29"/>
  <c r="DK88" i="29"/>
  <c r="DL87" i="29"/>
  <c r="DL67" i="29"/>
  <c r="DK68" i="29"/>
  <c r="DM70" i="29"/>
  <c r="DN69" i="29"/>
  <c r="DL102" i="29"/>
  <c r="DM101" i="29"/>
  <c r="DK80" i="29"/>
  <c r="DL79" i="29"/>
  <c r="DK104" i="29"/>
  <c r="DL103" i="29"/>
  <c r="DL40" i="29"/>
  <c r="DM39" i="29"/>
  <c r="DL51" i="29"/>
  <c r="DK52" i="29"/>
  <c r="DL108" i="29"/>
  <c r="DM107" i="29"/>
  <c r="DM117" i="29"/>
  <c r="DL118" i="29"/>
  <c r="DM65" i="29"/>
  <c r="DL66" i="29"/>
  <c r="DL119" i="29"/>
  <c r="DK120" i="29"/>
  <c r="DM85" i="29"/>
  <c r="DL86" i="29"/>
  <c r="DI5" i="29"/>
  <c r="DH4" i="29"/>
  <c r="DN91" i="29"/>
  <c r="DM92" i="29"/>
  <c r="DN136" i="29"/>
  <c r="DO135" i="29"/>
  <c r="DP142" i="29"/>
  <c r="DQ141" i="29"/>
  <c r="DO140" i="29"/>
  <c r="DP139" i="29"/>
  <c r="DO144" i="29"/>
  <c r="DP143" i="29"/>
  <c r="DN133" i="29"/>
  <c r="DM134" i="29"/>
  <c r="DP137" i="29"/>
  <c r="DO138" i="29"/>
  <c r="DN127" i="29"/>
  <c r="DM128" i="29"/>
  <c r="DN126" i="29" s="1"/>
  <c r="DO131" i="29"/>
  <c r="DN132" i="29"/>
  <c r="DO129" i="29"/>
  <c r="DN130" i="29"/>
  <c r="DO145" i="29"/>
  <c r="DN146" i="29"/>
  <c r="DO147" i="29"/>
  <c r="DN148" i="29"/>
  <c r="DR54" i="29" l="1"/>
  <c r="DS53" i="29"/>
  <c r="DQ44" i="29"/>
  <c r="DR43" i="29"/>
  <c r="DR71" i="29"/>
  <c r="DQ72" i="29"/>
  <c r="DQ124" i="29"/>
  <c r="DR123" i="29"/>
  <c r="DQ58" i="29"/>
  <c r="DR57" i="29"/>
  <c r="DM96" i="29"/>
  <c r="DM7" i="29" s="1"/>
  <c r="DN95" i="29"/>
  <c r="DK48" i="29"/>
  <c r="DK9" i="29" s="1"/>
  <c r="DL122" i="29"/>
  <c r="DM121" i="29"/>
  <c r="DM8" i="29"/>
  <c r="DL50" i="29"/>
  <c r="DM49" i="29"/>
  <c r="DM41" i="29"/>
  <c r="DL42" i="29"/>
  <c r="DL100" i="29"/>
  <c r="DN107" i="29"/>
  <c r="DM108" i="29"/>
  <c r="DM109" i="29"/>
  <c r="DL110" i="29"/>
  <c r="DM112" i="29"/>
  <c r="DN111" i="29"/>
  <c r="DN85" i="29"/>
  <c r="DM86" i="29"/>
  <c r="DM79" i="29"/>
  <c r="DL80" i="29"/>
  <c r="DL68" i="29"/>
  <c r="DM67" i="29"/>
  <c r="DN55" i="29"/>
  <c r="DM56" i="29"/>
  <c r="DN81" i="29"/>
  <c r="DM82" i="29"/>
  <c r="DM77" i="29"/>
  <c r="DL78" i="29"/>
  <c r="DL120" i="29"/>
  <c r="DM119" i="29"/>
  <c r="DN101" i="29"/>
  <c r="DM102" i="29"/>
  <c r="DM87" i="29"/>
  <c r="DL88" i="29"/>
  <c r="DL90" i="29"/>
  <c r="DM89" i="29"/>
  <c r="DM63" i="29"/>
  <c r="DM64" i="29" s="1"/>
  <c r="DM51" i="29"/>
  <c r="DL52" i="29"/>
  <c r="DS149" i="29"/>
  <c r="DR150" i="29"/>
  <c r="DO91" i="29"/>
  <c r="DN92" i="29"/>
  <c r="DM66" i="29"/>
  <c r="DN65" i="29"/>
  <c r="DN39" i="29"/>
  <c r="DM40" i="29"/>
  <c r="DN70" i="29"/>
  <c r="DO69" i="29"/>
  <c r="DM114" i="29"/>
  <c r="DN113" i="29"/>
  <c r="DL38" i="29"/>
  <c r="DL34" i="29" s="1"/>
  <c r="DM37" i="29"/>
  <c r="DL106" i="29"/>
  <c r="DM105" i="29"/>
  <c r="DJ5" i="29"/>
  <c r="DI4" i="29"/>
  <c r="DI3" i="29" s="1"/>
  <c r="DN117" i="29"/>
  <c r="DM118" i="29"/>
  <c r="DL104" i="29"/>
  <c r="DM103" i="29"/>
  <c r="DL116" i="29"/>
  <c r="DM115" i="29"/>
  <c r="DM93" i="29"/>
  <c r="DL94" i="29"/>
  <c r="DM83" i="29"/>
  <c r="DL84" i="29"/>
  <c r="DO36" i="29"/>
  <c r="DP35" i="29"/>
  <c r="DP147" i="29"/>
  <c r="DO148" i="29"/>
  <c r="DN128" i="29"/>
  <c r="DO126" i="29" s="1"/>
  <c r="DO127" i="29"/>
  <c r="DR141" i="29"/>
  <c r="DQ142" i="29"/>
  <c r="DP145" i="29"/>
  <c r="DO146" i="29"/>
  <c r="DP138" i="29"/>
  <c r="DQ137" i="29"/>
  <c r="DO136" i="29"/>
  <c r="DP135" i="29"/>
  <c r="DP140" i="29"/>
  <c r="DQ139" i="29"/>
  <c r="DP129" i="29"/>
  <c r="DO130" i="29"/>
  <c r="DO133" i="29"/>
  <c r="DN134" i="29"/>
  <c r="DQ143" i="29"/>
  <c r="DP144" i="29"/>
  <c r="DP131" i="29"/>
  <c r="DO132" i="29"/>
  <c r="DS54" i="29" l="1"/>
  <c r="DT53" i="29"/>
  <c r="DR58" i="29"/>
  <c r="DS57" i="29"/>
  <c r="DR124" i="29"/>
  <c r="DS123" i="29"/>
  <c r="DR72" i="29"/>
  <c r="DS71" i="29"/>
  <c r="DS43" i="29"/>
  <c r="DR44" i="29"/>
  <c r="DN96" i="29"/>
  <c r="DN7" i="29" s="1"/>
  <c r="DO95" i="29"/>
  <c r="DL48" i="29"/>
  <c r="DL9" i="29" s="1"/>
  <c r="DN8" i="29"/>
  <c r="DM122" i="29"/>
  <c r="DN121" i="29"/>
  <c r="DM50" i="29"/>
  <c r="DN49" i="29"/>
  <c r="DN41" i="29"/>
  <c r="DM42" i="29"/>
  <c r="DM100" i="29"/>
  <c r="DT149" i="29"/>
  <c r="DS150" i="29"/>
  <c r="DN93" i="29"/>
  <c r="DM94" i="29"/>
  <c r="DO117" i="29"/>
  <c r="DN118" i="29"/>
  <c r="DO113" i="29"/>
  <c r="DN114" i="29"/>
  <c r="DM88" i="29"/>
  <c r="DN87" i="29"/>
  <c r="DO81" i="29"/>
  <c r="DN82" i="29"/>
  <c r="DO85" i="29"/>
  <c r="DN86" i="29"/>
  <c r="DN115" i="29"/>
  <c r="DM116" i="29"/>
  <c r="DP91" i="29"/>
  <c r="DO92" i="29"/>
  <c r="DN112" i="29"/>
  <c r="DO111" i="29"/>
  <c r="DK5" i="29"/>
  <c r="DJ4" i="29"/>
  <c r="DO70" i="29"/>
  <c r="DP69" i="29"/>
  <c r="DM52" i="29"/>
  <c r="DN51" i="29"/>
  <c r="DN102" i="29"/>
  <c r="DO101" i="29"/>
  <c r="DO55" i="29"/>
  <c r="DN56" i="29"/>
  <c r="DP36" i="29"/>
  <c r="DQ35" i="29"/>
  <c r="DM106" i="29"/>
  <c r="DN105" i="29"/>
  <c r="DN119" i="29"/>
  <c r="DM120" i="29"/>
  <c r="DM68" i="29"/>
  <c r="DN67" i="29"/>
  <c r="DN63" i="29"/>
  <c r="DN64" i="29" s="1"/>
  <c r="DN109" i="29"/>
  <c r="DM110" i="29"/>
  <c r="DN103" i="29"/>
  <c r="DM104" i="29"/>
  <c r="DM38" i="29"/>
  <c r="DM34" i="29" s="1"/>
  <c r="DN37" i="29"/>
  <c r="DN40" i="29"/>
  <c r="DO39" i="29"/>
  <c r="DN89" i="29"/>
  <c r="DM90" i="29"/>
  <c r="DN83" i="29"/>
  <c r="DM84" i="29"/>
  <c r="DO65" i="29"/>
  <c r="DN66" i="29"/>
  <c r="DM78" i="29"/>
  <c r="DN77" i="29"/>
  <c r="DM80" i="29"/>
  <c r="DN79" i="29"/>
  <c r="DO107" i="29"/>
  <c r="DN108" i="29"/>
  <c r="DQ129" i="29"/>
  <c r="DP130" i="29"/>
  <c r="DQ145" i="29"/>
  <c r="DP146" i="29"/>
  <c r="DQ140" i="29"/>
  <c r="DR139" i="29"/>
  <c r="DP132" i="29"/>
  <c r="DQ131" i="29"/>
  <c r="DR142" i="29"/>
  <c r="DS141" i="29"/>
  <c r="DP136" i="29"/>
  <c r="DQ135" i="29"/>
  <c r="DP127" i="29"/>
  <c r="DO128" i="29"/>
  <c r="DP126" i="29" s="1"/>
  <c r="DR143" i="29"/>
  <c r="DQ144" i="29"/>
  <c r="DR137" i="29"/>
  <c r="DQ138" i="29"/>
  <c r="DP133" i="29"/>
  <c r="DO134" i="29"/>
  <c r="DP148" i="29"/>
  <c r="DQ147" i="29"/>
  <c r="DT54" i="29" l="1"/>
  <c r="DU53" i="29"/>
  <c r="DT71" i="29"/>
  <c r="DS72" i="29"/>
  <c r="DT43" i="29"/>
  <c r="DS44" i="29"/>
  <c r="DS124" i="29"/>
  <c r="DT123" i="29"/>
  <c r="DS58" i="29"/>
  <c r="DT57" i="29"/>
  <c r="DO96" i="29"/>
  <c r="DO7" i="29" s="1"/>
  <c r="K12" i="30" s="1"/>
  <c r="DP95" i="29"/>
  <c r="DM48" i="29"/>
  <c r="DM9" i="29" s="1"/>
  <c r="DN122" i="29"/>
  <c r="DO121" i="29"/>
  <c r="DO8" i="29"/>
  <c r="K13" i="30" s="1"/>
  <c r="DO49" i="29"/>
  <c r="DN50" i="29"/>
  <c r="DN42" i="29"/>
  <c r="DO41" i="29"/>
  <c r="DN100" i="29"/>
  <c r="DP39" i="29"/>
  <c r="DO40" i="29"/>
  <c r="DO115" i="29"/>
  <c r="DN116" i="29"/>
  <c r="DO114" i="29"/>
  <c r="DO22" i="29" s="1"/>
  <c r="DP113" i="29"/>
  <c r="DN110" i="29"/>
  <c r="DO109" i="29"/>
  <c r="DN120" i="29"/>
  <c r="DO119" i="29"/>
  <c r="DO56" i="29"/>
  <c r="DP55" i="29"/>
  <c r="DL5" i="29"/>
  <c r="DK4" i="29"/>
  <c r="DO77" i="29"/>
  <c r="DN78" i="29"/>
  <c r="DO66" i="29"/>
  <c r="DO12" i="29" s="1"/>
  <c r="K23" i="30" s="1"/>
  <c r="DP65" i="29"/>
  <c r="DN38" i="29"/>
  <c r="DN34" i="29" s="1"/>
  <c r="DO37" i="29"/>
  <c r="DP101" i="29"/>
  <c r="DO102" i="29"/>
  <c r="DO112" i="29"/>
  <c r="DP111" i="29"/>
  <c r="DO86" i="29"/>
  <c r="DP85" i="29"/>
  <c r="DP117" i="29"/>
  <c r="DO118" i="29"/>
  <c r="DO63" i="29"/>
  <c r="DO64" i="29" s="1"/>
  <c r="DP107" i="29"/>
  <c r="DO108" i="29"/>
  <c r="DN84" i="29"/>
  <c r="DO83" i="29"/>
  <c r="DO105" i="29"/>
  <c r="DN106" i="29"/>
  <c r="DN52" i="29"/>
  <c r="DO51" i="29"/>
  <c r="DP81" i="29"/>
  <c r="DO82" i="29"/>
  <c r="DN94" i="29"/>
  <c r="DO93" i="29"/>
  <c r="DN80" i="29"/>
  <c r="DO79" i="29"/>
  <c r="DO103" i="29"/>
  <c r="DN104" i="29"/>
  <c r="DN88" i="29"/>
  <c r="DO87" i="29"/>
  <c r="DO89" i="29"/>
  <c r="DN90" i="29"/>
  <c r="DO67" i="29"/>
  <c r="DN68" i="29"/>
  <c r="DQ36" i="29"/>
  <c r="DR35" i="29"/>
  <c r="DP70" i="29"/>
  <c r="DQ69" i="29"/>
  <c r="DP92" i="29"/>
  <c r="DQ91" i="29"/>
  <c r="DU149" i="29"/>
  <c r="DT150" i="29"/>
  <c r="DQ127" i="29"/>
  <c r="DP128" i="29"/>
  <c r="DQ126" i="29" s="1"/>
  <c r="DQ136" i="29"/>
  <c r="DR135" i="29"/>
  <c r="DS139" i="29"/>
  <c r="DR140" i="29"/>
  <c r="DQ133" i="29"/>
  <c r="DP134" i="29"/>
  <c r="DT141" i="29"/>
  <c r="DS142" i="29"/>
  <c r="DQ148" i="29"/>
  <c r="DR147" i="29"/>
  <c r="DS137" i="29"/>
  <c r="DR138" i="29"/>
  <c r="DR145" i="29"/>
  <c r="DQ146" i="29"/>
  <c r="DQ132" i="29"/>
  <c r="DR131" i="29"/>
  <c r="DS143" i="29"/>
  <c r="DR144" i="29"/>
  <c r="DR129" i="29"/>
  <c r="DQ130" i="29"/>
  <c r="DU54" i="29" l="1"/>
  <c r="DV53" i="29"/>
  <c r="DT124" i="29"/>
  <c r="DU123" i="29"/>
  <c r="DT44" i="29"/>
  <c r="DU43" i="29"/>
  <c r="DT58" i="29"/>
  <c r="DU57" i="29"/>
  <c r="DU71" i="29"/>
  <c r="DT72" i="29"/>
  <c r="K11" i="30"/>
  <c r="DP96" i="29"/>
  <c r="DP7" i="29" s="1"/>
  <c r="DQ95" i="29"/>
  <c r="DN48" i="29"/>
  <c r="DN9" i="29" s="1"/>
  <c r="DP8" i="29"/>
  <c r="DP121" i="29"/>
  <c r="DO122" i="29"/>
  <c r="DP49" i="29"/>
  <c r="DO50" i="29"/>
  <c r="DP41" i="29"/>
  <c r="DO42" i="29"/>
  <c r="DO100" i="29"/>
  <c r="DO14" i="29" s="1"/>
  <c r="K16" i="30" s="1"/>
  <c r="DO94" i="29"/>
  <c r="DP93" i="29"/>
  <c r="DP63" i="29"/>
  <c r="DP64" i="29" s="1"/>
  <c r="DO11" i="29"/>
  <c r="K22" i="30" s="1"/>
  <c r="DR36" i="29"/>
  <c r="DS35" i="29"/>
  <c r="DP83" i="29"/>
  <c r="DO84" i="29"/>
  <c r="DP102" i="29"/>
  <c r="DQ101" i="29"/>
  <c r="DM5" i="29"/>
  <c r="DL4" i="29"/>
  <c r="DL3" i="29" s="1"/>
  <c r="DO38" i="29"/>
  <c r="DO34" i="29" s="1"/>
  <c r="DP37" i="29"/>
  <c r="DP56" i="29"/>
  <c r="DQ55" i="29"/>
  <c r="DQ113" i="29"/>
  <c r="DP114" i="29"/>
  <c r="DP82" i="29"/>
  <c r="DQ81" i="29"/>
  <c r="DP118" i="29"/>
  <c r="DQ117" i="29"/>
  <c r="DV149" i="29"/>
  <c r="DU150" i="29"/>
  <c r="DP67" i="29"/>
  <c r="DO68" i="29"/>
  <c r="DP51" i="29"/>
  <c r="DO52" i="29"/>
  <c r="DP108" i="29"/>
  <c r="DQ107" i="29"/>
  <c r="DP86" i="29"/>
  <c r="DQ85" i="29"/>
  <c r="DP66" i="29"/>
  <c r="DQ65" i="29"/>
  <c r="DO120" i="29"/>
  <c r="DP119" i="29"/>
  <c r="DR91" i="29"/>
  <c r="DQ92" i="29"/>
  <c r="DO104" i="29"/>
  <c r="DP103" i="29"/>
  <c r="DO116" i="29"/>
  <c r="DP115" i="29"/>
  <c r="DP89" i="29"/>
  <c r="DO90" i="29"/>
  <c r="DP79" i="29"/>
  <c r="DO80" i="29"/>
  <c r="DP112" i="29"/>
  <c r="DQ111" i="29"/>
  <c r="DP109" i="29"/>
  <c r="DO110" i="29"/>
  <c r="DQ70" i="29"/>
  <c r="DR69" i="29"/>
  <c r="DO88" i="29"/>
  <c r="DP87" i="29"/>
  <c r="DO106" i="29"/>
  <c r="DP105" i="29"/>
  <c r="DO78" i="29"/>
  <c r="DP77" i="29"/>
  <c r="DP40" i="29"/>
  <c r="DQ39" i="29"/>
  <c r="DS129" i="29"/>
  <c r="DR130" i="29"/>
  <c r="DS138" i="29"/>
  <c r="DT137" i="29"/>
  <c r="DS140" i="29"/>
  <c r="DT139" i="29"/>
  <c r="DS147" i="29"/>
  <c r="DR148" i="29"/>
  <c r="DR136" i="29"/>
  <c r="DS135" i="29"/>
  <c r="DS144" i="29"/>
  <c r="DT143" i="29"/>
  <c r="DR132" i="29"/>
  <c r="DS131" i="29"/>
  <c r="DU141" i="29"/>
  <c r="DT142" i="29"/>
  <c r="DS145" i="29"/>
  <c r="DR146" i="29"/>
  <c r="DR133" i="29"/>
  <c r="DQ134" i="29"/>
  <c r="DR127" i="29"/>
  <c r="DQ128" i="29"/>
  <c r="DR126" i="29" s="1"/>
  <c r="DV54" i="29" l="1"/>
  <c r="DW53" i="29"/>
  <c r="DU58" i="29"/>
  <c r="DV57" i="29"/>
  <c r="DV71" i="29"/>
  <c r="DU72" i="29"/>
  <c r="DV43" i="29"/>
  <c r="DU44" i="29"/>
  <c r="DU124" i="29"/>
  <c r="DV123" i="29"/>
  <c r="DQ96" i="29"/>
  <c r="DQ7" i="29" s="1"/>
  <c r="DR95" i="29"/>
  <c r="DO48" i="29"/>
  <c r="DO9" i="29" s="1"/>
  <c r="K15" i="30" s="1"/>
  <c r="K14" i="30" s="1"/>
  <c r="DO15" i="29"/>
  <c r="K24" i="30" s="1"/>
  <c r="DP122" i="29"/>
  <c r="DQ121" i="29"/>
  <c r="DQ8" i="29"/>
  <c r="DQ49" i="29"/>
  <c r="DP50" i="29"/>
  <c r="DP42" i="29"/>
  <c r="DQ41" i="29"/>
  <c r="DP100" i="29"/>
  <c r="DS91" i="29"/>
  <c r="DR92" i="29"/>
  <c r="DQ87" i="29"/>
  <c r="DP88" i="29"/>
  <c r="DQ66" i="29"/>
  <c r="DR65" i="29"/>
  <c r="DP84" i="29"/>
  <c r="DQ83" i="29"/>
  <c r="DQ109" i="29"/>
  <c r="DP110" i="29"/>
  <c r="DP68" i="29"/>
  <c r="DQ67" i="29"/>
  <c r="DS36" i="29"/>
  <c r="DT35" i="29"/>
  <c r="DP90" i="29"/>
  <c r="DQ89" i="29"/>
  <c r="DQ40" i="29"/>
  <c r="DR39" i="29"/>
  <c r="DR70" i="29"/>
  <c r="DS69" i="29"/>
  <c r="DQ103" i="29"/>
  <c r="DP104" i="29"/>
  <c r="DQ86" i="29"/>
  <c r="DR85" i="29"/>
  <c r="DQ114" i="29"/>
  <c r="DR113" i="29"/>
  <c r="DQ79" i="29"/>
  <c r="DP80" i="29"/>
  <c r="DW149" i="29"/>
  <c r="DV150" i="29"/>
  <c r="DR55" i="29"/>
  <c r="DQ56" i="29"/>
  <c r="DQ77" i="29"/>
  <c r="DP78" i="29"/>
  <c r="DR107" i="29"/>
  <c r="DQ108" i="29"/>
  <c r="DR117" i="29"/>
  <c r="DQ118" i="29"/>
  <c r="DN5" i="29"/>
  <c r="DM4" i="29"/>
  <c r="DR101" i="29"/>
  <c r="DQ102" i="29"/>
  <c r="DQ63" i="29"/>
  <c r="DQ64" i="29" s="1"/>
  <c r="DQ105" i="29"/>
  <c r="DP106" i="29"/>
  <c r="DQ112" i="29"/>
  <c r="DR111" i="29"/>
  <c r="DQ115" i="29"/>
  <c r="DP116" i="29"/>
  <c r="DQ119" i="29"/>
  <c r="DP120" i="29"/>
  <c r="DQ82" i="29"/>
  <c r="DR81" i="29"/>
  <c r="DQ93" i="29"/>
  <c r="DP94" i="29"/>
  <c r="DP38" i="29"/>
  <c r="DP34" i="29" s="1"/>
  <c r="DQ37" i="29"/>
  <c r="DQ51" i="29"/>
  <c r="DP52" i="29"/>
  <c r="DS127" i="29"/>
  <c r="DR128" i="29"/>
  <c r="DS126" i="29" s="1"/>
  <c r="DV141" i="29"/>
  <c r="DU142" i="29"/>
  <c r="DT147" i="29"/>
  <c r="DS148" i="29"/>
  <c r="DS132" i="29"/>
  <c r="DT131" i="29"/>
  <c r="DU139" i="29"/>
  <c r="DT140" i="29"/>
  <c r="DR134" i="29"/>
  <c r="DS133" i="29"/>
  <c r="DU143" i="29"/>
  <c r="DT144" i="29"/>
  <c r="DU137" i="29"/>
  <c r="DT138" i="29"/>
  <c r="DS146" i="29"/>
  <c r="DT145" i="29"/>
  <c r="DS136" i="29"/>
  <c r="DT135" i="29"/>
  <c r="DS130" i="29"/>
  <c r="DT129" i="29"/>
  <c r="DW54" i="29" l="1"/>
  <c r="DX53" i="29"/>
  <c r="DV124" i="29"/>
  <c r="DW123" i="29"/>
  <c r="DV44" i="29"/>
  <c r="DW43" i="29"/>
  <c r="DV72" i="29"/>
  <c r="DW71" i="29"/>
  <c r="DV58" i="29"/>
  <c r="DW57" i="29"/>
  <c r="DR96" i="29"/>
  <c r="DR7" i="29" s="1"/>
  <c r="DS95" i="29"/>
  <c r="DP48" i="29"/>
  <c r="DP9" i="29" s="1"/>
  <c r="DR8" i="29"/>
  <c r="DQ122" i="29"/>
  <c r="DR121" i="29"/>
  <c r="DQ50" i="29"/>
  <c r="DR49" i="29"/>
  <c r="DQ42" i="29"/>
  <c r="DR41" i="29"/>
  <c r="DO26" i="29"/>
  <c r="K19" i="30" s="1"/>
  <c r="DO10" i="29"/>
  <c r="K21" i="30" s="1"/>
  <c r="DQ100" i="29"/>
  <c r="DS81" i="29"/>
  <c r="DR82" i="29"/>
  <c r="DQ116" i="29"/>
  <c r="DR115" i="29"/>
  <c r="DR102" i="29"/>
  <c r="DS101" i="29"/>
  <c r="DQ78" i="29"/>
  <c r="DR77" i="29"/>
  <c r="DR112" i="29"/>
  <c r="DS111" i="29"/>
  <c r="DS113" i="29"/>
  <c r="DR114" i="29"/>
  <c r="DR40" i="29"/>
  <c r="DS39" i="29"/>
  <c r="DR51" i="29"/>
  <c r="DQ52" i="29"/>
  <c r="DO5" i="29"/>
  <c r="DN4" i="29"/>
  <c r="DS55" i="29"/>
  <c r="DR56" i="29"/>
  <c r="DR109" i="29"/>
  <c r="DQ110" i="29"/>
  <c r="DQ68" i="29"/>
  <c r="DR67" i="29"/>
  <c r="DQ38" i="29"/>
  <c r="DQ34" i="29" s="1"/>
  <c r="DR37" i="29"/>
  <c r="DR86" i="29"/>
  <c r="DS85" i="29"/>
  <c r="DR89" i="29"/>
  <c r="DQ90" i="29"/>
  <c r="DQ84" i="29"/>
  <c r="DR83" i="29"/>
  <c r="DS65" i="29"/>
  <c r="DR66" i="29"/>
  <c r="DQ106" i="29"/>
  <c r="DR105" i="29"/>
  <c r="DS117" i="29"/>
  <c r="DR118" i="29"/>
  <c r="DW150" i="29"/>
  <c r="DX149" i="29"/>
  <c r="DQ88" i="29"/>
  <c r="DR87" i="29"/>
  <c r="DS70" i="29"/>
  <c r="DT69" i="29"/>
  <c r="DT36" i="29"/>
  <c r="DU35" i="29"/>
  <c r="DR93" i="29"/>
  <c r="DQ94" i="29"/>
  <c r="DQ120" i="29"/>
  <c r="DR119" i="29"/>
  <c r="DR63" i="29"/>
  <c r="DR64" i="29" s="1"/>
  <c r="DR108" i="29"/>
  <c r="DS107" i="29"/>
  <c r="DQ80" i="29"/>
  <c r="DR79" i="29"/>
  <c r="DQ104" i="29"/>
  <c r="DR103" i="29"/>
  <c r="DT91" i="29"/>
  <c r="DS92" i="29"/>
  <c r="DU138" i="29"/>
  <c r="DV137" i="29"/>
  <c r="DU144" i="29"/>
  <c r="DV143" i="29"/>
  <c r="DU147" i="29"/>
  <c r="DT148" i="29"/>
  <c r="DT136" i="29"/>
  <c r="DU135" i="29"/>
  <c r="DT133" i="29"/>
  <c r="DS134" i="29"/>
  <c r="DT132" i="29"/>
  <c r="DU131" i="29"/>
  <c r="DV142" i="29"/>
  <c r="DW141" i="29"/>
  <c r="DU129" i="29"/>
  <c r="DT130" i="29"/>
  <c r="DT146" i="29"/>
  <c r="DU145" i="29"/>
  <c r="DU140" i="29"/>
  <c r="DV139" i="29"/>
  <c r="DT127" i="29"/>
  <c r="DS128" i="29"/>
  <c r="DT126" i="29" s="1"/>
  <c r="DX54" i="29" l="1"/>
  <c r="DY53" i="29"/>
  <c r="DW72" i="29"/>
  <c r="DX71" i="29"/>
  <c r="DW44" i="29"/>
  <c r="DX43" i="29"/>
  <c r="DW58" i="29"/>
  <c r="DX57" i="29"/>
  <c r="DW124" i="29"/>
  <c r="DX123" i="29"/>
  <c r="DS96" i="29"/>
  <c r="DS7" i="29" s="1"/>
  <c r="DT95" i="29"/>
  <c r="DQ48" i="29"/>
  <c r="DQ9" i="29" s="1"/>
  <c r="DR100" i="29"/>
  <c r="DR122" i="29"/>
  <c r="DS121" i="29"/>
  <c r="DS8" i="29"/>
  <c r="DR50" i="29"/>
  <c r="DS49" i="29"/>
  <c r="DO13" i="29"/>
  <c r="K20" i="30" s="1"/>
  <c r="DR42" i="29"/>
  <c r="DS41" i="29"/>
  <c r="DT55" i="29"/>
  <c r="DS56" i="29"/>
  <c r="DU91" i="29"/>
  <c r="DT92" i="29"/>
  <c r="DV35" i="29"/>
  <c r="DU36" i="29"/>
  <c r="DR68" i="29"/>
  <c r="DS67" i="29"/>
  <c r="DT39" i="29"/>
  <c r="DS40" i="29"/>
  <c r="DT101" i="29"/>
  <c r="DS102" i="29"/>
  <c r="DS63" i="29"/>
  <c r="DS64" i="29" s="1"/>
  <c r="DT117" i="29"/>
  <c r="DS118" i="29"/>
  <c r="DR90" i="29"/>
  <c r="DS89" i="29"/>
  <c r="K10" i="30"/>
  <c r="DP5" i="29"/>
  <c r="DO4" i="29"/>
  <c r="DO3" i="29" s="1"/>
  <c r="DS103" i="29"/>
  <c r="DR104" i="29"/>
  <c r="DS119" i="29"/>
  <c r="DR120" i="29"/>
  <c r="DU69" i="29"/>
  <c r="DT70" i="29"/>
  <c r="DS105" i="29"/>
  <c r="DR106" i="29"/>
  <c r="DS86" i="29"/>
  <c r="DT85" i="29"/>
  <c r="DS115" i="29"/>
  <c r="DR116" i="29"/>
  <c r="DS114" i="29"/>
  <c r="DT113" i="29"/>
  <c r="DR80" i="29"/>
  <c r="DS79" i="29"/>
  <c r="DS87" i="29"/>
  <c r="DR88" i="29"/>
  <c r="DT111" i="29"/>
  <c r="DS112" i="29"/>
  <c r="DR94" i="29"/>
  <c r="DS93" i="29"/>
  <c r="DS66" i="29"/>
  <c r="DT65" i="29"/>
  <c r="DS109" i="29"/>
  <c r="DR110" i="29"/>
  <c r="DR52" i="29"/>
  <c r="DS51" i="29"/>
  <c r="DT81" i="29"/>
  <c r="DS82" i="29"/>
  <c r="DS108" i="29"/>
  <c r="DT107" i="29"/>
  <c r="DY149" i="29"/>
  <c r="DX150" i="29"/>
  <c r="DR84" i="29"/>
  <c r="DS83" i="29"/>
  <c r="DR38" i="29"/>
  <c r="DR34" i="29" s="1"/>
  <c r="DS37" i="29"/>
  <c r="DR78" i="29"/>
  <c r="DS77" i="29"/>
  <c r="DU127" i="29"/>
  <c r="DT128" i="29"/>
  <c r="DU126" i="29" s="1"/>
  <c r="DV147" i="29"/>
  <c r="DU148" i="29"/>
  <c r="DV140" i="29"/>
  <c r="DW139" i="29"/>
  <c r="DU132" i="29"/>
  <c r="DV131" i="29"/>
  <c r="DW143" i="29"/>
  <c r="DV144" i="29"/>
  <c r="DX141" i="29"/>
  <c r="DW142" i="29"/>
  <c r="DV145" i="29"/>
  <c r="DU146" i="29"/>
  <c r="DU133" i="29"/>
  <c r="DT134" i="29"/>
  <c r="DV135" i="29"/>
  <c r="DU136" i="29"/>
  <c r="DW137" i="29"/>
  <c r="DV138" i="29"/>
  <c r="DV129" i="29"/>
  <c r="DU130" i="29"/>
  <c r="DY54" i="29" l="1"/>
  <c r="DZ53" i="29"/>
  <c r="DX58" i="29"/>
  <c r="DY57" i="29"/>
  <c r="DX44" i="29"/>
  <c r="DY43" i="29"/>
  <c r="DX124" i="29"/>
  <c r="DY123" i="29"/>
  <c r="DY71" i="29"/>
  <c r="DX72" i="29"/>
  <c r="DT96" i="29"/>
  <c r="DT7" i="29" s="1"/>
  <c r="DU95" i="29"/>
  <c r="DR48" i="29"/>
  <c r="DR9" i="29" s="1"/>
  <c r="DO27" i="29"/>
  <c r="K18" i="30" s="1"/>
  <c r="DT8" i="29"/>
  <c r="DS122" i="29"/>
  <c r="DT121" i="29"/>
  <c r="DS50" i="29"/>
  <c r="DT49" i="29"/>
  <c r="DT41" i="29"/>
  <c r="DS42" i="29"/>
  <c r="DS100" i="29"/>
  <c r="DS78" i="29"/>
  <c r="DT77" i="29"/>
  <c r="DS52" i="29"/>
  <c r="DT51" i="29"/>
  <c r="DS104" i="29"/>
  <c r="DT103" i="29"/>
  <c r="DU117" i="29"/>
  <c r="DT118" i="29"/>
  <c r="DY150" i="29"/>
  <c r="DZ149" i="29"/>
  <c r="DU111" i="29"/>
  <c r="DT112" i="29"/>
  <c r="DT114" i="29"/>
  <c r="DU113" i="29"/>
  <c r="DT63" i="29"/>
  <c r="DT64" i="29" s="1"/>
  <c r="DS94" i="29"/>
  <c r="DT93" i="29"/>
  <c r="DS106" i="29"/>
  <c r="DT105" i="29"/>
  <c r="DV36" i="29"/>
  <c r="DW35" i="29"/>
  <c r="DS110" i="29"/>
  <c r="DT109" i="29"/>
  <c r="DP4" i="29"/>
  <c r="DQ5" i="29"/>
  <c r="DS38" i="29"/>
  <c r="DS34" i="29" s="1"/>
  <c r="DT37" i="29"/>
  <c r="DU107" i="29"/>
  <c r="DT108" i="29"/>
  <c r="DT66" i="29"/>
  <c r="DU65" i="29"/>
  <c r="DS116" i="29"/>
  <c r="DT115" i="29"/>
  <c r="DU70" i="29"/>
  <c r="DV69" i="29"/>
  <c r="K37" i="30"/>
  <c r="K44" i="30"/>
  <c r="K30" i="30"/>
  <c r="DT102" i="29"/>
  <c r="DU101" i="29"/>
  <c r="DU92" i="29"/>
  <c r="DV91" i="29"/>
  <c r="DT89" i="29"/>
  <c r="DS90" i="29"/>
  <c r="DS84" i="29"/>
  <c r="DT83" i="29"/>
  <c r="DS88" i="29"/>
  <c r="DT87" i="29"/>
  <c r="DT119" i="29"/>
  <c r="DS120" i="29"/>
  <c r="DT40" i="29"/>
  <c r="DU39" i="29"/>
  <c r="DT56" i="29"/>
  <c r="DU55" i="29"/>
  <c r="DT82" i="29"/>
  <c r="DU81" i="29"/>
  <c r="DT79" i="29"/>
  <c r="DS80" i="29"/>
  <c r="DT86" i="29"/>
  <c r="DU85" i="29"/>
  <c r="DS68" i="29"/>
  <c r="DT67" i="29"/>
  <c r="DW129" i="29"/>
  <c r="DV130" i="29"/>
  <c r="DV133" i="29"/>
  <c r="DU134" i="29"/>
  <c r="DW140" i="29"/>
  <c r="DX139" i="29"/>
  <c r="DX137" i="29"/>
  <c r="DW138" i="29"/>
  <c r="DW145" i="29"/>
  <c r="DV146" i="29"/>
  <c r="DV132" i="29"/>
  <c r="DW131" i="29"/>
  <c r="DV136" i="29"/>
  <c r="DW135" i="29"/>
  <c r="DX142" i="29"/>
  <c r="DY141" i="29"/>
  <c r="DW147" i="29"/>
  <c r="DV148" i="29"/>
  <c r="DW144" i="29"/>
  <c r="DX143" i="29"/>
  <c r="DV127" i="29"/>
  <c r="DU128" i="29"/>
  <c r="DV126" i="29" s="1"/>
  <c r="DZ54" i="29" l="1"/>
  <c r="EA53" i="29"/>
  <c r="DY124" i="29"/>
  <c r="DZ123" i="29"/>
  <c r="DY72" i="29"/>
  <c r="DZ71" i="29"/>
  <c r="DY44" i="29"/>
  <c r="DZ43" i="29"/>
  <c r="DY58" i="29"/>
  <c r="DZ57" i="29"/>
  <c r="DU96" i="29"/>
  <c r="DU7" i="29" s="1"/>
  <c r="DV95" i="29"/>
  <c r="DS48" i="29"/>
  <c r="DS9" i="29" s="1"/>
  <c r="DO28" i="29"/>
  <c r="K17" i="30" s="1"/>
  <c r="K31" i="30" s="1"/>
  <c r="K34" i="30" s="1"/>
  <c r="DT122" i="29"/>
  <c r="DU121" i="29"/>
  <c r="DU8" i="29"/>
  <c r="DT50" i="29"/>
  <c r="DU49" i="29"/>
  <c r="DU41" i="29"/>
  <c r="DT42" i="29"/>
  <c r="DT100" i="29"/>
  <c r="DV85" i="29"/>
  <c r="DU86" i="29"/>
  <c r="DU40" i="29"/>
  <c r="DV39" i="29"/>
  <c r="DU118" i="29"/>
  <c r="DV117" i="29"/>
  <c r="DV113" i="29"/>
  <c r="DU114" i="29"/>
  <c r="DT104" i="29"/>
  <c r="DU103" i="29"/>
  <c r="DU66" i="29"/>
  <c r="DV65" i="29"/>
  <c r="DV107" i="29"/>
  <c r="DU108" i="29"/>
  <c r="DU109" i="29"/>
  <c r="DT110" i="29"/>
  <c r="DU63" i="29"/>
  <c r="DU64" i="29" s="1"/>
  <c r="DT80" i="29"/>
  <c r="DU79" i="29"/>
  <c r="DT120" i="29"/>
  <c r="DU119" i="29"/>
  <c r="DU89" i="29"/>
  <c r="DT90" i="29"/>
  <c r="DV70" i="29"/>
  <c r="DW69" i="29"/>
  <c r="DU37" i="29"/>
  <c r="DT38" i="29"/>
  <c r="DT34" i="29" s="1"/>
  <c r="DT52" i="29"/>
  <c r="DU51" i="29"/>
  <c r="DU105" i="29"/>
  <c r="DT106" i="29"/>
  <c r="DV81" i="29"/>
  <c r="DU82" i="29"/>
  <c r="DU87" i="29"/>
  <c r="DT88" i="29"/>
  <c r="DW91" i="29"/>
  <c r="DV92" i="29"/>
  <c r="DV111" i="29"/>
  <c r="DU112" i="29"/>
  <c r="DT116" i="29"/>
  <c r="DU115" i="29"/>
  <c r="DW36" i="29"/>
  <c r="DX35" i="29"/>
  <c r="DU93" i="29"/>
  <c r="DT94" i="29"/>
  <c r="EA149" i="29"/>
  <c r="DZ150" i="29"/>
  <c r="DT78" i="29"/>
  <c r="DU77" i="29"/>
  <c r="K38" i="30"/>
  <c r="K45" i="30"/>
  <c r="DU67" i="29"/>
  <c r="DT68" i="29"/>
  <c r="DU56" i="29"/>
  <c r="DV55" i="29"/>
  <c r="DT84" i="29"/>
  <c r="DU83" i="29"/>
  <c r="DU102" i="29"/>
  <c r="DV101" i="29"/>
  <c r="DR5" i="29"/>
  <c r="DQ4" i="29"/>
  <c r="DX138" i="29"/>
  <c r="DY137" i="29"/>
  <c r="DW136" i="29"/>
  <c r="DX135" i="29"/>
  <c r="DX140" i="29"/>
  <c r="DY139" i="29"/>
  <c r="DZ141" i="29"/>
  <c r="DY142" i="29"/>
  <c r="DY143" i="29"/>
  <c r="DX144" i="29"/>
  <c r="DW132" i="29"/>
  <c r="DX131" i="29"/>
  <c r="DW133" i="29"/>
  <c r="DV134" i="29"/>
  <c r="DV128" i="29"/>
  <c r="DW126" i="29" s="1"/>
  <c r="DW127" i="29"/>
  <c r="DX147" i="29"/>
  <c r="DW148" i="29"/>
  <c r="DX145" i="29"/>
  <c r="DW146" i="29"/>
  <c r="DX129" i="29"/>
  <c r="DW130" i="29"/>
  <c r="EA54" i="29" l="1"/>
  <c r="EB53" i="29"/>
  <c r="EA43" i="29"/>
  <c r="DZ44" i="29"/>
  <c r="EA71" i="29"/>
  <c r="DZ72" i="29"/>
  <c r="DZ58" i="29"/>
  <c r="EA57" i="29"/>
  <c r="DZ124" i="29"/>
  <c r="EA123" i="29"/>
  <c r="DV96" i="29"/>
  <c r="DV7" i="29" s="1"/>
  <c r="DW95" i="29"/>
  <c r="DT48" i="29"/>
  <c r="DT9" i="29" s="1"/>
  <c r="K32" i="30"/>
  <c r="K33" i="30" s="1"/>
  <c r="K35" i="30"/>
  <c r="DV8" i="29"/>
  <c r="DU122" i="29"/>
  <c r="DV121" i="29"/>
  <c r="DV49" i="29"/>
  <c r="DU50" i="29"/>
  <c r="DV41" i="29"/>
  <c r="DU42" i="29"/>
  <c r="DU100" i="29"/>
  <c r="DS5" i="29"/>
  <c r="DR4" i="29"/>
  <c r="DR3" i="29" s="1"/>
  <c r="DV67" i="29"/>
  <c r="DU68" i="29"/>
  <c r="DV93" i="29"/>
  <c r="DU94" i="29"/>
  <c r="DW70" i="29"/>
  <c r="DX69" i="29"/>
  <c r="DV63" i="29"/>
  <c r="DV64" i="29" s="1"/>
  <c r="DV102" i="29"/>
  <c r="DW101" i="29"/>
  <c r="K49" i="30"/>
  <c r="K48" i="30"/>
  <c r="K46" i="30"/>
  <c r="K47" i="30" s="1"/>
  <c r="DX36" i="29"/>
  <c r="DY35" i="29"/>
  <c r="DW111" i="29"/>
  <c r="DV112" i="29"/>
  <c r="DV105" i="29"/>
  <c r="DU106" i="29"/>
  <c r="DV103" i="29"/>
  <c r="DU104" i="29"/>
  <c r="K42" i="30"/>
  <c r="K39" i="30"/>
  <c r="K40" i="30" s="1"/>
  <c r="K41" i="30"/>
  <c r="DU52" i="29"/>
  <c r="DV51" i="29"/>
  <c r="DV83" i="29"/>
  <c r="DU84" i="29"/>
  <c r="DU78" i="29"/>
  <c r="DV77" i="29"/>
  <c r="DV115" i="29"/>
  <c r="DU116" i="29"/>
  <c r="DX91" i="29"/>
  <c r="DW92" i="29"/>
  <c r="DV89" i="29"/>
  <c r="DU90" i="29"/>
  <c r="DU120" i="29"/>
  <c r="DV119" i="29"/>
  <c r="DV109" i="29"/>
  <c r="DU110" i="29"/>
  <c r="DV114" i="29"/>
  <c r="DW113" i="29"/>
  <c r="DV40" i="29"/>
  <c r="DW39" i="29"/>
  <c r="DV56" i="29"/>
  <c r="DW55" i="29"/>
  <c r="DU88" i="29"/>
  <c r="DV87" i="29"/>
  <c r="EB149" i="29"/>
  <c r="EA150" i="29"/>
  <c r="DV79" i="29"/>
  <c r="DU80" i="29"/>
  <c r="DW107" i="29"/>
  <c r="DV108" i="29"/>
  <c r="DV82" i="29"/>
  <c r="DW81" i="29"/>
  <c r="DV37" i="29"/>
  <c r="DU38" i="29"/>
  <c r="DU34" i="29" s="1"/>
  <c r="DW65" i="29"/>
  <c r="DV66" i="29"/>
  <c r="DW117" i="29"/>
  <c r="DV118" i="29"/>
  <c r="DW85" i="29"/>
  <c r="DV86" i="29"/>
  <c r="DZ142" i="29"/>
  <c r="EA141" i="29"/>
  <c r="DY140" i="29"/>
  <c r="DZ139" i="29"/>
  <c r="DY129" i="29"/>
  <c r="DX130" i="29"/>
  <c r="DX133" i="29"/>
  <c r="DW134" i="29"/>
  <c r="DY131" i="29"/>
  <c r="DX132" i="29"/>
  <c r="DX136" i="29"/>
  <c r="DY135" i="29"/>
  <c r="DY145" i="29"/>
  <c r="DX146" i="29"/>
  <c r="DX127" i="29"/>
  <c r="DW128" i="29"/>
  <c r="DX126" i="29" s="1"/>
  <c r="DZ137" i="29"/>
  <c r="DY138" i="29"/>
  <c r="DX148" i="29"/>
  <c r="DY147" i="29"/>
  <c r="DZ143" i="29"/>
  <c r="DY144" i="29"/>
  <c r="EB54" i="29" l="1"/>
  <c r="EC53" i="29"/>
  <c r="EA58" i="29"/>
  <c r="EB57" i="29"/>
  <c r="EA124" i="29"/>
  <c r="EB123" i="29"/>
  <c r="EA72" i="29"/>
  <c r="EB71" i="29"/>
  <c r="EA44" i="29"/>
  <c r="EB43" i="29"/>
  <c r="DW96" i="29"/>
  <c r="DW7" i="29" s="1"/>
  <c r="DX95" i="29"/>
  <c r="DW121" i="29"/>
  <c r="DV122" i="29"/>
  <c r="DW8" i="29"/>
  <c r="DU48" i="29"/>
  <c r="DU9" i="29" s="1"/>
  <c r="DV50" i="29"/>
  <c r="DW49" i="29"/>
  <c r="DV42" i="29"/>
  <c r="DW41" i="29"/>
  <c r="DV100" i="29"/>
  <c r="DX117" i="29"/>
  <c r="DW118" i="29"/>
  <c r="DW40" i="29"/>
  <c r="DX39" i="29"/>
  <c r="DW108" i="29"/>
  <c r="DX107" i="29"/>
  <c r="DW89" i="29"/>
  <c r="DV90" i="29"/>
  <c r="DV84" i="29"/>
  <c r="DW83" i="29"/>
  <c r="DV104" i="29"/>
  <c r="DW103" i="29"/>
  <c r="DY69" i="29"/>
  <c r="DX70" i="29"/>
  <c r="DW66" i="29"/>
  <c r="DX65" i="29"/>
  <c r="DV88" i="29"/>
  <c r="DW87" i="29"/>
  <c r="DW114" i="29"/>
  <c r="DX113" i="29"/>
  <c r="DV52" i="29"/>
  <c r="DW51" i="29"/>
  <c r="DV94" i="29"/>
  <c r="DW93" i="29"/>
  <c r="DV80" i="29"/>
  <c r="DW79" i="29"/>
  <c r="DX92" i="29"/>
  <c r="DY91" i="29"/>
  <c r="DW105" i="29"/>
  <c r="DV106" i="29"/>
  <c r="DX101" i="29"/>
  <c r="DW102" i="29"/>
  <c r="DV38" i="29"/>
  <c r="DV34" i="29" s="1"/>
  <c r="DW37" i="29"/>
  <c r="DV68" i="29"/>
  <c r="DW67" i="29"/>
  <c r="DW82" i="29"/>
  <c r="DX81" i="29"/>
  <c r="EC149" i="29"/>
  <c r="EB150" i="29"/>
  <c r="DW109" i="29"/>
  <c r="DV110" i="29"/>
  <c r="DV116" i="29"/>
  <c r="DW115" i="29"/>
  <c r="DW112" i="29"/>
  <c r="DX111" i="29"/>
  <c r="DX85" i="29"/>
  <c r="DW86" i="29"/>
  <c r="DW56" i="29"/>
  <c r="DX55" i="29"/>
  <c r="DW119" i="29"/>
  <c r="DV120" i="29"/>
  <c r="DW77" i="29"/>
  <c r="DV78" i="29"/>
  <c r="DY36" i="29"/>
  <c r="DZ35" i="29"/>
  <c r="DW63" i="29"/>
  <c r="DW64" i="29" s="1"/>
  <c r="DT5" i="29"/>
  <c r="DS4" i="29"/>
  <c r="DY127" i="29"/>
  <c r="DX128" i="29"/>
  <c r="DY126" i="29" s="1"/>
  <c r="DY133" i="29"/>
  <c r="DX134" i="29"/>
  <c r="EA143" i="29"/>
  <c r="DZ144" i="29"/>
  <c r="DZ145" i="29"/>
  <c r="DY146" i="29"/>
  <c r="DZ129" i="29"/>
  <c r="DY130" i="29"/>
  <c r="DY148" i="29"/>
  <c r="DZ147" i="29"/>
  <c r="DY136" i="29"/>
  <c r="DZ135" i="29"/>
  <c r="EA139" i="29"/>
  <c r="DZ140" i="29"/>
  <c r="EB141" i="29"/>
  <c r="EA142" i="29"/>
  <c r="EA137" i="29"/>
  <c r="DZ138" i="29"/>
  <c r="DY132" i="29"/>
  <c r="DZ131" i="29"/>
  <c r="EC54" i="29" l="1"/>
  <c r="ED53" i="29"/>
  <c r="ED54" i="29" s="1"/>
  <c r="EC71" i="29"/>
  <c r="EB72" i="29"/>
  <c r="EB124" i="29"/>
  <c r="EC123" i="29"/>
  <c r="EB44" i="29"/>
  <c r="EC43" i="29"/>
  <c r="EB58" i="29"/>
  <c r="EC57" i="29"/>
  <c r="DX96" i="29"/>
  <c r="DX7" i="29" s="1"/>
  <c r="DY95" i="29"/>
  <c r="DV48" i="29"/>
  <c r="DV9" i="29" s="1"/>
  <c r="DX8" i="29"/>
  <c r="DX121" i="29"/>
  <c r="DW122" i="29"/>
  <c r="DX49" i="29"/>
  <c r="DW50" i="29"/>
  <c r="DW42" i="29"/>
  <c r="DX41" i="29"/>
  <c r="DW100" i="29"/>
  <c r="DZ91" i="29"/>
  <c r="DY92" i="29"/>
  <c r="DW52" i="29"/>
  <c r="DX51" i="29"/>
  <c r="DX86" i="29"/>
  <c r="DY85" i="29"/>
  <c r="ED149" i="29"/>
  <c r="ED150" i="29" s="1"/>
  <c r="EC150" i="29"/>
  <c r="DW38" i="29"/>
  <c r="DW34" i="29" s="1"/>
  <c r="DX37" i="29"/>
  <c r="DY70" i="29"/>
  <c r="DZ69" i="29"/>
  <c r="DW78" i="29"/>
  <c r="DX77" i="29"/>
  <c r="DX112" i="29"/>
  <c r="DY111" i="29"/>
  <c r="DY81" i="29"/>
  <c r="DX82" i="29"/>
  <c r="DX79" i="29"/>
  <c r="DW80" i="29"/>
  <c r="DX114" i="29"/>
  <c r="DY113" i="29"/>
  <c r="DX103" i="29"/>
  <c r="DW104" i="29"/>
  <c r="DX108" i="29"/>
  <c r="DY107" i="29"/>
  <c r="DU5" i="29"/>
  <c r="DT4" i="29"/>
  <c r="DW120" i="29"/>
  <c r="DX119" i="29"/>
  <c r="DX115" i="29"/>
  <c r="DW116" i="29"/>
  <c r="DX67" i="29"/>
  <c r="DW68" i="29"/>
  <c r="DX102" i="29"/>
  <c r="DY101" i="29"/>
  <c r="DW88" i="29"/>
  <c r="DX87" i="29"/>
  <c r="DW84" i="29"/>
  <c r="DX83" i="29"/>
  <c r="DX40" i="29"/>
  <c r="DY39" i="29"/>
  <c r="DY55" i="29"/>
  <c r="DX56" i="29"/>
  <c r="DX63" i="29"/>
  <c r="DX64" i="29" s="1"/>
  <c r="DW106" i="29"/>
  <c r="DX105" i="29"/>
  <c r="DX93" i="29"/>
  <c r="DW94" i="29"/>
  <c r="DY65" i="29"/>
  <c r="DX66" i="29"/>
  <c r="EA35" i="29"/>
  <c r="DZ36" i="29"/>
  <c r="DW110" i="29"/>
  <c r="DX109" i="29"/>
  <c r="DX89" i="29"/>
  <c r="DW90" i="29"/>
  <c r="DY117" i="29"/>
  <c r="DX118" i="29"/>
  <c r="EA140" i="29"/>
  <c r="EB139" i="29"/>
  <c r="EA145" i="29"/>
  <c r="DZ146" i="29"/>
  <c r="DZ132" i="29"/>
  <c r="EA131" i="29"/>
  <c r="DZ136" i="29"/>
  <c r="EA135" i="29"/>
  <c r="EA144" i="29"/>
  <c r="EB143" i="29"/>
  <c r="EA147" i="29"/>
  <c r="DZ148" i="29"/>
  <c r="EA138" i="29"/>
  <c r="EB137" i="29"/>
  <c r="DZ133" i="29"/>
  <c r="DY134" i="29"/>
  <c r="EC141" i="29"/>
  <c r="EB142" i="29"/>
  <c r="EA129" i="29"/>
  <c r="DZ130" i="29"/>
  <c r="DZ127" i="29"/>
  <c r="DY128" i="29"/>
  <c r="DZ126" i="29" s="1"/>
  <c r="EC58" i="29" l="1"/>
  <c r="ED57" i="29"/>
  <c r="ED58" i="29" s="1"/>
  <c r="EC44" i="29"/>
  <c r="ED43" i="29"/>
  <c r="ED44" i="29" s="1"/>
  <c r="ED123" i="29"/>
  <c r="ED124" i="29" s="1"/>
  <c r="EC124" i="29"/>
  <c r="EC72" i="29"/>
  <c r="ED71" i="29"/>
  <c r="ED72" i="29" s="1"/>
  <c r="DY96" i="29"/>
  <c r="DY7" i="29" s="1"/>
  <c r="DZ95" i="29"/>
  <c r="DW48" i="29"/>
  <c r="DW9" i="29" s="1"/>
  <c r="DX122" i="29"/>
  <c r="DY121" i="29"/>
  <c r="DY8" i="29"/>
  <c r="DY49" i="29"/>
  <c r="DX50" i="29"/>
  <c r="DY41" i="29"/>
  <c r="DX42" i="29"/>
  <c r="DX100" i="29"/>
  <c r="DY93" i="29"/>
  <c r="DX94" i="29"/>
  <c r="DZ55" i="29"/>
  <c r="DY56" i="29"/>
  <c r="DZ101" i="29"/>
  <c r="DY102" i="29"/>
  <c r="DZ85" i="29"/>
  <c r="DY86" i="29"/>
  <c r="DY109" i="29"/>
  <c r="DX110" i="29"/>
  <c r="DX106" i="29"/>
  <c r="DY105" i="29"/>
  <c r="DY40" i="29"/>
  <c r="DZ39" i="29"/>
  <c r="DV5" i="29"/>
  <c r="DU4" i="29"/>
  <c r="DU3" i="29" s="1"/>
  <c r="DZ70" i="29"/>
  <c r="EA69" i="29"/>
  <c r="DY79" i="29"/>
  <c r="DX80" i="29"/>
  <c r="DY83" i="29"/>
  <c r="DX84" i="29"/>
  <c r="DY67" i="29"/>
  <c r="DX68" i="29"/>
  <c r="DZ107" i="29"/>
  <c r="DY108" i="29"/>
  <c r="DY118" i="29"/>
  <c r="DZ117" i="29"/>
  <c r="EA36" i="29"/>
  <c r="EB35" i="29"/>
  <c r="DY63" i="29"/>
  <c r="DY64" i="29" s="1"/>
  <c r="DY82" i="29"/>
  <c r="DZ81" i="29"/>
  <c r="DX38" i="29"/>
  <c r="DX34" i="29" s="1"/>
  <c r="DY37" i="29"/>
  <c r="DY51" i="29"/>
  <c r="DX52" i="29"/>
  <c r="DY87" i="29"/>
  <c r="DX88" i="29"/>
  <c r="DX116" i="29"/>
  <c r="DY115" i="29"/>
  <c r="DZ111" i="29"/>
  <c r="DY112" i="29"/>
  <c r="DX90" i="29"/>
  <c r="DY89" i="29"/>
  <c r="DY66" i="29"/>
  <c r="DZ65" i="29"/>
  <c r="DX120" i="29"/>
  <c r="DY119" i="29"/>
  <c r="DX104" i="29"/>
  <c r="DY103" i="29"/>
  <c r="DY114" i="29"/>
  <c r="DZ113" i="29"/>
  <c r="DY77" i="29"/>
  <c r="DX78" i="29"/>
  <c r="EA91" i="29"/>
  <c r="DZ92" i="29"/>
  <c r="DZ134" i="29"/>
  <c r="EA133" i="29"/>
  <c r="EC137" i="29"/>
  <c r="EB138" i="29"/>
  <c r="EB131" i="29"/>
  <c r="EA132" i="29"/>
  <c r="EA127" i="29"/>
  <c r="DZ128" i="29"/>
  <c r="EA126" i="29" s="1"/>
  <c r="EA130" i="29"/>
  <c r="EB129" i="29"/>
  <c r="EB147" i="29"/>
  <c r="EA148" i="29"/>
  <c r="EA146" i="29"/>
  <c r="EB145" i="29"/>
  <c r="EA136" i="29"/>
  <c r="EB135" i="29"/>
  <c r="EC143" i="29"/>
  <c r="EB144" i="29"/>
  <c r="EC139" i="29"/>
  <c r="EB140" i="29"/>
  <c r="ED141" i="29"/>
  <c r="ED142" i="29" s="1"/>
  <c r="EC142" i="29"/>
  <c r="DZ96" i="29" l="1"/>
  <c r="DZ7" i="29" s="1"/>
  <c r="EA95" i="29"/>
  <c r="DX48" i="29"/>
  <c r="DX9" i="29" s="1"/>
  <c r="DZ8" i="29"/>
  <c r="DZ121" i="29"/>
  <c r="DY122" i="29"/>
  <c r="DY50" i="29"/>
  <c r="DZ49" i="29"/>
  <c r="DY42" i="29"/>
  <c r="DZ41" i="29"/>
  <c r="DY100" i="29"/>
  <c r="DZ119" i="29"/>
  <c r="DY120" i="29"/>
  <c r="DZ112" i="29"/>
  <c r="EA111" i="29"/>
  <c r="DY52" i="29"/>
  <c r="DZ51" i="29"/>
  <c r="DZ67" i="29"/>
  <c r="DY68" i="29"/>
  <c r="DW5" i="29"/>
  <c r="DV4" i="29"/>
  <c r="DZ89" i="29"/>
  <c r="DY90" i="29"/>
  <c r="DY78" i="29"/>
  <c r="DZ77" i="29"/>
  <c r="DZ115" i="29"/>
  <c r="DY116" i="29"/>
  <c r="DY38" i="29"/>
  <c r="DY34" i="29" s="1"/>
  <c r="DZ37" i="29"/>
  <c r="EA117" i="29"/>
  <c r="DZ118" i="29"/>
  <c r="EA85" i="29"/>
  <c r="DZ86" i="29"/>
  <c r="DZ114" i="29"/>
  <c r="EA113" i="29"/>
  <c r="DY84" i="29"/>
  <c r="DZ83" i="29"/>
  <c r="DZ40" i="29"/>
  <c r="EA39" i="29"/>
  <c r="EA65" i="29"/>
  <c r="DZ66" i="29"/>
  <c r="DZ82" i="29"/>
  <c r="EA81" i="29"/>
  <c r="EA101" i="29"/>
  <c r="DZ102" i="29"/>
  <c r="DZ63" i="29"/>
  <c r="DZ64" i="29" s="1"/>
  <c r="DZ87" i="29"/>
  <c r="DY88" i="29"/>
  <c r="DY80" i="29"/>
  <c r="DZ79" i="29"/>
  <c r="DY106" i="29"/>
  <c r="DZ105" i="29"/>
  <c r="EA70" i="29"/>
  <c r="EB69" i="29"/>
  <c r="DY104" i="29"/>
  <c r="DZ103" i="29"/>
  <c r="DZ108" i="29"/>
  <c r="EA107" i="29"/>
  <c r="EA55" i="29"/>
  <c r="DZ56" i="29"/>
  <c r="EA92" i="29"/>
  <c r="EB91" i="29"/>
  <c r="EC35" i="29"/>
  <c r="EB36" i="29"/>
  <c r="DY110" i="29"/>
  <c r="DZ109" i="29"/>
  <c r="DY94" i="29"/>
  <c r="DZ93" i="29"/>
  <c r="EB127" i="29"/>
  <c r="EA128" i="29"/>
  <c r="EB126" i="29" s="1"/>
  <c r="EB146" i="29"/>
  <c r="EC145" i="29"/>
  <c r="EB132" i="29"/>
  <c r="EC131" i="29"/>
  <c r="EC140" i="29"/>
  <c r="ED139" i="29"/>
  <c r="ED140" i="29" s="1"/>
  <c r="EC147" i="29"/>
  <c r="EB148" i="29"/>
  <c r="EC138" i="29"/>
  <c r="ED137" i="29"/>
  <c r="ED138" i="29" s="1"/>
  <c r="EC135" i="29"/>
  <c r="EB136" i="29"/>
  <c r="EC129" i="29"/>
  <c r="EB130" i="29"/>
  <c r="EB133" i="29"/>
  <c r="EA134" i="29"/>
  <c r="EC144" i="29"/>
  <c r="ED143" i="29"/>
  <c r="ED144" i="29" s="1"/>
  <c r="EA96" i="29" l="1"/>
  <c r="EA7" i="29" s="1"/>
  <c r="L12" i="30" s="1"/>
  <c r="EB95" i="29"/>
  <c r="DY48" i="29"/>
  <c r="DY9" i="29" s="1"/>
  <c r="DZ100" i="29"/>
  <c r="DZ122" i="29"/>
  <c r="EA121" i="29"/>
  <c r="EA8" i="29"/>
  <c r="L13" i="30" s="1"/>
  <c r="DZ50" i="29"/>
  <c r="EA49" i="29"/>
  <c r="DZ42" i="29"/>
  <c r="EA41" i="29"/>
  <c r="EB107" i="29"/>
  <c r="EA108" i="29"/>
  <c r="EA102" i="29"/>
  <c r="EB101" i="29"/>
  <c r="EB39" i="29"/>
  <c r="EA40" i="29"/>
  <c r="EB111" i="29"/>
  <c r="EA112" i="29"/>
  <c r="EA109" i="29"/>
  <c r="DZ110" i="29"/>
  <c r="DZ78" i="29"/>
  <c r="EA77" i="29"/>
  <c r="DZ106" i="29"/>
  <c r="EA105" i="29"/>
  <c r="EC36" i="29"/>
  <c r="ED35" i="29"/>
  <c r="ED36" i="29" s="1"/>
  <c r="DZ80" i="29"/>
  <c r="EA79" i="29"/>
  <c r="EA118" i="29"/>
  <c r="EB117" i="29"/>
  <c r="DZ90" i="29"/>
  <c r="EA89" i="29"/>
  <c r="EA63" i="29"/>
  <c r="EA64" i="29" s="1"/>
  <c r="EC91" i="29"/>
  <c r="EB92" i="29"/>
  <c r="DZ84" i="29"/>
  <c r="EA83" i="29"/>
  <c r="DZ38" i="29"/>
  <c r="DZ34" i="29" s="1"/>
  <c r="EA37" i="29"/>
  <c r="DZ104" i="29"/>
  <c r="EA103" i="29"/>
  <c r="EA82" i="29"/>
  <c r="EB81" i="29"/>
  <c r="DX5" i="29"/>
  <c r="DW4" i="29"/>
  <c r="DZ120" i="29"/>
  <c r="EA119" i="29"/>
  <c r="EA66" i="29"/>
  <c r="EA12" i="29" s="1"/>
  <c r="L23" i="30" s="1"/>
  <c r="EB65" i="29"/>
  <c r="EA86" i="29"/>
  <c r="EB85" i="29"/>
  <c r="DZ94" i="29"/>
  <c r="EA93" i="29"/>
  <c r="EA87" i="29"/>
  <c r="DZ88" i="29"/>
  <c r="EB113" i="29"/>
  <c r="EA114" i="29"/>
  <c r="EA22" i="29" s="1"/>
  <c r="EA51" i="29"/>
  <c r="DZ52" i="29"/>
  <c r="EA56" i="29"/>
  <c r="EB55" i="29"/>
  <c r="EC69" i="29"/>
  <c r="EB70" i="29"/>
  <c r="EA115" i="29"/>
  <c r="DZ116" i="29"/>
  <c r="EA67" i="29"/>
  <c r="DZ68" i="29"/>
  <c r="EC132" i="29"/>
  <c r="ED131" i="29"/>
  <c r="ED132" i="29" s="1"/>
  <c r="ED135" i="29"/>
  <c r="ED136" i="29" s="1"/>
  <c r="EC136" i="29"/>
  <c r="ED145" i="29"/>
  <c r="ED146" i="29" s="1"/>
  <c r="EC146" i="29"/>
  <c r="ED129" i="29"/>
  <c r="ED130" i="29" s="1"/>
  <c r="EC130" i="29"/>
  <c r="EC133" i="29"/>
  <c r="EB134" i="29"/>
  <c r="ED147" i="29"/>
  <c r="ED148" i="29" s="1"/>
  <c r="EC148" i="29"/>
  <c r="EC127" i="29"/>
  <c r="EB128" i="29"/>
  <c r="EC126" i="29" s="1"/>
  <c r="L11" i="30" l="1"/>
  <c r="EB96" i="29"/>
  <c r="EB7" i="29" s="1"/>
  <c r="EC95" i="29"/>
  <c r="DZ48" i="29"/>
  <c r="DZ9" i="29" s="1"/>
  <c r="EB8" i="29"/>
  <c r="EB121" i="29"/>
  <c r="EA122" i="29"/>
  <c r="EB49" i="29"/>
  <c r="EA50" i="29"/>
  <c r="EB41" i="29"/>
  <c r="EA42" i="29"/>
  <c r="EA100" i="29"/>
  <c r="EA14" i="29" s="1"/>
  <c r="L16" i="30" s="1"/>
  <c r="EA120" i="29"/>
  <c r="EB119" i="29"/>
  <c r="EB37" i="29"/>
  <c r="EA38" i="29"/>
  <c r="EA34" i="29" s="1"/>
  <c r="EB63" i="29"/>
  <c r="EB64" i="29" s="1"/>
  <c r="EA11" i="29"/>
  <c r="L22" i="30" s="1"/>
  <c r="EA52" i="29"/>
  <c r="EB51" i="29"/>
  <c r="EA88" i="29"/>
  <c r="EB87" i="29"/>
  <c r="EC111" i="29"/>
  <c r="EB112" i="29"/>
  <c r="EA116" i="29"/>
  <c r="EB115" i="29"/>
  <c r="EA94" i="29"/>
  <c r="EB93" i="29"/>
  <c r="EA84" i="29"/>
  <c r="EB83" i="29"/>
  <c r="EA90" i="29"/>
  <c r="EB89" i="29"/>
  <c r="EA106" i="29"/>
  <c r="EB105" i="29"/>
  <c r="DY5" i="29"/>
  <c r="DX4" i="29"/>
  <c r="DX3" i="29" s="1"/>
  <c r="EC39" i="29"/>
  <c r="EB40" i="29"/>
  <c r="EC70" i="29"/>
  <c r="ED69" i="29"/>
  <c r="ED70" i="29" s="1"/>
  <c r="EB86" i="29"/>
  <c r="EC85" i="29"/>
  <c r="EC81" i="29"/>
  <c r="EB82" i="29"/>
  <c r="EC117" i="29"/>
  <c r="EB118" i="29"/>
  <c r="EA78" i="29"/>
  <c r="EB77" i="29"/>
  <c r="EB102" i="29"/>
  <c r="EC101" i="29"/>
  <c r="EB56" i="29"/>
  <c r="EC55" i="29"/>
  <c r="EC65" i="29"/>
  <c r="EB66" i="29"/>
  <c r="EB103" i="29"/>
  <c r="EA104" i="29"/>
  <c r="EB79" i="29"/>
  <c r="EA80" i="29"/>
  <c r="EB67" i="29"/>
  <c r="EA68" i="29"/>
  <c r="EC113" i="29"/>
  <c r="EB114" i="29"/>
  <c r="EC92" i="29"/>
  <c r="ED91" i="29"/>
  <c r="ED92" i="29" s="1"/>
  <c r="EA110" i="29"/>
  <c r="EB109" i="29"/>
  <c r="EC107" i="29"/>
  <c r="EB108" i="29"/>
  <c r="ED127" i="29"/>
  <c r="ED128" i="29" s="1"/>
  <c r="EC128" i="29"/>
  <c r="ED126" i="29" s="1"/>
  <c r="ED133" i="29"/>
  <c r="ED134" i="29" s="1"/>
  <c r="EC134" i="29"/>
  <c r="EC96" i="29" l="1"/>
  <c r="EC7" i="29" s="1"/>
  <c r="ED95" i="29"/>
  <c r="ED96" i="29" s="1"/>
  <c r="ED7" i="29" s="1"/>
  <c r="EA48" i="29"/>
  <c r="EA9" i="29" s="1"/>
  <c r="EB122" i="29"/>
  <c r="EC121" i="29"/>
  <c r="EC8" i="29"/>
  <c r="ED8" i="29"/>
  <c r="EC49" i="29"/>
  <c r="EB50" i="29"/>
  <c r="EC41" i="29"/>
  <c r="EB42" i="29"/>
  <c r="EB100" i="29"/>
  <c r="EA15" i="29"/>
  <c r="L24" i="30" s="1"/>
  <c r="EB116" i="29"/>
  <c r="EC115" i="29"/>
  <c r="EC63" i="29"/>
  <c r="EC64" i="29" s="1"/>
  <c r="ED117" i="29"/>
  <c r="ED118" i="29" s="1"/>
  <c r="EC118" i="29"/>
  <c r="EC89" i="29"/>
  <c r="EB90" i="29"/>
  <c r="EC109" i="29"/>
  <c r="EB110" i="29"/>
  <c r="EC56" i="29"/>
  <c r="ED55" i="29"/>
  <c r="ED56" i="29" s="1"/>
  <c r="ED111" i="29"/>
  <c r="ED112" i="29" s="1"/>
  <c r="EC112" i="29"/>
  <c r="EB38" i="29"/>
  <c r="EB34" i="29" s="1"/>
  <c r="EC37" i="29"/>
  <c r="EB68" i="29"/>
  <c r="EC67" i="29"/>
  <c r="EB80" i="29"/>
  <c r="EC79" i="29"/>
  <c r="EB84" i="29"/>
  <c r="EC83" i="29"/>
  <c r="EC87" i="29"/>
  <c r="EB88" i="29"/>
  <c r="EB120" i="29"/>
  <c r="EC119" i="29"/>
  <c r="EB106" i="29"/>
  <c r="EC105" i="29"/>
  <c r="EC108" i="29"/>
  <c r="ED107" i="29"/>
  <c r="ED108" i="29" s="1"/>
  <c r="EC102" i="29"/>
  <c r="ED101" i="29"/>
  <c r="ED102" i="29" s="1"/>
  <c r="ED39" i="29"/>
  <c r="ED40" i="29" s="1"/>
  <c r="EC40" i="29"/>
  <c r="EC66" i="29"/>
  <c r="ED65" i="29"/>
  <c r="ED66" i="29" s="1"/>
  <c r="EB104" i="29"/>
  <c r="EC103" i="29"/>
  <c r="ED81" i="29"/>
  <c r="ED82" i="29" s="1"/>
  <c r="EC82" i="29"/>
  <c r="EC93" i="29"/>
  <c r="EB94" i="29"/>
  <c r="EC51" i="29"/>
  <c r="EB52" i="29"/>
  <c r="ED113" i="29"/>
  <c r="ED114" i="29" s="1"/>
  <c r="EC114" i="29"/>
  <c r="EB78" i="29"/>
  <c r="EC77" i="29"/>
  <c r="ED85" i="29"/>
  <c r="ED86" i="29" s="1"/>
  <c r="EC86" i="29"/>
  <c r="DZ5" i="29"/>
  <c r="DY4" i="29"/>
  <c r="EC100" i="29" l="1"/>
  <c r="ED121" i="29"/>
  <c r="ED122" i="29" s="1"/>
  <c r="EC122" i="29"/>
  <c r="EB48" i="29"/>
  <c r="EB9" i="29" s="1"/>
  <c r="EC50" i="29"/>
  <c r="ED49" i="29"/>
  <c r="ED50" i="29" s="1"/>
  <c r="ED41" i="29"/>
  <c r="ED42" i="29" s="1"/>
  <c r="EC42" i="29"/>
  <c r="EC38" i="29"/>
  <c r="EC34" i="29" s="1"/>
  <c r="ED37" i="29"/>
  <c r="ED38" i="29" s="1"/>
  <c r="ED34" i="29" s="1"/>
  <c r="ED87" i="29"/>
  <c r="ED88" i="29" s="1"/>
  <c r="EC88" i="29"/>
  <c r="ED89" i="29"/>
  <c r="ED90" i="29" s="1"/>
  <c r="EC90" i="29"/>
  <c r="L15" i="30"/>
  <c r="L14" i="30" s="1"/>
  <c r="EA26" i="29"/>
  <c r="EA10" i="29"/>
  <c r="EC104" i="29"/>
  <c r="ED103" i="29"/>
  <c r="ED104" i="29" s="1"/>
  <c r="EC84" i="29"/>
  <c r="ED83" i="29"/>
  <c r="ED84" i="29" s="1"/>
  <c r="EA5" i="29"/>
  <c r="DZ4" i="29"/>
  <c r="EC52" i="29"/>
  <c r="ED51" i="29"/>
  <c r="ED52" i="29" s="1"/>
  <c r="EC106" i="29"/>
  <c r="ED105" i="29"/>
  <c r="ED106" i="29" s="1"/>
  <c r="ED79" i="29"/>
  <c r="ED80" i="29" s="1"/>
  <c r="EC80" i="29"/>
  <c r="ED63" i="29"/>
  <c r="ED64" i="29" s="1"/>
  <c r="EC94" i="29"/>
  <c r="ED93" i="29"/>
  <c r="ED94" i="29" s="1"/>
  <c r="EC120" i="29"/>
  <c r="ED119" i="29"/>
  <c r="ED120" i="29" s="1"/>
  <c r="EC68" i="29"/>
  <c r="ED67" i="29"/>
  <c r="ED68" i="29" s="1"/>
  <c r="EC116" i="29"/>
  <c r="ED115" i="29"/>
  <c r="ED116" i="29" s="1"/>
  <c r="ED77" i="29"/>
  <c r="ED78" i="29" s="1"/>
  <c r="EC78" i="29"/>
  <c r="EC110" i="29"/>
  <c r="ED109" i="29"/>
  <c r="ED110" i="29" s="1"/>
  <c r="EC48" i="29" l="1"/>
  <c r="EC9" i="29" s="1"/>
  <c r="ED48" i="29"/>
  <c r="ED9" i="29" s="1"/>
  <c r="ED100" i="29"/>
  <c r="L10" i="30"/>
  <c r="EB5" i="29"/>
  <c r="EA4" i="29"/>
  <c r="EA3" i="29" s="1"/>
  <c r="L21" i="30"/>
  <c r="EA13" i="29"/>
  <c r="L19" i="30"/>
  <c r="EC5" i="29" l="1"/>
  <c r="EB4" i="29"/>
  <c r="L20" i="30"/>
  <c r="EA27" i="29"/>
  <c r="L30" i="30"/>
  <c r="L44" i="30"/>
  <c r="L37" i="30"/>
  <c r="L18" i="30" l="1"/>
  <c r="EA28" i="29"/>
  <c r="L17" i="30" s="1"/>
  <c r="L31" i="30" s="1"/>
  <c r="ED5" i="29"/>
  <c r="ED4" i="29" s="1"/>
  <c r="EC4" i="29"/>
  <c r="L35" i="30" l="1"/>
  <c r="L32" i="30"/>
  <c r="L33" i="30" s="1"/>
  <c r="L34" i="30"/>
  <c r="L38" i="30"/>
  <c r="L45" i="30"/>
  <c r="L42" i="30" l="1"/>
  <c r="L39" i="30"/>
  <c r="L40" i="30" s="1"/>
  <c r="L41" i="30"/>
  <c r="L49" i="30"/>
  <c r="L46" i="30"/>
  <c r="L47" i="30" s="1"/>
  <c r="L48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Rowson</author>
  </authors>
  <commentList>
    <comment ref="AG2" authorId="0" shapeId="0" xr:uid="{12931C83-D379-4BDE-9D6C-C955EC1DDE38}">
      <text>
        <r>
          <rPr>
            <b/>
            <sz val="9"/>
            <color indexed="81"/>
            <rFont val="Tahoma"/>
            <family val="2"/>
          </rPr>
          <t>Andrew Rowson:</t>
        </r>
        <r>
          <rPr>
            <sz val="9"/>
            <color indexed="81"/>
            <rFont val="Tahoma"/>
            <family val="2"/>
          </rPr>
          <t xml:space="preserve">
Avaliable Capacity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Rowson</author>
  </authors>
  <commentList>
    <comment ref="M2" authorId="0" shapeId="0" xr:uid="{2AAE503B-6CE7-4A2D-B669-7F34C6BF3277}">
      <text>
        <r>
          <rPr>
            <b/>
            <sz val="9"/>
            <color indexed="81"/>
            <rFont val="Tahoma"/>
            <family val="2"/>
          </rPr>
          <t>Andrew Rowson:</t>
        </r>
        <r>
          <rPr>
            <sz val="9"/>
            <color indexed="81"/>
            <rFont val="Tahoma"/>
            <family val="2"/>
          </rPr>
          <t xml:space="preserve">
Take the highest value of the two</t>
        </r>
      </text>
    </comment>
    <comment ref="D55" authorId="0" shapeId="0" xr:uid="{078E0626-C82F-411D-BBA4-D83931353357}">
      <text>
        <r>
          <rPr>
            <b/>
            <sz val="9"/>
            <color indexed="81"/>
            <rFont val="Tahoma"/>
            <family val="2"/>
          </rPr>
          <t>Andrew Rowson:</t>
        </r>
        <r>
          <rPr>
            <sz val="9"/>
            <color indexed="81"/>
            <rFont val="Tahoma"/>
            <family val="2"/>
          </rPr>
          <t xml:space="preserve">
1 shift only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Rowson</author>
  </authors>
  <commentList>
    <comment ref="B2" authorId="0" shapeId="0" xr:uid="{6DB6AE3C-E735-4987-BDC7-3501104B7465}">
      <text>
        <r>
          <rPr>
            <b/>
            <sz val="9"/>
            <color indexed="81"/>
            <rFont val="Tahoma"/>
            <family val="2"/>
          </rPr>
          <t>Andrew Rowson:</t>
        </r>
        <r>
          <rPr>
            <sz val="9"/>
            <color indexed="81"/>
            <rFont val="Tahoma"/>
            <family val="2"/>
          </rPr>
          <t xml:space="preserve">
3 lines x 2 shifts = 211.5 at 94% Eff
Requirements (avg per wk) / 211.5 = % True loading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Rowson</author>
  </authors>
  <commentList>
    <comment ref="B47" authorId="0" shapeId="0" xr:uid="{0AA69E61-D3C1-4924-89D2-D8FF5C21C764}">
      <text>
        <r>
          <rPr>
            <b/>
            <sz val="9"/>
            <color indexed="81"/>
            <rFont val="Tahoma"/>
            <family val="2"/>
          </rPr>
          <t>Andrew Rowson:</t>
        </r>
        <r>
          <rPr>
            <sz val="9"/>
            <color indexed="81"/>
            <rFont val="Tahoma"/>
            <family val="2"/>
          </rPr>
          <t xml:space="preserve">
Based on 2 shifts</t>
        </r>
      </text>
    </comment>
    <comment ref="D47" authorId="0" shapeId="0" xr:uid="{7205883D-64F1-4DCF-87B8-2696C8B03946}">
      <text>
        <r>
          <rPr>
            <b/>
            <sz val="9"/>
            <color indexed="81"/>
            <rFont val="Tahoma"/>
            <family val="2"/>
          </rPr>
          <t>Andrew Rowson:</t>
        </r>
        <r>
          <rPr>
            <sz val="9"/>
            <color indexed="81"/>
            <rFont val="Tahoma"/>
            <family val="2"/>
          </rPr>
          <t xml:space="preserve">
Based on 2 shifts</t>
        </r>
      </text>
    </comment>
    <comment ref="A51" authorId="0" shapeId="0" xr:uid="{0B756EA5-BF7B-489B-967E-53895F180540}">
      <text>
        <r>
          <rPr>
            <b/>
            <sz val="9"/>
            <color indexed="81"/>
            <rFont val="Tahoma"/>
            <family val="2"/>
          </rPr>
          <t>Andrew Rowson:</t>
        </r>
        <r>
          <rPr>
            <sz val="9"/>
            <color indexed="81"/>
            <rFont val="Tahoma"/>
            <family val="2"/>
          </rPr>
          <t xml:space="preserve">
Went to 2 shifts for the whole area
</t>
        </r>
      </text>
    </comment>
  </commentList>
</comments>
</file>

<file path=xl/sharedStrings.xml><?xml version="1.0" encoding="utf-8"?>
<sst xmlns="http://schemas.openxmlformats.org/spreadsheetml/2006/main" count="1565" uniqueCount="318">
  <si>
    <t xml:space="preserve">Growth Prediction </t>
  </si>
  <si>
    <t>Executive Summary of Growth Prediction</t>
  </si>
  <si>
    <t xml:space="preserve">Team Utilisation </t>
  </si>
  <si>
    <t>Team Numbers</t>
  </si>
  <si>
    <t>Units Made 1</t>
  </si>
  <si>
    <t>Units Made 2</t>
  </si>
  <si>
    <t>eShepherd Analysis</t>
  </si>
  <si>
    <t>Data Lake</t>
  </si>
  <si>
    <t>+/- 10%</t>
  </si>
  <si>
    <t>+/- 10% to 30%</t>
  </si>
  <si>
    <t>+/- 30% to 900%</t>
  </si>
  <si>
    <t xml:space="preserve">Loadings </t>
  </si>
  <si>
    <t>Accuracy</t>
  </si>
  <si>
    <t>Loadings</t>
  </si>
  <si>
    <t>WC</t>
  </si>
  <si>
    <t>Security Labour Pool</t>
  </si>
  <si>
    <t>Period</t>
  </si>
  <si>
    <t>1st</t>
  </si>
  <si>
    <t>2nd</t>
  </si>
  <si>
    <t>3rd</t>
  </si>
  <si>
    <t>1st and 2nd</t>
  </si>
  <si>
    <t>1st and 3rd</t>
  </si>
  <si>
    <t>Date</t>
  </si>
  <si>
    <t>13 wks</t>
  </si>
  <si>
    <t>14 - 26 Wks</t>
  </si>
  <si>
    <t>27 - 52 Wks</t>
  </si>
  <si>
    <t>3 mnths out</t>
  </si>
  <si>
    <t>6 mnths out</t>
  </si>
  <si>
    <t>-</t>
  </si>
  <si>
    <t>AM Labour Pool</t>
  </si>
  <si>
    <t>PCB Labour Pool (Ex. SMT)</t>
  </si>
  <si>
    <t>XFMR Labour Pool</t>
  </si>
  <si>
    <t>NZ SOH against 1 hr scheduled 13 wks</t>
  </si>
  <si>
    <t>For every Rev $ how much NZ SOH</t>
  </si>
  <si>
    <t>SOH - Rev</t>
  </si>
  <si>
    <t>Rev/NZ SOH</t>
  </si>
  <si>
    <t>3 month Rev against forcast single Hr</t>
  </si>
  <si>
    <t>3 mnth rev avg</t>
  </si>
  <si>
    <t>Monthly Revenue/ Forecasted hours</t>
  </si>
  <si>
    <t>Elec FG</t>
  </si>
  <si>
    <t>% of Elec FG against Rev</t>
  </si>
  <si>
    <t>Total SOH World</t>
  </si>
  <si>
    <t>World Movement</t>
  </si>
  <si>
    <t>World SOH against 1 hr scheduled 13 wks</t>
  </si>
  <si>
    <t>For every Rev $ how much World SOH</t>
  </si>
  <si>
    <t>Rev/World SOH</t>
  </si>
  <si>
    <t>ELEC Labour Pool (Ex. SMT)</t>
  </si>
  <si>
    <t>Total SOH NZ</t>
  </si>
  <si>
    <t>NZ Movement?</t>
  </si>
  <si>
    <t>Hours Reduction on Previous Month</t>
  </si>
  <si>
    <t>Revenue</t>
  </si>
  <si>
    <t>732A</t>
  </si>
  <si>
    <t>736A</t>
  </si>
  <si>
    <t>736B</t>
  </si>
  <si>
    <t>S&amp;B</t>
  </si>
  <si>
    <t>731A</t>
  </si>
  <si>
    <t>731B</t>
  </si>
  <si>
    <t>738A</t>
  </si>
  <si>
    <t>738B</t>
  </si>
  <si>
    <t>730A/B</t>
  </si>
  <si>
    <t>AM Labour Pool % 210</t>
  </si>
  <si>
    <t>AM Labour Pool Hrs 210</t>
  </si>
  <si>
    <t>Staff Level</t>
  </si>
  <si>
    <t>730 Avg % of all 2 Day Benches</t>
  </si>
  <si>
    <t>Avg of 736, 731, 738</t>
  </si>
  <si>
    <t>733A</t>
  </si>
  <si>
    <t>733B</t>
  </si>
  <si>
    <t>734A</t>
  </si>
  <si>
    <t>734B</t>
  </si>
  <si>
    <t>735A</t>
  </si>
  <si>
    <t>735B</t>
  </si>
  <si>
    <t>737A</t>
  </si>
  <si>
    <t>737B</t>
  </si>
  <si>
    <t>AM Lab - 210 AvailCap Hrs Driect Team</t>
  </si>
  <si>
    <t>AM Lab - 210 AvailCap Hrs Driect Team +T/L</t>
  </si>
  <si>
    <t>13 Wks</t>
  </si>
  <si>
    <t>14 Wks</t>
  </si>
  <si>
    <t>28 - 52 Wks</t>
  </si>
  <si>
    <t>14 - 26 Wks +20%</t>
  </si>
  <si>
    <t>3 Yr Projection Growth 1</t>
  </si>
  <si>
    <t>3 Yr Projection Growth 2</t>
  </si>
  <si>
    <t>3 Yr Projection Growth 3</t>
  </si>
  <si>
    <t>Ideal Capacity</t>
  </si>
  <si>
    <t>Ideal Target</t>
  </si>
  <si>
    <t>982A</t>
  </si>
  <si>
    <t>982B</t>
  </si>
  <si>
    <t>Non T-Series</t>
  </si>
  <si>
    <t>988A/B</t>
  </si>
  <si>
    <t>985A/B</t>
  </si>
  <si>
    <t>SEC Lab - 210 CAPLOAD</t>
  </si>
  <si>
    <t>SEC Lab - 210 AvailCap Hrs</t>
  </si>
  <si>
    <t>Avg % of all benches excl 986</t>
  </si>
  <si>
    <t>Avg % of 982, 983, 984</t>
  </si>
  <si>
    <t>Avg % of 985, 987, 988</t>
  </si>
  <si>
    <t>All benchs excl 980/986</t>
  </si>
  <si>
    <t>SEC Labour Pool - 212</t>
  </si>
  <si>
    <t>SEC Labour Pool - 213</t>
  </si>
  <si>
    <t>SEC Labour Pool - 214</t>
  </si>
  <si>
    <t>SEC Labour Pool - 215</t>
  </si>
  <si>
    <t>SEC Labour Pool - 216</t>
  </si>
  <si>
    <t>SEC Lab - 210 AvailCap Hrs Direct Team</t>
  </si>
  <si>
    <t>SEC Lab - 210 AvailCap Hrs Direct + T/L</t>
  </si>
  <si>
    <t xml:space="preserve">14 - 26 Wks </t>
  </si>
  <si>
    <t xml:space="preserve">Ideal Capacity </t>
  </si>
  <si>
    <t>SMT - 110</t>
  </si>
  <si>
    <t>405/Test Towers</t>
  </si>
  <si>
    <t>308/RPS</t>
  </si>
  <si>
    <t>431/PVA</t>
  </si>
  <si>
    <t>PCB Labour Pool % 210</t>
  </si>
  <si>
    <t>PCB Labour Pool Hrs 210</t>
  </si>
  <si>
    <t>440 Staff Level</t>
  </si>
  <si>
    <t>SMT Staff Level</t>
  </si>
  <si>
    <t xml:space="preserve">Avg % of all </t>
  </si>
  <si>
    <t>SMT</t>
  </si>
  <si>
    <t>PCB Labour Pool</t>
  </si>
  <si>
    <t>AM Lab - 210 AvailCap Hrs Direct</t>
  </si>
  <si>
    <t>AM Lab - 210 AvailCap Hrs Direct +T/L</t>
  </si>
  <si>
    <t>607 - Sipro</t>
  </si>
  <si>
    <t>625 - B0051</t>
  </si>
  <si>
    <t>645 - Bench</t>
  </si>
  <si>
    <t>650 - Pouring</t>
  </si>
  <si>
    <t>660 - HV Tester</t>
  </si>
  <si>
    <t>Pooled Labour % 210</t>
  </si>
  <si>
    <t xml:space="preserve">Pooled Labour Hrs 210 </t>
  </si>
  <si>
    <t>605/607 - Aumann</t>
  </si>
  <si>
    <t>Pooled Labour %</t>
  </si>
  <si>
    <t>Pooled Labour Hrs</t>
  </si>
  <si>
    <t>XFMR Lab - 210 AvailCap Hrs Direct Team</t>
  </si>
  <si>
    <t>XFMR Lab - 210 AvailCap Hrs Direct + T/L</t>
  </si>
  <si>
    <t>27 - 52</t>
  </si>
  <si>
    <t>27 -52</t>
  </si>
  <si>
    <t>Assy01</t>
  </si>
  <si>
    <t>Assy02A</t>
  </si>
  <si>
    <t>Assy02B</t>
  </si>
  <si>
    <t>Assy03</t>
  </si>
  <si>
    <t>Assy04</t>
  </si>
  <si>
    <t>Assy05</t>
  </si>
  <si>
    <t>Assy06</t>
  </si>
  <si>
    <t>Assy09</t>
  </si>
  <si>
    <t>Assy10</t>
  </si>
  <si>
    <t>Assy12</t>
  </si>
  <si>
    <t>Assy13</t>
  </si>
  <si>
    <t>Assy01 Lab - 220 CAPLOAD</t>
  </si>
  <si>
    <t>Assy01 Lab - 220 AvailCap Hrs</t>
  </si>
  <si>
    <t>AM Stretch</t>
  </si>
  <si>
    <t>&lt;-- Enter in Figures</t>
  </si>
  <si>
    <t>- 3 Year projections are based off the average loading for the last 6 months with the relevant % added</t>
  </si>
  <si>
    <t>SEC Stretch</t>
  </si>
  <si>
    <t>- Average for the last 6 months is the combined average for 1st 13 Week period</t>
  </si>
  <si>
    <t>Group Stretch</t>
  </si>
  <si>
    <t>SECURITY</t>
  </si>
  <si>
    <t>No. of Benches</t>
  </si>
  <si>
    <t>Loading %</t>
  </si>
  <si>
    <t>Benches Required</t>
  </si>
  <si>
    <t>Direct Team</t>
  </si>
  <si>
    <t>With T/L's</t>
  </si>
  <si>
    <t>2nd 13 Wk</t>
  </si>
  <si>
    <t>Next 13 Wks</t>
  </si>
  <si>
    <t>2nd 13 Wk Period</t>
  </si>
  <si>
    <t>Max Directs for Area</t>
  </si>
  <si>
    <t>ANIMAL MANAGEMENT</t>
  </si>
  <si>
    <t>Loading</t>
  </si>
  <si>
    <t>PCB</t>
  </si>
  <si>
    <t>No. of Machines</t>
  </si>
  <si>
    <t>Equipment Required</t>
  </si>
  <si>
    <t>?</t>
  </si>
  <si>
    <t>SMT - against current capacity of 133.5 hours per week - 93%</t>
  </si>
  <si>
    <t>Drop on RPS lines due to 4th line installed and therefore we now have an increase in avaliable capacity. A 2nd PVA line will be needed shortly due to expect 10% growth with solars and new small solar to be released.</t>
  </si>
  <si>
    <t>TRANSFORMERS</t>
  </si>
  <si>
    <t>Area operating as a single shift</t>
  </si>
  <si>
    <t>102% loaded with labour.</t>
  </si>
  <si>
    <t>First year reduction</t>
  </si>
  <si>
    <t>Current Loading 1 - 13 weeks</t>
  </si>
  <si>
    <t>14 - 26 Weeks</t>
  </si>
  <si>
    <t xml:space="preserve"> 27 - 52 Weeks</t>
  </si>
  <si>
    <t>1 - 52 Weeks</t>
  </si>
  <si>
    <t>Difference Btwn 1- 13 and 27 - 52 Wks</t>
  </si>
  <si>
    <t>Max People Per Shift</t>
  </si>
  <si>
    <t>Number of Shifts</t>
  </si>
  <si>
    <t>Avg Hours for Lab 13 Weeks</t>
  </si>
  <si>
    <t>Qty of Lines/Equipment</t>
  </si>
  <si>
    <t>Current Loadings looking at next 13 Weeks</t>
  </si>
  <si>
    <t>Operating 1 Shift - Under 90% Capacity</t>
  </si>
  <si>
    <t>Every year after reduction</t>
  </si>
  <si>
    <t>Operating 2 Shifts - Under 80% Capacity</t>
  </si>
  <si>
    <t>Exceeding 80% Capacity Across 2 Shifts</t>
  </si>
  <si>
    <t>Total Elec Team Members (FA &amp; PCB)</t>
  </si>
  <si>
    <t>Total HW Team Members (Ex LC)</t>
  </si>
  <si>
    <t>Total No. of Elec FA Benches</t>
  </si>
  <si>
    <t>Sq M Required for FA Benches</t>
  </si>
  <si>
    <t>Sq M Required for SMT</t>
  </si>
  <si>
    <t>Sq M Required for RPS &amp; PVA</t>
  </si>
  <si>
    <t>Total SqM Req for FA &amp; Modules</t>
  </si>
  <si>
    <t>Total No. of HW Benches</t>
  </si>
  <si>
    <t>Sq M Required for HW Benches</t>
  </si>
  <si>
    <t>SqM T-Series Pouring</t>
  </si>
  <si>
    <t>Sq M Type 1 Cabinet room</t>
  </si>
  <si>
    <t>Sq M for Secure Type 1 room</t>
  </si>
  <si>
    <t>Sq M for Soak Rooms</t>
  </si>
  <si>
    <t>Sq M for Loadcells</t>
  </si>
  <si>
    <t>Sq M Loadbars</t>
  </si>
  <si>
    <t>Sq M Printroom</t>
  </si>
  <si>
    <t>Sq M for PE and Techs</t>
  </si>
  <si>
    <t>Sq M Required for Transformers</t>
  </si>
  <si>
    <t>Current Sq M Required for EFA/EL/RMP Stores</t>
  </si>
  <si>
    <t>Sq M Req for EFA/EL/RMP based off FA Lines</t>
  </si>
  <si>
    <t>Total SqM Req for HW, LC, FA, PCB &amp; PE</t>
  </si>
  <si>
    <t>Overall SqM Req Factory and Stores</t>
  </si>
  <si>
    <t>AM Revenue</t>
  </si>
  <si>
    <t>SEC Revenue</t>
  </si>
  <si>
    <t>Group Revenue</t>
  </si>
  <si>
    <t>AM StretchGrowth</t>
  </si>
  <si>
    <t>Using 1 - 13, 14 - 26, 27 - 52 Week Capacities</t>
  </si>
  <si>
    <t>Security</t>
  </si>
  <si>
    <t>No. of Assembly Benches</t>
  </si>
  <si>
    <t>Year 1</t>
  </si>
  <si>
    <t>Pouring Room</t>
  </si>
  <si>
    <t>Year 2</t>
  </si>
  <si>
    <t>Year 3</t>
  </si>
  <si>
    <t>T- Series Benches</t>
  </si>
  <si>
    <t>Year 4</t>
  </si>
  <si>
    <t>Year 5</t>
  </si>
  <si>
    <t>Assembly Benches (Ex T-Series)</t>
  </si>
  <si>
    <t>Year 6</t>
  </si>
  <si>
    <t>Year 7</t>
  </si>
  <si>
    <t>Type 1 Cabinets</t>
  </si>
  <si>
    <t>Year 8</t>
  </si>
  <si>
    <t>Year 9</t>
  </si>
  <si>
    <t>Recommended Team Size</t>
  </si>
  <si>
    <t>Year 10</t>
  </si>
  <si>
    <t>Weekly Hours Required</t>
  </si>
  <si>
    <t>Actual Required Hours</t>
  </si>
  <si>
    <t>Max PPl</t>
  </si>
  <si>
    <t>Direct Labour Capacity</t>
  </si>
  <si>
    <t>SEC Stretch Growth</t>
  </si>
  <si>
    <t>Animal Management</t>
  </si>
  <si>
    <t>2 Day Benches</t>
  </si>
  <si>
    <t>Solar and Battery Benches</t>
  </si>
  <si>
    <t>eShepherd Bench</t>
  </si>
  <si>
    <t>WeighScale Benches</t>
  </si>
  <si>
    <t>Modules</t>
  </si>
  <si>
    <t>SMT 220, 221, 222</t>
  </si>
  <si>
    <t>Group Stretch Growth</t>
  </si>
  <si>
    <t>Selective Solder Lines 308</t>
  </si>
  <si>
    <t>Testing Towers 405</t>
  </si>
  <si>
    <t>Conformal Coating 431</t>
  </si>
  <si>
    <t>Recommended Team Size (440 &amp; SMT)</t>
  </si>
  <si>
    <t>Weekly Hours Required 440 Pool</t>
  </si>
  <si>
    <t>Transformers</t>
  </si>
  <si>
    <t>Sipro Winding (607)</t>
  </si>
  <si>
    <t>SqM per FA Line</t>
  </si>
  <si>
    <t>SqM per SMT Line</t>
  </si>
  <si>
    <t>Noo Winding (610)</t>
  </si>
  <si>
    <t>SqM per RPS &amp; PVA</t>
  </si>
  <si>
    <t>SqM for Transformers</t>
  </si>
  <si>
    <t>Boo51 Winding (625)</t>
  </si>
  <si>
    <t>SqM for Printroom HW</t>
  </si>
  <si>
    <t>SqM for Loadbars</t>
  </si>
  <si>
    <t>M100 Termination (640)</t>
  </si>
  <si>
    <t>SqM for Loadcells</t>
  </si>
  <si>
    <t>SqM for Stores based on FA Lines</t>
  </si>
  <si>
    <t>Assembly Bench (645)</t>
  </si>
  <si>
    <t>Pouring (650)</t>
  </si>
  <si>
    <t>Test and Pack (655)</t>
  </si>
  <si>
    <t>Solder Pot (642)</t>
  </si>
  <si>
    <t>HV Test (660)</t>
  </si>
  <si>
    <t>Hardware</t>
  </si>
  <si>
    <t>No of Assembly Benches</t>
  </si>
  <si>
    <t>Assy 01</t>
  </si>
  <si>
    <t>Assy 02A</t>
  </si>
  <si>
    <t>Assy 02B</t>
  </si>
  <si>
    <t>Assy 03 (Loadbars)</t>
  </si>
  <si>
    <t>Assy 04</t>
  </si>
  <si>
    <t>Assy 05</t>
  </si>
  <si>
    <t>Assy 06 (Printroom)</t>
  </si>
  <si>
    <t>Assy 09</t>
  </si>
  <si>
    <t>Assy 10</t>
  </si>
  <si>
    <t>Assy 12</t>
  </si>
  <si>
    <t>Assy 13</t>
  </si>
  <si>
    <t>Team Size</t>
  </si>
  <si>
    <t>Loadcells / Loadbars</t>
  </si>
  <si>
    <t>No of Loadcell Benches</t>
  </si>
  <si>
    <t>Sanding Bay SqM</t>
  </si>
  <si>
    <t>Sand (010)</t>
  </si>
  <si>
    <t>Wash bay</t>
  </si>
  <si>
    <t>Gauging Bench</t>
  </si>
  <si>
    <t>Wash (015)</t>
  </si>
  <si>
    <t>Curing Oven</t>
  </si>
  <si>
    <t>Prewire/Wire Bench</t>
  </si>
  <si>
    <t>Gauge (020)</t>
  </si>
  <si>
    <t>Spanning/Testing MC</t>
  </si>
  <si>
    <t>Wax Oven</t>
  </si>
  <si>
    <t>PreCure (025)</t>
  </si>
  <si>
    <t>Wax and Seal</t>
  </si>
  <si>
    <t>Wire cells Trolley</t>
  </si>
  <si>
    <t>Prewire (050)</t>
  </si>
  <si>
    <t>Wire Bench</t>
  </si>
  <si>
    <t>Assy Bench</t>
  </si>
  <si>
    <t>Wire (055)</t>
  </si>
  <si>
    <t>Test MC</t>
  </si>
  <si>
    <t>Packing Bench</t>
  </si>
  <si>
    <t>SC Easthigh (060)</t>
  </si>
  <si>
    <t>Wax/Seal (080)</t>
  </si>
  <si>
    <t>Days to allow LC setting (TR11)</t>
  </si>
  <si>
    <t>Final Test (090)</t>
  </si>
  <si>
    <t>LoadBars</t>
  </si>
  <si>
    <t>Adjust cells that are this colour only</t>
  </si>
  <si>
    <t>AM Stretch Growth</t>
  </si>
  <si>
    <t>Combined Stretch Growth</t>
  </si>
  <si>
    <t>Total No. of Team Members (HW, FA &amp; PCB)</t>
  </si>
  <si>
    <t>Total No. of HW &amp; FA Benches</t>
  </si>
  <si>
    <t>Factory and Stores Space to be built</t>
  </si>
  <si>
    <t>SqM</t>
  </si>
  <si>
    <t>Cost per SqM</t>
  </si>
  <si>
    <t xml:space="preserve">Shortfall / Difference </t>
  </si>
  <si>
    <t>Suggested Factory Size to Meet Additional Revenue</t>
  </si>
  <si>
    <t>Beca Reduction on Stores Space</t>
  </si>
  <si>
    <t xml:space="preserve">SqM Shortfall /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</si>
</sst>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* #,##0_-;\-* #,##0_-;_-* &quot;-&quot;??_-;_-@_-"/>
    <numFmt numFmtId="169" formatCode="_-&quot;$&quot;* #,##0_-;\-&quot;$&quot;* #,##0_-;_-&quot;$&quot;* &quot;-&quot;??_-;_-@_-"/>
    <numFmt numFmtId="172" formatCode="mmm"/>
    <numFmt numFmtId="175" formatCode="mmm\-yyyy"/>
  </numFmts>
  <fonts count="3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6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/>
      <top style="thin">
        <color theme="1"/>
      </top>
      <bottom/>
      <diagonal/>
    </border>
    <border>
      <left style="medium">
        <color rgb="FFFF0000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10" borderId="0" applyNumberFormat="0" applyBorder="0" applyAlignment="0" applyProtection="0"/>
    <xf numFmtId="44" fontId="4" fillId="0" borderId="0" applyFont="0" applyFill="0" applyBorder="0" applyAlignment="0" applyProtection="0"/>
    <xf numFmtId="0" fontId="13" fillId="11" borderId="30" applyNumberFormat="0" applyAlignment="0" applyProtection="0"/>
    <xf numFmtId="0" fontId="12" fillId="0" borderId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101" applyNumberFormat="0" applyFill="0" applyAlignment="0" applyProtection="0"/>
    <xf numFmtId="0" fontId="24" fillId="0" borderId="102" applyNumberFormat="0" applyFill="0" applyAlignment="0" applyProtection="0"/>
    <xf numFmtId="0" fontId="25" fillId="0" borderId="103" applyNumberFormat="0" applyFill="0" applyAlignment="0" applyProtection="0"/>
    <xf numFmtId="0" fontId="25" fillId="0" borderId="0" applyNumberFormat="0" applyFill="0" applyBorder="0" applyAlignment="0" applyProtection="0"/>
    <xf numFmtId="0" fontId="26" fillId="20" borderId="104" applyNumberFormat="0" applyAlignment="0" applyProtection="0"/>
    <xf numFmtId="0" fontId="27" fillId="20" borderId="30" applyNumberFormat="0" applyAlignment="0" applyProtection="0"/>
    <xf numFmtId="0" fontId="28" fillId="0" borderId="105" applyNumberFormat="0" applyFill="0" applyAlignment="0" applyProtection="0"/>
    <xf numFmtId="0" fontId="29" fillId="21" borderId="106" applyNumberFormat="0" applyAlignment="0" applyProtection="0"/>
    <xf numFmtId="0" fontId="6" fillId="0" borderId="0" applyNumberFormat="0" applyFill="0" applyBorder="0" applyAlignment="0" applyProtection="0"/>
    <xf numFmtId="0" fontId="4" fillId="22" borderId="107" applyNumberFormat="0" applyFont="0" applyAlignment="0" applyProtection="0"/>
    <xf numFmtId="0" fontId="30" fillId="0" borderId="0" applyNumberFormat="0" applyFill="0" applyBorder="0" applyAlignment="0" applyProtection="0"/>
    <xf numFmtId="0" fontId="5" fillId="0" borderId="108" applyNumberFormat="0" applyFill="0" applyAlignment="0" applyProtection="0"/>
    <xf numFmtId="0" fontId="31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1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31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1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31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31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32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>
      <alignment wrapText="1"/>
    </xf>
    <xf numFmtId="9" fontId="12" fillId="0" borderId="0" applyFont="0" applyFill="0" applyBorder="0" applyAlignment="0" applyProtection="0"/>
    <xf numFmtId="0" fontId="12" fillId="0" borderId="0"/>
    <xf numFmtId="0" fontId="12" fillId="0" borderId="0">
      <alignment wrapText="1"/>
    </xf>
    <xf numFmtId="9" fontId="12" fillId="0" borderId="0" applyFont="0" applyFill="0" applyBorder="0" applyAlignment="0" applyProtection="0"/>
    <xf numFmtId="0" fontId="12" fillId="0" borderId="0">
      <alignment wrapText="1"/>
    </xf>
    <xf numFmtId="0" fontId="33" fillId="0" borderId="0" applyNumberFormat="0" applyFill="0" applyBorder="0" applyAlignment="0" applyProtection="0"/>
    <xf numFmtId="0" fontId="34" fillId="13" borderId="0" applyNumberFormat="0" applyBorder="0" applyAlignment="0" applyProtection="0"/>
    <xf numFmtId="0" fontId="31" fillId="26" borderId="0" applyNumberFormat="0" applyBorder="0" applyAlignment="0" applyProtection="0"/>
    <xf numFmtId="0" fontId="31" fillId="30" borderId="0" applyNumberFormat="0" applyBorder="0" applyAlignment="0" applyProtection="0"/>
    <xf numFmtId="0" fontId="31" fillId="34" borderId="0" applyNumberFormat="0" applyBorder="0" applyAlignment="0" applyProtection="0"/>
    <xf numFmtId="0" fontId="31" fillId="38" borderId="0" applyNumberFormat="0" applyBorder="0" applyAlignment="0" applyProtection="0"/>
    <xf numFmtId="0" fontId="31" fillId="42" borderId="0" applyNumberFormat="0" applyBorder="0" applyAlignment="0" applyProtection="0"/>
    <xf numFmtId="0" fontId="31" fillId="46" borderId="0" applyNumberFormat="0" applyBorder="0" applyAlignment="0" applyProtection="0"/>
    <xf numFmtId="0" fontId="12" fillId="0" borderId="0"/>
    <xf numFmtId="0" fontId="4" fillId="0" borderId="0"/>
  </cellStyleXfs>
  <cellXfs count="773">
    <xf numFmtId="0" fontId="0" fillId="0" borderId="0" xfId="0"/>
    <xf numFmtId="14" fontId="1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1" fontId="2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  <xf numFmtId="1" fontId="2" fillId="0" borderId="0" xfId="0" applyNumberFormat="1" applyFont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8" xfId="0" applyNumberFormat="1" applyBorder="1"/>
    <xf numFmtId="0" fontId="0" fillId="0" borderId="5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6" xfId="0" applyBorder="1" applyAlignment="1">
      <alignment horizontal="center" wrapText="1"/>
    </xf>
    <xf numFmtId="14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0" fillId="2" borderId="0" xfId="0" applyFill="1"/>
    <xf numFmtId="9" fontId="0" fillId="3" borderId="14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2" xfId="0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0" fillId="0" borderId="17" xfId="0" applyNumberFormat="1" applyBorder="1" applyAlignment="1">
      <alignment horizontal="center"/>
    </xf>
    <xf numFmtId="0" fontId="0" fillId="0" borderId="17" xfId="0" applyBorder="1"/>
    <xf numFmtId="1" fontId="0" fillId="0" borderId="18" xfId="0" applyNumberFormat="1" applyBorder="1" applyAlignment="1">
      <alignment horizontal="center"/>
    </xf>
    <xf numFmtId="1" fontId="2" fillId="0" borderId="6" xfId="0" applyNumberFormat="1" applyFont="1" applyBorder="1" applyAlignment="1">
      <alignment horizontal="center" vertical="center"/>
    </xf>
    <xf numFmtId="0" fontId="5" fillId="0" borderId="0" xfId="0" applyFont="1"/>
    <xf numFmtId="9" fontId="0" fillId="0" borderId="0" xfId="1" applyFont="1" applyAlignment="1">
      <alignment horizontal="center"/>
    </xf>
    <xf numFmtId="0" fontId="0" fillId="0" borderId="26" xfId="0" applyBorder="1"/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5" xfId="0" applyBorder="1"/>
    <xf numFmtId="0" fontId="0" fillId="5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4" xfId="1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6" xfId="0" applyBorder="1"/>
    <xf numFmtId="0" fontId="0" fillId="0" borderId="22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/>
    </xf>
    <xf numFmtId="0" fontId="0" fillId="8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quotePrefix="1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" fontId="0" fillId="0" borderId="14" xfId="1" applyNumberFormat="1" applyFont="1" applyBorder="1" applyAlignment="1">
      <alignment horizontal="center" vertical="center"/>
    </xf>
    <xf numFmtId="17" fontId="0" fillId="0" borderId="0" xfId="0" applyNumberFormat="1"/>
    <xf numFmtId="0" fontId="0" fillId="0" borderId="15" xfId="0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0" applyNumberFormat="1"/>
    <xf numFmtId="169" fontId="0" fillId="0" borderId="0" xfId="4" applyNumberFormat="1" applyFont="1" applyBorder="1"/>
    <xf numFmtId="9" fontId="0" fillId="0" borderId="0" xfId="1" applyFont="1" applyBorder="1" applyAlignment="1">
      <alignment horizontal="center"/>
    </xf>
    <xf numFmtId="169" fontId="0" fillId="0" borderId="8" xfId="4" applyNumberFormat="1" applyFont="1" applyFill="1" applyBorder="1"/>
    <xf numFmtId="169" fontId="0" fillId="0" borderId="0" xfId="4" applyNumberFormat="1" applyFont="1" applyFill="1" applyBorder="1"/>
    <xf numFmtId="172" fontId="17" fillId="0" borderId="0" xfId="0" applyNumberFormat="1" applyFont="1"/>
    <xf numFmtId="0" fontId="1" fillId="0" borderId="0" xfId="0" applyFont="1"/>
    <xf numFmtId="172" fontId="19" fillId="11" borderId="30" xfId="5" applyNumberFormat="1" applyFont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0" fontId="20" fillId="0" borderId="0" xfId="0" applyFont="1"/>
    <xf numFmtId="9" fontId="20" fillId="0" borderId="0" xfId="0" applyNumberFormat="1" applyFont="1"/>
    <xf numFmtId="0" fontId="0" fillId="0" borderId="8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1" xfId="0" applyBorder="1"/>
    <xf numFmtId="0" fontId="0" fillId="0" borderId="41" xfId="0" applyBorder="1" applyAlignment="1">
      <alignment vertical="center" wrapText="1"/>
    </xf>
    <xf numFmtId="0" fontId="0" fillId="0" borderId="3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3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/>
    </xf>
    <xf numFmtId="1" fontId="2" fillId="0" borderId="43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31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0" borderId="43" xfId="0" applyBorder="1" applyAlignment="1">
      <alignment horizontal="center"/>
    </xf>
    <xf numFmtId="0" fontId="0" fillId="0" borderId="44" xfId="0" applyBorder="1"/>
    <xf numFmtId="0" fontId="0" fillId="0" borderId="1" xfId="0" applyBorder="1" applyAlignment="1">
      <alignment horizontal="center" vertical="center"/>
    </xf>
    <xf numFmtId="1" fontId="0" fillId="0" borderId="3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47" xfId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6" xfId="0" applyBorder="1"/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0" borderId="35" xfId="0" applyBorder="1"/>
    <xf numFmtId="0" fontId="0" fillId="15" borderId="0" xfId="0" applyFill="1"/>
    <xf numFmtId="0" fontId="0" fillId="16" borderId="0" xfId="0" applyFill="1"/>
    <xf numFmtId="0" fontId="0" fillId="15" borderId="17" xfId="0" applyFill="1" applyBorder="1"/>
    <xf numFmtId="169" fontId="0" fillId="0" borderId="16" xfId="4" applyNumberFormat="1" applyFont="1" applyFill="1" applyBorder="1"/>
    <xf numFmtId="169" fontId="0" fillId="0" borderId="17" xfId="4" applyNumberFormat="1" applyFont="1" applyFill="1" applyBorder="1"/>
    <xf numFmtId="1" fontId="0" fillId="0" borderId="45" xfId="0" applyNumberFormat="1" applyBorder="1" applyAlignment="1">
      <alignment horizontal="center"/>
    </xf>
    <xf numFmtId="0" fontId="1" fillId="0" borderId="73" xfId="0" applyFont="1" applyBorder="1"/>
    <xf numFmtId="172" fontId="17" fillId="0" borderId="73" xfId="0" applyNumberFormat="1" applyFont="1" applyBorder="1"/>
    <xf numFmtId="0" fontId="0" fillId="0" borderId="73" xfId="0" applyBorder="1"/>
    <xf numFmtId="1" fontId="0" fillId="0" borderId="0" xfId="0" applyNumberFormat="1" applyAlignment="1">
      <alignment textRotation="90"/>
    </xf>
    <xf numFmtId="0" fontId="0" fillId="0" borderId="0" xfId="0" applyAlignment="1">
      <alignment horizontal="center" textRotation="90"/>
    </xf>
    <xf numFmtId="0" fontId="0" fillId="3" borderId="17" xfId="0" applyFill="1" applyBorder="1"/>
    <xf numFmtId="9" fontId="0" fillId="3" borderId="17" xfId="0" applyNumberFormat="1" applyFill="1" applyBorder="1"/>
    <xf numFmtId="1" fontId="0" fillId="3" borderId="17" xfId="0" applyNumberFormat="1" applyFill="1" applyBorder="1"/>
    <xf numFmtId="0" fontId="0" fillId="3" borderId="20" xfId="0" applyFill="1" applyBorder="1"/>
    <xf numFmtId="9" fontId="0" fillId="3" borderId="20" xfId="0" applyNumberFormat="1" applyFill="1" applyBorder="1"/>
    <xf numFmtId="1" fontId="0" fillId="3" borderId="20" xfId="0" applyNumberForma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9" fontId="0" fillId="3" borderId="18" xfId="0" applyNumberFormat="1" applyFill="1" applyBorder="1"/>
    <xf numFmtId="0" fontId="0" fillId="3" borderId="21" xfId="0" applyFill="1" applyBorder="1"/>
    <xf numFmtId="9" fontId="0" fillId="3" borderId="21" xfId="0" applyNumberFormat="1" applyFill="1" applyBorder="1"/>
    <xf numFmtId="0" fontId="0" fillId="8" borderId="17" xfId="0" applyFill="1" applyBorder="1"/>
    <xf numFmtId="9" fontId="0" fillId="8" borderId="17" xfId="0" applyNumberFormat="1" applyFill="1" applyBorder="1"/>
    <xf numFmtId="1" fontId="0" fillId="8" borderId="17" xfId="0" applyNumberFormat="1" applyFill="1" applyBorder="1"/>
    <xf numFmtId="0" fontId="0" fillId="8" borderId="20" xfId="0" applyFill="1" applyBorder="1"/>
    <xf numFmtId="9" fontId="0" fillId="8" borderId="20" xfId="0" applyNumberFormat="1" applyFill="1" applyBorder="1"/>
    <xf numFmtId="1" fontId="0" fillId="8" borderId="20" xfId="0" applyNumberFormat="1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18" xfId="0" applyFill="1" applyBorder="1"/>
    <xf numFmtId="0" fontId="0" fillId="8" borderId="21" xfId="0" applyFill="1" applyBorder="1"/>
    <xf numFmtId="0" fontId="0" fillId="3" borderId="18" xfId="0" applyFill="1" applyBorder="1"/>
    <xf numFmtId="0" fontId="0" fillId="8" borderId="27" xfId="0" applyFill="1" applyBorder="1"/>
    <xf numFmtId="9" fontId="0" fillId="8" borderId="18" xfId="0" applyNumberFormat="1" applyFill="1" applyBorder="1"/>
    <xf numFmtId="9" fontId="0" fillId="8" borderId="21" xfId="0" applyNumberFormat="1" applyFill="1" applyBorder="1"/>
    <xf numFmtId="0" fontId="0" fillId="16" borderId="28" xfId="0" applyFill="1" applyBorder="1"/>
    <xf numFmtId="0" fontId="0" fillId="16" borderId="29" xfId="0" applyFill="1" applyBorder="1"/>
    <xf numFmtId="0" fontId="0" fillId="16" borderId="27" xfId="0" applyFill="1" applyBorder="1"/>
    <xf numFmtId="0" fontId="0" fillId="16" borderId="18" xfId="0" applyFill="1" applyBorder="1"/>
    <xf numFmtId="0" fontId="0" fillId="16" borderId="17" xfId="0" applyFill="1" applyBorder="1"/>
    <xf numFmtId="9" fontId="0" fillId="16" borderId="17" xfId="0" applyNumberFormat="1" applyFill="1" applyBorder="1"/>
    <xf numFmtId="9" fontId="0" fillId="16" borderId="18" xfId="0" applyNumberFormat="1" applyFill="1" applyBorder="1"/>
    <xf numFmtId="1" fontId="0" fillId="16" borderId="17" xfId="0" applyNumberFormat="1" applyFill="1" applyBorder="1"/>
    <xf numFmtId="0" fontId="0" fillId="16" borderId="21" xfId="0" applyFill="1" applyBorder="1"/>
    <xf numFmtId="0" fontId="0" fillId="16" borderId="20" xfId="0" applyFill="1" applyBorder="1"/>
    <xf numFmtId="9" fontId="0" fillId="16" borderId="20" xfId="0" applyNumberFormat="1" applyFill="1" applyBorder="1"/>
    <xf numFmtId="9" fontId="0" fillId="16" borderId="21" xfId="0" applyNumberFormat="1" applyFill="1" applyBorder="1"/>
    <xf numFmtId="1" fontId="0" fillId="16" borderId="20" xfId="0" applyNumberFormat="1" applyFill="1" applyBorder="1"/>
    <xf numFmtId="9" fontId="0" fillId="16" borderId="0" xfId="0" applyNumberFormat="1" applyFill="1"/>
    <xf numFmtId="0" fontId="0" fillId="9" borderId="0" xfId="0" applyFill="1"/>
    <xf numFmtId="9" fontId="0" fillId="9" borderId="0" xfId="0" applyNumberFormat="1" applyFill="1"/>
    <xf numFmtId="1" fontId="0" fillId="9" borderId="0" xfId="0" applyNumberFormat="1" applyFill="1"/>
    <xf numFmtId="0" fontId="0" fillId="9" borderId="20" xfId="0" applyFill="1" applyBorder="1"/>
    <xf numFmtId="9" fontId="0" fillId="9" borderId="20" xfId="0" applyNumberFormat="1" applyFill="1" applyBorder="1"/>
    <xf numFmtId="0" fontId="0" fillId="9" borderId="17" xfId="0" applyFill="1" applyBorder="1"/>
    <xf numFmtId="0" fontId="0" fillId="9" borderId="18" xfId="0" applyFill="1" applyBorder="1" applyAlignment="1">
      <alignment horizontal="center"/>
    </xf>
    <xf numFmtId="9" fontId="0" fillId="9" borderId="17" xfId="0" applyNumberFormat="1" applyFill="1" applyBorder="1"/>
    <xf numFmtId="1" fontId="0" fillId="9" borderId="17" xfId="0" applyNumberFormat="1" applyFill="1" applyBorder="1"/>
    <xf numFmtId="1" fontId="0" fillId="9" borderId="20" xfId="0" applyNumberFormat="1" applyFill="1" applyBorder="1"/>
    <xf numFmtId="0" fontId="0" fillId="9" borderId="18" xfId="0" applyFill="1" applyBorder="1"/>
    <xf numFmtId="0" fontId="0" fillId="9" borderId="21" xfId="0" applyFill="1" applyBorder="1"/>
    <xf numFmtId="0" fontId="0" fillId="9" borderId="15" xfId="0" applyFill="1" applyBorder="1"/>
    <xf numFmtId="0" fontId="0" fillId="9" borderId="16" xfId="0" applyFill="1" applyBorder="1"/>
    <xf numFmtId="9" fontId="0" fillId="9" borderId="18" xfId="0" applyNumberFormat="1" applyFill="1" applyBorder="1"/>
    <xf numFmtId="9" fontId="0" fillId="9" borderId="21" xfId="0" applyNumberFormat="1" applyFill="1" applyBorder="1"/>
    <xf numFmtId="9" fontId="0" fillId="9" borderId="15" xfId="0" applyNumberFormat="1" applyFill="1" applyBorder="1"/>
    <xf numFmtId="0" fontId="0" fillId="16" borderId="14" xfId="0" applyFill="1" applyBorder="1" applyAlignment="1">
      <alignment horizontal="center"/>
    </xf>
    <xf numFmtId="0" fontId="21" fillId="3" borderId="17" xfId="0" applyFont="1" applyFill="1" applyBorder="1"/>
    <xf numFmtId="0" fontId="21" fillId="8" borderId="28" xfId="0" applyFont="1" applyFill="1" applyBorder="1"/>
    <xf numFmtId="0" fontId="21" fillId="16" borderId="28" xfId="0" applyFont="1" applyFill="1" applyBorder="1"/>
    <xf numFmtId="0" fontId="21" fillId="9" borderId="17" xfId="0" applyFont="1" applyFill="1" applyBorder="1"/>
    <xf numFmtId="1" fontId="0" fillId="0" borderId="73" xfId="0" applyNumberFormat="1" applyBorder="1"/>
    <xf numFmtId="0" fontId="0" fillId="0" borderId="0" xfId="0" applyAlignment="1">
      <alignment textRotation="90"/>
    </xf>
    <xf numFmtId="0" fontId="0" fillId="2" borderId="20" xfId="0" applyFill="1" applyBorder="1"/>
    <xf numFmtId="0" fontId="0" fillId="0" borderId="73" xfId="0" applyBorder="1" applyAlignment="1">
      <alignment horizontal="center"/>
    </xf>
    <xf numFmtId="6" fontId="0" fillId="0" borderId="73" xfId="0" applyNumberFormat="1" applyBorder="1"/>
    <xf numFmtId="6" fontId="0" fillId="2" borderId="0" xfId="0" applyNumberFormat="1" applyFill="1" applyAlignment="1">
      <alignment horizontal="center"/>
    </xf>
    <xf numFmtId="0" fontId="5" fillId="0" borderId="0" xfId="0" applyFont="1" applyAlignment="1">
      <alignment horizontal="left"/>
    </xf>
    <xf numFmtId="6" fontId="5" fillId="0" borderId="0" xfId="0" applyNumberFormat="1" applyFont="1" applyAlignment="1">
      <alignment horizontal="center"/>
    </xf>
    <xf numFmtId="6" fontId="5" fillId="0" borderId="73" xfId="0" applyNumberFormat="1" applyFont="1" applyBorder="1" applyAlignment="1">
      <alignment horizontal="center"/>
    </xf>
    <xf numFmtId="0" fontId="0" fillId="3" borderId="0" xfId="0" applyFill="1"/>
    <xf numFmtId="0" fontId="0" fillId="3" borderId="73" xfId="0" applyFill="1" applyBorder="1"/>
    <xf numFmtId="1" fontId="17" fillId="3" borderId="0" xfId="0" applyNumberFormat="1" applyFont="1" applyFill="1"/>
    <xf numFmtId="1" fontId="17" fillId="3" borderId="73" xfId="0" applyNumberFormat="1" applyFont="1" applyFill="1" applyBorder="1"/>
    <xf numFmtId="0" fontId="0" fillId="17" borderId="0" xfId="0" applyFill="1"/>
    <xf numFmtId="0" fontId="0" fillId="17" borderId="73" xfId="0" applyFill="1" applyBorder="1"/>
    <xf numFmtId="1" fontId="17" fillId="17" borderId="0" xfId="0" applyNumberFormat="1" applyFont="1" applyFill="1"/>
    <xf numFmtId="1" fontId="17" fillId="17" borderId="73" xfId="0" applyNumberFormat="1" applyFont="1" applyFill="1" applyBorder="1"/>
    <xf numFmtId="0" fontId="21" fillId="15" borderId="17" xfId="0" applyFont="1" applyFill="1" applyBorder="1"/>
    <xf numFmtId="0" fontId="0" fillId="15" borderId="18" xfId="0" applyFill="1" applyBorder="1"/>
    <xf numFmtId="0" fontId="0" fillId="15" borderId="16" xfId="0" applyFill="1" applyBorder="1"/>
    <xf numFmtId="9" fontId="0" fillId="15" borderId="16" xfId="1" applyFont="1" applyFill="1" applyBorder="1"/>
    <xf numFmtId="9" fontId="0" fillId="15" borderId="17" xfId="0" applyNumberFormat="1" applyFill="1" applyBorder="1"/>
    <xf numFmtId="9" fontId="0" fillId="15" borderId="18" xfId="0" applyNumberFormat="1" applyFill="1" applyBorder="1"/>
    <xf numFmtId="1" fontId="0" fillId="15" borderId="17" xfId="0" applyNumberFormat="1" applyFill="1" applyBorder="1"/>
    <xf numFmtId="0" fontId="0" fillId="15" borderId="21" xfId="0" applyFill="1" applyBorder="1"/>
    <xf numFmtId="0" fontId="0" fillId="15" borderId="20" xfId="0" applyFill="1" applyBorder="1"/>
    <xf numFmtId="9" fontId="0" fillId="15" borderId="19" xfId="1" applyFont="1" applyFill="1" applyBorder="1"/>
    <xf numFmtId="9" fontId="0" fillId="15" borderId="20" xfId="0" applyNumberFormat="1" applyFill="1" applyBorder="1"/>
    <xf numFmtId="9" fontId="0" fillId="15" borderId="21" xfId="0" applyNumberFormat="1" applyFill="1" applyBorder="1"/>
    <xf numFmtId="1" fontId="0" fillId="15" borderId="20" xfId="0" applyNumberFormat="1" applyFill="1" applyBorder="1"/>
    <xf numFmtId="0" fontId="0" fillId="15" borderId="15" xfId="0" applyFill="1" applyBorder="1"/>
    <xf numFmtId="9" fontId="0" fillId="15" borderId="8" xfId="1" applyFont="1" applyFill="1" applyBorder="1"/>
    <xf numFmtId="9" fontId="0" fillId="15" borderId="0" xfId="0" applyNumberFormat="1" applyFill="1"/>
    <xf numFmtId="9" fontId="0" fillId="15" borderId="15" xfId="0" applyNumberFormat="1" applyFill="1" applyBorder="1"/>
    <xf numFmtId="1" fontId="0" fillId="15" borderId="0" xfId="0" applyNumberFormat="1" applyFill="1"/>
    <xf numFmtId="0" fontId="0" fillId="15" borderId="73" xfId="0" applyFill="1" applyBorder="1"/>
    <xf numFmtId="1" fontId="17" fillId="15" borderId="0" xfId="0" applyNumberFormat="1" applyFont="1" applyFill="1"/>
    <xf numFmtId="1" fontId="17" fillId="15" borderId="73" xfId="0" applyNumberFormat="1" applyFont="1" applyFill="1" applyBorder="1"/>
    <xf numFmtId="0" fontId="0" fillId="0" borderId="69" xfId="0" applyBorder="1"/>
    <xf numFmtId="0" fontId="0" fillId="0" borderId="66" xfId="0" applyBorder="1"/>
    <xf numFmtId="0" fontId="0" fillId="0" borderId="70" xfId="0" applyBorder="1"/>
    <xf numFmtId="169" fontId="0" fillId="0" borderId="69" xfId="4" applyNumberFormat="1" applyFont="1" applyBorder="1"/>
    <xf numFmtId="169" fontId="0" fillId="0" borderId="66" xfId="4" applyNumberFormat="1" applyFont="1" applyBorder="1"/>
    <xf numFmtId="169" fontId="0" fillId="0" borderId="70" xfId="4" applyNumberFormat="1" applyFont="1" applyBorder="1"/>
    <xf numFmtId="0" fontId="5" fillId="14" borderId="59" xfId="0" applyFont="1" applyFill="1" applyBorder="1" applyAlignment="1">
      <alignment horizontal="right"/>
    </xf>
    <xf numFmtId="0" fontId="0" fillId="0" borderId="60" xfId="0" applyBorder="1" applyAlignment="1">
      <alignment horizontal="right"/>
    </xf>
    <xf numFmtId="0" fontId="0" fillId="0" borderId="61" xfId="0" applyBorder="1" applyAlignment="1">
      <alignment horizontal="right"/>
    </xf>
    <xf numFmtId="175" fontId="5" fillId="0" borderId="67" xfId="0" applyNumberFormat="1" applyFont="1" applyBorder="1"/>
    <xf numFmtId="175" fontId="5" fillId="0" borderId="68" xfId="0" applyNumberFormat="1" applyFont="1" applyBorder="1"/>
    <xf numFmtId="0" fontId="5" fillId="0" borderId="59" xfId="0" applyFont="1" applyBorder="1" applyAlignment="1">
      <alignment horizontal="right"/>
    </xf>
    <xf numFmtId="0" fontId="5" fillId="14" borderId="79" xfId="0" applyFont="1" applyFill="1" applyBorder="1" applyAlignment="1">
      <alignment horizontal="right"/>
    </xf>
    <xf numFmtId="0" fontId="0" fillId="0" borderId="64" xfId="0" applyBorder="1" applyAlignment="1">
      <alignment horizontal="right"/>
    </xf>
    <xf numFmtId="0" fontId="5" fillId="14" borderId="62" xfId="0" applyFont="1" applyFill="1" applyBorder="1" applyAlignment="1">
      <alignment horizontal="right"/>
    </xf>
    <xf numFmtId="0" fontId="5" fillId="14" borderId="81" xfId="0" applyFont="1" applyFill="1" applyBorder="1" applyAlignment="1">
      <alignment horizontal="right"/>
    </xf>
    <xf numFmtId="0" fontId="5" fillId="14" borderId="82" xfId="0" applyFont="1" applyFill="1" applyBorder="1"/>
    <xf numFmtId="0" fontId="5" fillId="14" borderId="83" xfId="0" applyFont="1" applyFill="1" applyBorder="1"/>
    <xf numFmtId="169" fontId="5" fillId="14" borderId="82" xfId="4" applyNumberFormat="1" applyFont="1" applyFill="1" applyBorder="1"/>
    <xf numFmtId="169" fontId="5" fillId="14" borderId="83" xfId="4" applyNumberFormat="1" applyFont="1" applyFill="1" applyBorder="1"/>
    <xf numFmtId="0" fontId="5" fillId="14" borderId="84" xfId="0" applyFont="1" applyFill="1" applyBorder="1" applyAlignment="1">
      <alignment horizontal="center"/>
    </xf>
    <xf numFmtId="0" fontId="5" fillId="14" borderId="85" xfId="0" applyFont="1" applyFill="1" applyBorder="1" applyAlignment="1">
      <alignment horizontal="center"/>
    </xf>
    <xf numFmtId="0" fontId="5" fillId="14" borderId="86" xfId="0" applyFont="1" applyFill="1" applyBorder="1" applyAlignment="1">
      <alignment horizontal="center"/>
    </xf>
    <xf numFmtId="9" fontId="0" fillId="0" borderId="87" xfId="1" applyFont="1" applyBorder="1" applyAlignment="1">
      <alignment horizontal="center"/>
    </xf>
    <xf numFmtId="0" fontId="5" fillId="14" borderId="63" xfId="0" applyFont="1" applyFill="1" applyBorder="1" applyAlignment="1">
      <alignment horizontal="right"/>
    </xf>
    <xf numFmtId="1" fontId="0" fillId="0" borderId="8" xfId="0" applyNumberFormat="1" applyBorder="1" applyAlignment="1">
      <alignment horizontal="center" vertical="center"/>
    </xf>
    <xf numFmtId="0" fontId="0" fillId="0" borderId="88" xfId="0" applyBorder="1" applyAlignment="1">
      <alignment horizontal="center" wrapText="1"/>
    </xf>
    <xf numFmtId="0" fontId="0" fillId="15" borderId="90" xfId="0" applyFill="1" applyBorder="1"/>
    <xf numFmtId="0" fontId="0" fillId="15" borderId="75" xfId="0" applyFill="1" applyBorder="1"/>
    <xf numFmtId="9" fontId="0" fillId="15" borderId="91" xfId="1" applyFont="1" applyFill="1" applyBorder="1"/>
    <xf numFmtId="9" fontId="0" fillId="15" borderId="75" xfId="0" applyNumberFormat="1" applyFill="1" applyBorder="1"/>
    <xf numFmtId="9" fontId="0" fillId="15" borderId="90" xfId="0" applyNumberFormat="1" applyFill="1" applyBorder="1"/>
    <xf numFmtId="1" fontId="0" fillId="15" borderId="75" xfId="0" applyNumberFormat="1" applyFill="1" applyBorder="1"/>
    <xf numFmtId="0" fontId="0" fillId="15" borderId="94" xfId="0" applyFill="1" applyBorder="1"/>
    <xf numFmtId="0" fontId="0" fillId="15" borderId="76" xfId="0" applyFill="1" applyBorder="1"/>
    <xf numFmtId="9" fontId="0" fillId="15" borderId="95" xfId="1" applyFont="1" applyFill="1" applyBorder="1"/>
    <xf numFmtId="9" fontId="0" fillId="15" borderId="76" xfId="0" applyNumberFormat="1" applyFill="1" applyBorder="1"/>
    <xf numFmtId="9" fontId="0" fillId="15" borderId="94" xfId="0" applyNumberFormat="1" applyFill="1" applyBorder="1"/>
    <xf numFmtId="1" fontId="0" fillId="15" borderId="76" xfId="0" applyNumberFormat="1" applyFill="1" applyBorder="1"/>
    <xf numFmtId="1" fontId="0" fillId="16" borderId="0" xfId="0" applyNumberFormat="1" applyFill="1"/>
    <xf numFmtId="0" fontId="0" fillId="15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75" xfId="0" applyFill="1" applyBorder="1" applyAlignment="1">
      <alignment horizontal="center"/>
    </xf>
    <xf numFmtId="0" fontId="0" fillId="2" borderId="76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0" fillId="0" borderId="89" xfId="0" applyBorder="1"/>
    <xf numFmtId="0" fontId="0" fillId="0" borderId="75" xfId="0" applyBorder="1"/>
    <xf numFmtId="0" fontId="0" fillId="0" borderId="97" xfId="0" applyBorder="1"/>
    <xf numFmtId="0" fontId="0" fillId="0" borderId="92" xfId="0" applyBorder="1"/>
    <xf numFmtId="1" fontId="17" fillId="15" borderId="88" xfId="0" applyNumberFormat="1" applyFont="1" applyFill="1" applyBorder="1"/>
    <xf numFmtId="1" fontId="17" fillId="15" borderId="71" xfId="0" applyNumberFormat="1" applyFont="1" applyFill="1" applyBorder="1"/>
    <xf numFmtId="0" fontId="0" fillId="15" borderId="88" xfId="0" applyFill="1" applyBorder="1"/>
    <xf numFmtId="0" fontId="0" fillId="15" borderId="71" xfId="0" applyFill="1" applyBorder="1"/>
    <xf numFmtId="0" fontId="0" fillId="15" borderId="93" xfId="0" applyFill="1" applyBorder="1"/>
    <xf numFmtId="0" fontId="0" fillId="15" borderId="98" xfId="0" applyFill="1" applyBorder="1"/>
    <xf numFmtId="0" fontId="0" fillId="15" borderId="96" xfId="0" applyFill="1" applyBorder="1"/>
    <xf numFmtId="1" fontId="17" fillId="15" borderId="89" xfId="0" applyNumberFormat="1" applyFont="1" applyFill="1" applyBorder="1"/>
    <xf numFmtId="1" fontId="17" fillId="15" borderId="75" xfId="0" applyNumberFormat="1" applyFont="1" applyFill="1" applyBorder="1"/>
    <xf numFmtId="1" fontId="17" fillId="15" borderId="97" xfId="0" applyNumberFormat="1" applyFont="1" applyFill="1" applyBorder="1"/>
    <xf numFmtId="1" fontId="17" fillId="15" borderId="92" xfId="0" applyNumberFormat="1" applyFont="1" applyFill="1" applyBorder="1"/>
    <xf numFmtId="0" fontId="0" fillId="9" borderId="1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20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20" xfId="0" applyFill="1" applyBorder="1" applyAlignment="1">
      <alignment horizontal="center"/>
    </xf>
    <xf numFmtId="1" fontId="17" fillId="17" borderId="89" xfId="0" applyNumberFormat="1" applyFont="1" applyFill="1" applyBorder="1"/>
    <xf numFmtId="1" fontId="17" fillId="17" borderId="75" xfId="0" applyNumberFormat="1" applyFont="1" applyFill="1" applyBorder="1"/>
    <xf numFmtId="1" fontId="17" fillId="17" borderId="97" xfId="0" applyNumberFormat="1" applyFont="1" applyFill="1" applyBorder="1"/>
    <xf numFmtId="1" fontId="17" fillId="17" borderId="92" xfId="0" applyNumberFormat="1" applyFont="1" applyFill="1" applyBorder="1"/>
    <xf numFmtId="0" fontId="0" fillId="17" borderId="88" xfId="0" applyFill="1" applyBorder="1"/>
    <xf numFmtId="0" fontId="0" fillId="17" borderId="71" xfId="0" applyFill="1" applyBorder="1"/>
    <xf numFmtId="1" fontId="17" fillId="17" borderId="88" xfId="0" applyNumberFormat="1" applyFont="1" applyFill="1" applyBorder="1"/>
    <xf numFmtId="1" fontId="17" fillId="17" borderId="71" xfId="0" applyNumberFormat="1" applyFont="1" applyFill="1" applyBorder="1"/>
    <xf numFmtId="0" fontId="0" fillId="17" borderId="93" xfId="0" applyFill="1" applyBorder="1"/>
    <xf numFmtId="0" fontId="0" fillId="17" borderId="76" xfId="0" applyFill="1" applyBorder="1"/>
    <xf numFmtId="0" fontId="0" fillId="17" borderId="98" xfId="0" applyFill="1" applyBorder="1"/>
    <xf numFmtId="0" fontId="0" fillId="17" borderId="96" xfId="0" applyFill="1" applyBorder="1"/>
    <xf numFmtId="0" fontId="0" fillId="8" borderId="28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89" xfId="0" applyFill="1" applyBorder="1"/>
    <xf numFmtId="0" fontId="0" fillId="3" borderId="75" xfId="0" applyFill="1" applyBorder="1"/>
    <xf numFmtId="0" fontId="0" fillId="3" borderId="97" xfId="0" applyFill="1" applyBorder="1"/>
    <xf numFmtId="0" fontId="0" fillId="3" borderId="92" xfId="0" applyFill="1" applyBorder="1"/>
    <xf numFmtId="1" fontId="17" fillId="3" borderId="88" xfId="0" applyNumberFormat="1" applyFont="1" applyFill="1" applyBorder="1"/>
    <xf numFmtId="1" fontId="17" fillId="3" borderId="71" xfId="0" applyNumberFormat="1" applyFont="1" applyFill="1" applyBorder="1"/>
    <xf numFmtId="0" fontId="0" fillId="3" borderId="88" xfId="0" applyFill="1" applyBorder="1"/>
    <xf numFmtId="0" fontId="0" fillId="3" borderId="71" xfId="0" applyFill="1" applyBorder="1"/>
    <xf numFmtId="0" fontId="0" fillId="3" borderId="93" xfId="0" applyFill="1" applyBorder="1"/>
    <xf numFmtId="0" fontId="0" fillId="3" borderId="76" xfId="0" applyFill="1" applyBorder="1"/>
    <xf numFmtId="0" fontId="0" fillId="3" borderId="98" xfId="0" applyFill="1" applyBorder="1"/>
    <xf numFmtId="0" fontId="0" fillId="3" borderId="96" xfId="0" applyFill="1" applyBorder="1"/>
    <xf numFmtId="1" fontId="17" fillId="3" borderId="89" xfId="0" applyNumberFormat="1" applyFont="1" applyFill="1" applyBorder="1"/>
    <xf numFmtId="1" fontId="17" fillId="3" borderId="75" xfId="0" applyNumberFormat="1" applyFont="1" applyFill="1" applyBorder="1"/>
    <xf numFmtId="1" fontId="17" fillId="3" borderId="97" xfId="0" applyNumberFormat="1" applyFont="1" applyFill="1" applyBorder="1"/>
    <xf numFmtId="1" fontId="17" fillId="3" borderId="92" xfId="0" applyNumberFormat="1" applyFont="1" applyFill="1" applyBorder="1"/>
    <xf numFmtId="1" fontId="5" fillId="14" borderId="67" xfId="0" applyNumberFormat="1" applyFont="1" applyFill="1" applyBorder="1"/>
    <xf numFmtId="1" fontId="5" fillId="14" borderId="68" xfId="0" applyNumberFormat="1" applyFont="1" applyFill="1" applyBorder="1"/>
    <xf numFmtId="1" fontId="5" fillId="14" borderId="75" xfId="0" applyNumberFormat="1" applyFont="1" applyFill="1" applyBorder="1"/>
    <xf numFmtId="1" fontId="5" fillId="14" borderId="77" xfId="0" applyNumberFormat="1" applyFont="1" applyFill="1" applyBorder="1"/>
    <xf numFmtId="1" fontId="0" fillId="0" borderId="69" xfId="0" applyNumberFormat="1" applyBorder="1"/>
    <xf numFmtId="1" fontId="0" fillId="0" borderId="76" xfId="0" applyNumberFormat="1" applyBorder="1"/>
    <xf numFmtId="1" fontId="0" fillId="0" borderId="78" xfId="0" applyNumberFormat="1" applyBorder="1"/>
    <xf numFmtId="1" fontId="0" fillId="0" borderId="66" xfId="0" applyNumberFormat="1" applyBorder="1"/>
    <xf numFmtId="1" fontId="0" fillId="0" borderId="70" xfId="0" applyNumberFormat="1" applyBorder="1"/>
    <xf numFmtId="0" fontId="0" fillId="8" borderId="89" xfId="0" applyFill="1" applyBorder="1"/>
    <xf numFmtId="0" fontId="0" fillId="8" borderId="75" xfId="0" applyFill="1" applyBorder="1"/>
    <xf numFmtId="0" fontId="0" fillId="8" borderId="97" xfId="0" applyFill="1" applyBorder="1"/>
    <xf numFmtId="0" fontId="0" fillId="8" borderId="92" xfId="0" applyFill="1" applyBorder="1"/>
    <xf numFmtId="1" fontId="17" fillId="8" borderId="89" xfId="0" applyNumberFormat="1" applyFont="1" applyFill="1" applyBorder="1"/>
    <xf numFmtId="1" fontId="17" fillId="8" borderId="75" xfId="0" applyNumberFormat="1" applyFont="1" applyFill="1" applyBorder="1"/>
    <xf numFmtId="1" fontId="17" fillId="8" borderId="97" xfId="0" applyNumberFormat="1" applyFont="1" applyFill="1" applyBorder="1"/>
    <xf numFmtId="1" fontId="17" fillId="8" borderId="92" xfId="0" applyNumberFormat="1" applyFont="1" applyFill="1" applyBorder="1"/>
    <xf numFmtId="0" fontId="0" fillId="8" borderId="93" xfId="0" applyFill="1" applyBorder="1"/>
    <xf numFmtId="0" fontId="0" fillId="8" borderId="76" xfId="0" applyFill="1" applyBorder="1"/>
    <xf numFmtId="0" fontId="0" fillId="8" borderId="98" xfId="0" applyFill="1" applyBorder="1"/>
    <xf numFmtId="0" fontId="0" fillId="8" borderId="96" xfId="0" applyFill="1" applyBorder="1"/>
    <xf numFmtId="1" fontId="17" fillId="8" borderId="88" xfId="0" applyNumberFormat="1" applyFont="1" applyFill="1" applyBorder="1"/>
    <xf numFmtId="1" fontId="17" fillId="8" borderId="0" xfId="0" applyNumberFormat="1" applyFont="1" applyFill="1"/>
    <xf numFmtId="1" fontId="17" fillId="8" borderId="73" xfId="0" applyNumberFormat="1" applyFont="1" applyFill="1" applyBorder="1"/>
    <xf numFmtId="1" fontId="17" fillId="8" borderId="71" xfId="0" applyNumberFormat="1" applyFont="1" applyFill="1" applyBorder="1"/>
    <xf numFmtId="0" fontId="0" fillId="8" borderId="88" xfId="0" applyFill="1" applyBorder="1"/>
    <xf numFmtId="0" fontId="0" fillId="8" borderId="0" xfId="0" applyFill="1"/>
    <xf numFmtId="0" fontId="0" fillId="8" borderId="73" xfId="0" applyFill="1" applyBorder="1"/>
    <xf numFmtId="0" fontId="0" fillId="8" borderId="71" xfId="0" applyFill="1" applyBorder="1"/>
    <xf numFmtId="0" fontId="0" fillId="9" borderId="73" xfId="0" applyFill="1" applyBorder="1"/>
    <xf numFmtId="1" fontId="17" fillId="9" borderId="89" xfId="0" applyNumberFormat="1" applyFont="1" applyFill="1" applyBorder="1"/>
    <xf numFmtId="1" fontId="17" fillId="9" borderId="75" xfId="0" applyNumberFormat="1" applyFont="1" applyFill="1" applyBorder="1"/>
    <xf numFmtId="1" fontId="17" fillId="9" borderId="97" xfId="0" applyNumberFormat="1" applyFont="1" applyFill="1" applyBorder="1"/>
    <xf numFmtId="1" fontId="17" fillId="9" borderId="92" xfId="0" applyNumberFormat="1" applyFont="1" applyFill="1" applyBorder="1"/>
    <xf numFmtId="0" fontId="0" fillId="9" borderId="88" xfId="0" applyFill="1" applyBorder="1"/>
    <xf numFmtId="0" fontId="0" fillId="9" borderId="71" xfId="0" applyFill="1" applyBorder="1"/>
    <xf numFmtId="0" fontId="0" fillId="9" borderId="93" xfId="0" applyFill="1" applyBorder="1"/>
    <xf numFmtId="0" fontId="0" fillId="9" borderId="76" xfId="0" applyFill="1" applyBorder="1"/>
    <xf numFmtId="0" fontId="0" fillId="9" borderId="98" xfId="0" applyFill="1" applyBorder="1"/>
    <xf numFmtId="0" fontId="0" fillId="9" borderId="96" xfId="0" applyFill="1" applyBorder="1"/>
    <xf numFmtId="1" fontId="17" fillId="9" borderId="88" xfId="0" applyNumberFormat="1" applyFont="1" applyFill="1" applyBorder="1"/>
    <xf numFmtId="1" fontId="17" fillId="9" borderId="0" xfId="0" applyNumberFormat="1" applyFont="1" applyFill="1"/>
    <xf numFmtId="1" fontId="17" fillId="9" borderId="73" xfId="0" applyNumberFormat="1" applyFont="1" applyFill="1" applyBorder="1"/>
    <xf numFmtId="1" fontId="17" fillId="9" borderId="71" xfId="0" applyNumberFormat="1" applyFont="1" applyFill="1" applyBorder="1"/>
    <xf numFmtId="0" fontId="0" fillId="15" borderId="99" xfId="0" applyFill="1" applyBorder="1" applyAlignment="1">
      <alignment horizontal="center"/>
    </xf>
    <xf numFmtId="0" fontId="0" fillId="2" borderId="100" xfId="0" applyFill="1" applyBorder="1" applyAlignment="1">
      <alignment horizontal="center"/>
    </xf>
    <xf numFmtId="1" fontId="20" fillId="0" borderId="0" xfId="0" applyNumberFormat="1" applyFont="1"/>
    <xf numFmtId="0" fontId="5" fillId="14" borderId="60" xfId="0" applyFont="1" applyFill="1" applyBorder="1" applyAlignment="1">
      <alignment horizontal="right"/>
    </xf>
    <xf numFmtId="1" fontId="5" fillId="14" borderId="0" xfId="0" applyNumberFormat="1" applyFont="1" applyFill="1"/>
    <xf numFmtId="1" fontId="5" fillId="14" borderId="69" xfId="0" applyNumberFormat="1" applyFont="1" applyFill="1" applyBorder="1"/>
    <xf numFmtId="1" fontId="0" fillId="0" borderId="73" xfId="0" applyNumberFormat="1" applyBorder="1" applyAlignment="1">
      <alignment horizontal="center"/>
    </xf>
    <xf numFmtId="9" fontId="0" fillId="8" borderId="80" xfId="1" applyFont="1" applyFill="1" applyBorder="1" applyAlignment="1">
      <alignment horizontal="center"/>
    </xf>
    <xf numFmtId="9" fontId="0" fillId="8" borderId="74" xfId="1" applyFont="1" applyFill="1" applyBorder="1" applyAlignment="1">
      <alignment horizontal="center"/>
    </xf>
    <xf numFmtId="9" fontId="0" fillId="8" borderId="65" xfId="1" applyFont="1" applyFill="1" applyBorder="1" applyAlignment="1">
      <alignment horizontal="center"/>
    </xf>
    <xf numFmtId="175" fontId="0" fillId="0" borderId="14" xfId="0" applyNumberFormat="1" applyBorder="1"/>
    <xf numFmtId="3" fontId="0" fillId="0" borderId="14" xfId="0" applyNumberFormat="1" applyBorder="1"/>
    <xf numFmtId="169" fontId="0" fillId="0" borderId="14" xfId="4" applyNumberFormat="1" applyFont="1" applyBorder="1"/>
    <xf numFmtId="169" fontId="0" fillId="0" borderId="14" xfId="0" applyNumberFormat="1" applyBorder="1"/>
    <xf numFmtId="165" fontId="0" fillId="0" borderId="14" xfId="2" applyNumberFormat="1" applyFont="1" applyBorder="1"/>
    <xf numFmtId="175" fontId="0" fillId="0" borderId="51" xfId="0" applyNumberFormat="1" applyBorder="1"/>
    <xf numFmtId="3" fontId="0" fillId="0" borderId="51" xfId="0" applyNumberFormat="1" applyBorder="1"/>
    <xf numFmtId="169" fontId="0" fillId="0" borderId="51" xfId="4" applyNumberFormat="1" applyFont="1" applyBorder="1"/>
    <xf numFmtId="169" fontId="0" fillId="0" borderId="51" xfId="0" applyNumberFormat="1" applyBorder="1"/>
    <xf numFmtId="165" fontId="0" fillId="0" borderId="51" xfId="2" applyNumberFormat="1" applyFont="1" applyBorder="1"/>
    <xf numFmtId="169" fontId="0" fillId="0" borderId="38" xfId="4" applyNumberFormat="1" applyFont="1" applyBorder="1"/>
    <xf numFmtId="169" fontId="0" fillId="0" borderId="39" xfId="4" applyNumberFormat="1" applyFont="1" applyBorder="1"/>
    <xf numFmtId="175" fontId="0" fillId="0" borderId="35" xfId="0" applyNumberFormat="1" applyBorder="1"/>
    <xf numFmtId="175" fontId="0" fillId="0" borderId="36" xfId="0" applyNumberFormat="1" applyBorder="1"/>
    <xf numFmtId="0" fontId="0" fillId="0" borderId="46" xfId="0" applyBorder="1" applyAlignment="1">
      <alignment horizontal="right"/>
    </xf>
    <xf numFmtId="0" fontId="0" fillId="0" borderId="54" xfId="0" applyBorder="1" applyAlignment="1">
      <alignment horizontal="right"/>
    </xf>
    <xf numFmtId="0" fontId="0" fillId="0" borderId="54" xfId="2" applyNumberFormat="1" applyFont="1" applyBorder="1" applyAlignment="1">
      <alignment horizontal="right"/>
    </xf>
    <xf numFmtId="0" fontId="0" fillId="0" borderId="40" xfId="0" applyBorder="1" applyAlignment="1">
      <alignment horizontal="right"/>
    </xf>
    <xf numFmtId="3" fontId="0" fillId="8" borderId="34" xfId="0" applyNumberFormat="1" applyFill="1" applyBorder="1"/>
    <xf numFmtId="169" fontId="0" fillId="8" borderId="50" xfId="4" applyNumberFormat="1" applyFont="1" applyFill="1" applyBorder="1"/>
    <xf numFmtId="3" fontId="0" fillId="0" borderId="50" xfId="0" applyNumberFormat="1" applyBorder="1"/>
    <xf numFmtId="169" fontId="0" fillId="0" borderId="50" xfId="4" applyNumberFormat="1" applyFont="1" applyBorder="1"/>
    <xf numFmtId="169" fontId="0" fillId="0" borderId="50" xfId="0" applyNumberFormat="1" applyBorder="1"/>
    <xf numFmtId="165" fontId="0" fillId="0" borderId="50" xfId="2" applyNumberFormat="1" applyFont="1" applyBorder="1"/>
    <xf numFmtId="169" fontId="0" fillId="0" borderId="37" xfId="4" applyNumberFormat="1" applyFont="1" applyBorder="1"/>
    <xf numFmtId="9" fontId="0" fillId="8" borderId="34" xfId="1" applyFont="1" applyFill="1" applyBorder="1"/>
    <xf numFmtId="0" fontId="21" fillId="14" borderId="17" xfId="0" applyFont="1" applyFill="1" applyBorder="1"/>
    <xf numFmtId="0" fontId="0" fillId="14" borderId="17" xfId="0" applyFill="1" applyBorder="1"/>
    <xf numFmtId="0" fontId="0" fillId="14" borderId="18" xfId="0" applyFill="1" applyBorder="1"/>
    <xf numFmtId="0" fontId="0" fillId="14" borderId="16" xfId="0" applyFill="1" applyBorder="1"/>
    <xf numFmtId="0" fontId="0" fillId="14" borderId="89" xfId="0" applyFill="1" applyBorder="1"/>
    <xf numFmtId="0" fontId="0" fillId="14" borderId="75" xfId="0" applyFill="1" applyBorder="1"/>
    <xf numFmtId="0" fontId="0" fillId="14" borderId="97" xfId="0" applyFill="1" applyBorder="1"/>
    <xf numFmtId="0" fontId="0" fillId="14" borderId="92" xfId="0" applyFill="1" applyBorder="1"/>
    <xf numFmtId="9" fontId="0" fillId="14" borderId="16" xfId="1" applyFont="1" applyFill="1" applyBorder="1"/>
    <xf numFmtId="9" fontId="0" fillId="14" borderId="17" xfId="0" applyNumberFormat="1" applyFill="1" applyBorder="1"/>
    <xf numFmtId="9" fontId="0" fillId="14" borderId="18" xfId="0" applyNumberFormat="1" applyFill="1" applyBorder="1"/>
    <xf numFmtId="1" fontId="0" fillId="14" borderId="17" xfId="0" applyNumberFormat="1" applyFill="1" applyBorder="1"/>
    <xf numFmtId="1" fontId="17" fillId="14" borderId="89" xfId="0" applyNumberFormat="1" applyFont="1" applyFill="1" applyBorder="1"/>
    <xf numFmtId="1" fontId="17" fillId="14" borderId="75" xfId="0" applyNumberFormat="1" applyFont="1" applyFill="1" applyBorder="1"/>
    <xf numFmtId="1" fontId="17" fillId="14" borderId="97" xfId="0" applyNumberFormat="1" applyFont="1" applyFill="1" applyBorder="1"/>
    <xf numFmtId="1" fontId="17" fillId="14" borderId="92" xfId="0" applyNumberFormat="1" applyFont="1" applyFill="1" applyBorder="1"/>
    <xf numFmtId="0" fontId="0" fillId="14" borderId="21" xfId="0" applyFill="1" applyBorder="1"/>
    <xf numFmtId="0" fontId="0" fillId="14" borderId="20" xfId="0" applyFill="1" applyBorder="1"/>
    <xf numFmtId="9" fontId="0" fillId="14" borderId="19" xfId="1" applyFont="1" applyFill="1" applyBorder="1"/>
    <xf numFmtId="9" fontId="0" fillId="14" borderId="20" xfId="0" applyNumberFormat="1" applyFill="1" applyBorder="1"/>
    <xf numFmtId="9" fontId="0" fillId="14" borderId="21" xfId="0" applyNumberFormat="1" applyFill="1" applyBorder="1"/>
    <xf numFmtId="1" fontId="0" fillId="14" borderId="20" xfId="0" applyNumberFormat="1" applyFill="1" applyBorder="1"/>
    <xf numFmtId="0" fontId="0" fillId="14" borderId="20" xfId="0" applyFill="1" applyBorder="1" applyAlignment="1">
      <alignment horizontal="center"/>
    </xf>
    <xf numFmtId="0" fontId="0" fillId="14" borderId="93" xfId="0" applyFill="1" applyBorder="1"/>
    <xf numFmtId="0" fontId="0" fillId="14" borderId="76" xfId="0" applyFill="1" applyBorder="1"/>
    <xf numFmtId="0" fontId="0" fillId="14" borderId="98" xfId="0" applyFill="1" applyBorder="1"/>
    <xf numFmtId="0" fontId="0" fillId="14" borderId="96" xfId="0" applyFill="1" applyBorder="1"/>
    <xf numFmtId="0" fontId="0" fillId="14" borderId="15" xfId="0" applyFill="1" applyBorder="1"/>
    <xf numFmtId="0" fontId="0" fillId="14" borderId="0" xfId="0" applyFill="1"/>
    <xf numFmtId="9" fontId="0" fillId="14" borderId="8" xfId="1" applyFont="1" applyFill="1" applyBorder="1"/>
    <xf numFmtId="9" fontId="0" fillId="14" borderId="0" xfId="0" applyNumberFormat="1" applyFill="1"/>
    <xf numFmtId="9" fontId="0" fillId="14" borderId="15" xfId="0" applyNumberFormat="1" applyFill="1" applyBorder="1"/>
    <xf numFmtId="1" fontId="0" fillId="14" borderId="0" xfId="0" applyNumberFormat="1" applyFill="1"/>
    <xf numFmtId="0" fontId="0" fillId="14" borderId="0" xfId="0" applyFill="1" applyAlignment="1">
      <alignment horizontal="center"/>
    </xf>
    <xf numFmtId="1" fontId="17" fillId="14" borderId="88" xfId="0" applyNumberFormat="1" applyFont="1" applyFill="1" applyBorder="1"/>
    <xf numFmtId="1" fontId="17" fillId="14" borderId="0" xfId="0" applyNumberFormat="1" applyFont="1" applyFill="1"/>
    <xf numFmtId="1" fontId="17" fillId="14" borderId="73" xfId="0" applyNumberFormat="1" applyFont="1" applyFill="1" applyBorder="1"/>
    <xf numFmtId="1" fontId="17" fillId="14" borderId="71" xfId="0" applyNumberFormat="1" applyFont="1" applyFill="1" applyBorder="1"/>
    <xf numFmtId="0" fontId="0" fillId="14" borderId="88" xfId="0" applyFill="1" applyBorder="1"/>
    <xf numFmtId="0" fontId="0" fillId="14" borderId="73" xfId="0" applyFill="1" applyBorder="1"/>
    <xf numFmtId="0" fontId="0" fillId="14" borderId="71" xfId="0" applyFill="1" applyBorder="1"/>
    <xf numFmtId="0" fontId="0" fillId="14" borderId="90" xfId="0" applyFill="1" applyBorder="1"/>
    <xf numFmtId="9" fontId="0" fillId="14" borderId="91" xfId="1" applyFont="1" applyFill="1" applyBorder="1"/>
    <xf numFmtId="9" fontId="0" fillId="14" borderId="75" xfId="0" applyNumberFormat="1" applyFill="1" applyBorder="1"/>
    <xf numFmtId="9" fontId="0" fillId="14" borderId="90" xfId="0" applyNumberFormat="1" applyFill="1" applyBorder="1"/>
    <xf numFmtId="1" fontId="0" fillId="14" borderId="75" xfId="0" applyNumberFormat="1" applyFill="1" applyBorder="1"/>
    <xf numFmtId="0" fontId="0" fillId="14" borderId="75" xfId="0" applyFill="1" applyBorder="1" applyAlignment="1">
      <alignment horizontal="center"/>
    </xf>
    <xf numFmtId="0" fontId="0" fillId="14" borderId="94" xfId="0" applyFill="1" applyBorder="1"/>
    <xf numFmtId="9" fontId="0" fillId="14" borderId="95" xfId="1" applyFont="1" applyFill="1" applyBorder="1"/>
    <xf numFmtId="9" fontId="0" fillId="14" borderId="76" xfId="0" applyNumberFormat="1" applyFill="1" applyBorder="1"/>
    <xf numFmtId="9" fontId="0" fillId="14" borderId="94" xfId="0" applyNumberFormat="1" applyFill="1" applyBorder="1"/>
    <xf numFmtId="1" fontId="0" fillId="14" borderId="76" xfId="0" applyNumberFormat="1" applyFill="1" applyBorder="1"/>
    <xf numFmtId="0" fontId="0" fillId="14" borderId="76" xfId="0" applyFill="1" applyBorder="1" applyAlignment="1">
      <alignment horizontal="center"/>
    </xf>
    <xf numFmtId="0" fontId="0" fillId="14" borderId="99" xfId="0" applyFill="1" applyBorder="1" applyAlignment="1">
      <alignment horizontal="center"/>
    </xf>
    <xf numFmtId="0" fontId="0" fillId="14" borderId="100" xfId="0" applyFill="1" applyBorder="1" applyAlignment="1">
      <alignment horizontal="center"/>
    </xf>
    <xf numFmtId="0" fontId="0" fillId="14" borderId="19" xfId="0" applyFill="1" applyBorder="1"/>
    <xf numFmtId="9" fontId="0" fillId="14" borderId="20" xfId="1" applyFont="1" applyFill="1" applyBorder="1"/>
    <xf numFmtId="0" fontId="18" fillId="0" borderId="47" xfId="0" applyFont="1" applyBorder="1" applyAlignment="1">
      <alignment vertical="center" textRotation="90"/>
    </xf>
    <xf numFmtId="0" fontId="18" fillId="0" borderId="48" xfId="0" applyFont="1" applyBorder="1" applyAlignment="1">
      <alignment vertical="center" textRotation="90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8" borderId="0" xfId="0" applyFill="1" applyAlignment="1">
      <alignment horizontal="left"/>
    </xf>
    <xf numFmtId="0" fontId="0" fillId="8" borderId="73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8" borderId="73" xfId="0" applyNumberForma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left"/>
    </xf>
    <xf numFmtId="0" fontId="0" fillId="18" borderId="0" xfId="0" applyFill="1"/>
    <xf numFmtId="0" fontId="0" fillId="18" borderId="73" xfId="0" applyFill="1" applyBorder="1" applyAlignment="1">
      <alignment horizontal="center"/>
    </xf>
    <xf numFmtId="165" fontId="0" fillId="3" borderId="17" xfId="2" applyNumberFormat="1" applyFont="1" applyFill="1" applyBorder="1"/>
    <xf numFmtId="165" fontId="0" fillId="15" borderId="17" xfId="2" applyNumberFormat="1" applyFont="1" applyFill="1" applyBorder="1"/>
    <xf numFmtId="165" fontId="0" fillId="9" borderId="17" xfId="2" applyNumberFormat="1" applyFont="1" applyFill="1" applyBorder="1"/>
    <xf numFmtId="165" fontId="0" fillId="16" borderId="17" xfId="2" applyNumberFormat="1" applyFont="1" applyFill="1" applyBorder="1"/>
    <xf numFmtId="165" fontId="0" fillId="8" borderId="17" xfId="2" applyNumberFormat="1" applyFont="1" applyFill="1" applyBorder="1"/>
    <xf numFmtId="14" fontId="0" fillId="0" borderId="0" xfId="0" applyNumberFormat="1" applyAlignment="1">
      <alignment horizontal="center"/>
    </xf>
    <xf numFmtId="14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19" borderId="0" xfId="0" quotePrefix="1" applyFill="1" applyAlignment="1">
      <alignment horizontal="center"/>
    </xf>
    <xf numFmtId="9" fontId="0" fillId="0" borderId="8" xfId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2" fillId="0" borderId="0" xfId="9"/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9" fontId="0" fillId="0" borderId="17" xfId="4" applyNumberFormat="1" applyFont="1" applyBorder="1" applyAlignment="1">
      <alignment horizontal="center"/>
    </xf>
    <xf numFmtId="44" fontId="0" fillId="0" borderId="15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" fontId="0" fillId="0" borderId="15" xfId="0" applyNumberFormat="1" applyBorder="1"/>
    <xf numFmtId="1" fontId="0" fillId="3" borderId="20" xfId="0" applyNumberFormat="1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20" xfId="1" applyNumberFormat="1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9" fontId="0" fillId="0" borderId="15" xfId="4" applyNumberFormat="1" applyFont="1" applyBorder="1" applyAlignment="1">
      <alignment horizontal="center"/>
    </xf>
    <xf numFmtId="44" fontId="0" fillId="0" borderId="0" xfId="0" applyNumberFormat="1" applyAlignment="1">
      <alignment horizontal="center"/>
    </xf>
    <xf numFmtId="169" fontId="0" fillId="0" borderId="47" xfId="4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47" xfId="0" applyNumberFormat="1" applyBorder="1" applyAlignment="1">
      <alignment horizontal="center"/>
    </xf>
    <xf numFmtId="169" fontId="0" fillId="0" borderId="48" xfId="0" applyNumberFormat="1" applyBorder="1" applyAlignment="1">
      <alignment horizontal="center"/>
    </xf>
    <xf numFmtId="0" fontId="0" fillId="0" borderId="58" xfId="0" applyBorder="1" applyAlignment="1">
      <alignment horizontal="center" wrapText="1"/>
    </xf>
    <xf numFmtId="0" fontId="0" fillId="0" borderId="58" xfId="0" applyBorder="1" applyAlignment="1">
      <alignment horizontal="center"/>
    </xf>
    <xf numFmtId="0" fontId="0" fillId="0" borderId="58" xfId="0" applyBorder="1"/>
    <xf numFmtId="1" fontId="0" fillId="9" borderId="16" xfId="1" applyNumberFormat="1" applyFont="1" applyFill="1" applyBorder="1" applyAlignment="1">
      <alignment horizontal="center"/>
    </xf>
    <xf numFmtId="1" fontId="0" fillId="9" borderId="17" xfId="0" applyNumberFormat="1" applyFill="1" applyBorder="1" applyAlignment="1">
      <alignment horizontal="center"/>
    </xf>
    <xf numFmtId="1" fontId="0" fillId="9" borderId="20" xfId="0" applyNumberFormat="1" applyFill="1" applyBorder="1" applyAlignment="1">
      <alignment horizontal="center"/>
    </xf>
    <xf numFmtId="1" fontId="0" fillId="3" borderId="16" xfId="1" applyNumberFormat="1" applyFont="1" applyFill="1" applyBorder="1" applyAlignment="1">
      <alignment horizontal="center"/>
    </xf>
    <xf numFmtId="9" fontId="0" fillId="3" borderId="0" xfId="0" applyNumberFormat="1" applyFill="1"/>
    <xf numFmtId="0" fontId="0" fillId="3" borderId="0" xfId="0" applyFill="1" applyAlignment="1">
      <alignment horizontal="center"/>
    </xf>
    <xf numFmtId="1" fontId="0" fillId="8" borderId="16" xfId="1" applyNumberFormat="1" applyFont="1" applyFill="1" applyBorder="1" applyAlignment="1">
      <alignment horizontal="center"/>
    </xf>
    <xf numFmtId="9" fontId="0" fillId="8" borderId="0" xfId="0" applyNumberFormat="1" applyFill="1"/>
    <xf numFmtId="1" fontId="0" fillId="8" borderId="20" xfId="0" applyNumberFormat="1" applyFill="1" applyBorder="1" applyAlignment="1">
      <alignment horizontal="center"/>
    </xf>
    <xf numFmtId="1" fontId="0" fillId="16" borderId="16" xfId="1" applyNumberFormat="1" applyFont="1" applyFill="1" applyBorder="1" applyAlignment="1">
      <alignment horizontal="center"/>
    </xf>
    <xf numFmtId="1" fontId="17" fillId="16" borderId="89" xfId="0" applyNumberFormat="1" applyFont="1" applyFill="1" applyBorder="1"/>
    <xf numFmtId="1" fontId="17" fillId="16" borderId="75" xfId="0" applyNumberFormat="1" applyFont="1" applyFill="1" applyBorder="1"/>
    <xf numFmtId="1" fontId="17" fillId="16" borderId="97" xfId="0" applyNumberFormat="1" applyFont="1" applyFill="1" applyBorder="1"/>
    <xf numFmtId="1" fontId="17" fillId="16" borderId="92" xfId="0" applyNumberFormat="1" applyFont="1" applyFill="1" applyBorder="1"/>
    <xf numFmtId="1" fontId="0" fillId="16" borderId="20" xfId="0" applyNumberFormat="1" applyFill="1" applyBorder="1" applyAlignment="1">
      <alignment horizontal="center"/>
    </xf>
    <xf numFmtId="1" fontId="0" fillId="15" borderId="16" xfId="1" applyNumberFormat="1" applyFont="1" applyFill="1" applyBorder="1" applyAlignment="1">
      <alignment horizontal="center"/>
    </xf>
    <xf numFmtId="1" fontId="0" fillId="15" borderId="17" xfId="0" applyNumberFormat="1" applyFill="1" applyBorder="1" applyAlignment="1">
      <alignment horizontal="center"/>
    </xf>
    <xf numFmtId="1" fontId="0" fillId="15" borderId="20" xfId="0" applyNumberFormat="1" applyFill="1" applyBorder="1" applyAlignment="1">
      <alignment horizontal="center"/>
    </xf>
    <xf numFmtId="164" fontId="0" fillId="8" borderId="18" xfId="0" applyNumberFormat="1" applyFill="1" applyBorder="1"/>
    <xf numFmtId="164" fontId="0" fillId="3" borderId="18" xfId="0" applyNumberFormat="1" applyFill="1" applyBorder="1"/>
    <xf numFmtId="164" fontId="0" fillId="9" borderId="18" xfId="0" applyNumberFormat="1" applyFill="1" applyBorder="1"/>
    <xf numFmtId="164" fontId="0" fillId="16" borderId="18" xfId="0" applyNumberFormat="1" applyFill="1" applyBorder="1"/>
    <xf numFmtId="9" fontId="0" fillId="3" borderId="16" xfId="1" applyFont="1" applyFill="1" applyBorder="1" applyAlignment="1">
      <alignment horizontal="center"/>
    </xf>
    <xf numFmtId="9" fontId="0" fillId="3" borderId="17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9" fontId="0" fillId="3" borderId="19" xfId="1" applyFont="1" applyFill="1" applyBorder="1" applyAlignment="1">
      <alignment horizontal="center"/>
    </xf>
    <xf numFmtId="9" fontId="0" fillId="3" borderId="20" xfId="0" applyNumberFormat="1" applyFill="1" applyBorder="1" applyAlignment="1">
      <alignment horizontal="center"/>
    </xf>
    <xf numFmtId="9" fontId="0" fillId="8" borderId="16" xfId="1" applyFont="1" applyFill="1" applyBorder="1" applyAlignment="1">
      <alignment horizontal="center"/>
    </xf>
    <xf numFmtId="9" fontId="0" fillId="8" borderId="17" xfId="0" applyNumberFormat="1" applyFill="1" applyBorder="1" applyAlignment="1">
      <alignment horizontal="center"/>
    </xf>
    <xf numFmtId="9" fontId="0" fillId="8" borderId="19" xfId="1" applyFont="1" applyFill="1" applyBorder="1" applyAlignment="1">
      <alignment horizontal="center"/>
    </xf>
    <xf numFmtId="9" fontId="0" fillId="8" borderId="20" xfId="0" applyNumberFormat="1" applyFill="1" applyBorder="1" applyAlignment="1">
      <alignment horizontal="center"/>
    </xf>
    <xf numFmtId="9" fontId="0" fillId="16" borderId="16" xfId="1" applyFont="1" applyFill="1" applyBorder="1" applyAlignment="1">
      <alignment horizontal="center"/>
    </xf>
    <xf numFmtId="9" fontId="0" fillId="16" borderId="17" xfId="0" applyNumberFormat="1" applyFill="1" applyBorder="1" applyAlignment="1">
      <alignment horizontal="center"/>
    </xf>
    <xf numFmtId="9" fontId="0" fillId="16" borderId="19" xfId="1" applyFont="1" applyFill="1" applyBorder="1" applyAlignment="1">
      <alignment horizontal="center"/>
    </xf>
    <xf numFmtId="9" fontId="0" fillId="16" borderId="20" xfId="0" applyNumberFormat="1" applyFill="1" applyBorder="1" applyAlignment="1">
      <alignment horizontal="center"/>
    </xf>
    <xf numFmtId="9" fontId="0" fillId="9" borderId="16" xfId="1" applyFont="1" applyFill="1" applyBorder="1" applyAlignment="1">
      <alignment horizontal="center"/>
    </xf>
    <xf numFmtId="9" fontId="0" fillId="9" borderId="17" xfId="0" applyNumberFormat="1" applyFill="1" applyBorder="1" applyAlignment="1">
      <alignment horizontal="center"/>
    </xf>
    <xf numFmtId="9" fontId="0" fillId="9" borderId="19" xfId="1" applyFont="1" applyFill="1" applyBorder="1" applyAlignment="1">
      <alignment horizontal="center"/>
    </xf>
    <xf numFmtId="9" fontId="0" fillId="9" borderId="20" xfId="0" applyNumberFormat="1" applyFill="1" applyBorder="1" applyAlignment="1">
      <alignment horizontal="center"/>
    </xf>
    <xf numFmtId="9" fontId="0" fillId="9" borderId="8" xfId="1" applyFont="1" applyFill="1" applyBorder="1" applyAlignment="1">
      <alignment horizontal="center"/>
    </xf>
    <xf numFmtId="9" fontId="0" fillId="9" borderId="0" xfId="0" applyNumberFormat="1" applyFill="1" applyAlignment="1">
      <alignment horizontal="center"/>
    </xf>
    <xf numFmtId="1" fontId="0" fillId="3" borderId="19" xfId="0" applyNumberFormat="1" applyFill="1" applyBorder="1" applyAlignment="1">
      <alignment horizontal="center"/>
    </xf>
    <xf numFmtId="1" fontId="0" fillId="3" borderId="20" xfId="1" applyNumberFormat="1" applyFont="1" applyFill="1" applyBorder="1" applyAlignment="1">
      <alignment horizontal="center"/>
    </xf>
    <xf numFmtId="1" fontId="0" fillId="8" borderId="19" xfId="0" applyNumberFormat="1" applyFill="1" applyBorder="1" applyAlignment="1">
      <alignment horizontal="center"/>
    </xf>
    <xf numFmtId="1" fontId="0" fillId="8" borderId="20" xfId="1" applyNumberFormat="1" applyFont="1" applyFill="1" applyBorder="1" applyAlignment="1">
      <alignment horizontal="center"/>
    </xf>
    <xf numFmtId="1" fontId="0" fillId="16" borderId="19" xfId="0" applyNumberFormat="1" applyFill="1" applyBorder="1" applyAlignment="1">
      <alignment horizontal="center"/>
    </xf>
    <xf numFmtId="1" fontId="0" fillId="16" borderId="20" xfId="1" applyNumberFormat="1" applyFont="1" applyFill="1" applyBorder="1" applyAlignment="1">
      <alignment horizontal="center"/>
    </xf>
    <xf numFmtId="1" fontId="0" fillId="9" borderId="19" xfId="0" applyNumberFormat="1" applyFill="1" applyBorder="1" applyAlignment="1">
      <alignment horizontal="center"/>
    </xf>
    <xf numFmtId="1" fontId="0" fillId="9" borderId="20" xfId="1" applyNumberFormat="1" applyFon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27" xfId="0" applyNumberFormat="1" applyFill="1" applyBorder="1" applyAlignment="1">
      <alignment horizontal="center"/>
    </xf>
    <xf numFmtId="1" fontId="0" fillId="3" borderId="28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/>
    </xf>
    <xf numFmtId="9" fontId="0" fillId="8" borderId="28" xfId="0" applyNumberFormat="1" applyFill="1" applyBorder="1"/>
    <xf numFmtId="9" fontId="0" fillId="8" borderId="29" xfId="0" applyNumberFormat="1" applyFill="1" applyBorder="1"/>
    <xf numFmtId="1" fontId="0" fillId="16" borderId="0" xfId="0" applyNumberFormat="1" applyFill="1" applyAlignment="1">
      <alignment horizontal="center"/>
    </xf>
    <xf numFmtId="9" fontId="0" fillId="16" borderId="28" xfId="0" applyNumberFormat="1" applyFill="1" applyBorder="1"/>
    <xf numFmtId="9" fontId="0" fillId="16" borderId="29" xfId="0" applyNumberFormat="1" applyFill="1" applyBorder="1"/>
    <xf numFmtId="1" fontId="0" fillId="9" borderId="0" xfId="0" applyNumberFormat="1" applyFill="1" applyAlignment="1">
      <alignment horizontal="center"/>
    </xf>
    <xf numFmtId="1" fontId="0" fillId="9" borderId="0" xfId="1" applyNumberFormat="1" applyFont="1" applyFill="1" applyBorder="1" applyAlignment="1">
      <alignment horizontal="center"/>
    </xf>
    <xf numFmtId="1" fontId="0" fillId="3" borderId="0" xfId="0" applyNumberFormat="1" applyFill="1"/>
    <xf numFmtId="9" fontId="0" fillId="3" borderId="28" xfId="1" applyFont="1" applyFill="1" applyBorder="1" applyAlignment="1">
      <alignment horizontal="center"/>
    </xf>
    <xf numFmtId="1" fontId="20" fillId="8" borderId="20" xfId="0" applyNumberFormat="1" applyFont="1" applyFill="1" applyBorder="1" applyAlignment="1">
      <alignment horizontal="left"/>
    </xf>
    <xf numFmtId="1" fontId="0" fillId="3" borderId="21" xfId="0" applyNumberFormat="1" applyFill="1" applyBorder="1"/>
    <xf numFmtId="1" fontId="0" fillId="3" borderId="28" xfId="1" applyNumberFormat="1" applyFont="1" applyFill="1" applyBorder="1" applyAlignment="1">
      <alignment horizontal="center"/>
    </xf>
    <xf numFmtId="9" fontId="0" fillId="3" borderId="28" xfId="0" applyNumberFormat="1" applyFill="1" applyBorder="1"/>
    <xf numFmtId="9" fontId="0" fillId="3" borderId="29" xfId="0" applyNumberFormat="1" applyFill="1" applyBorder="1"/>
    <xf numFmtId="9" fontId="0" fillId="3" borderId="27" xfId="1" applyFont="1" applyFill="1" applyBorder="1" applyAlignment="1">
      <alignment horizontal="center"/>
    </xf>
    <xf numFmtId="1" fontId="0" fillId="16" borderId="21" xfId="0" applyNumberFormat="1" applyFill="1" applyBorder="1"/>
    <xf numFmtId="1" fontId="20" fillId="16" borderId="20" xfId="0" applyNumberFormat="1" applyFont="1" applyFill="1" applyBorder="1" applyAlignment="1">
      <alignment horizontal="left"/>
    </xf>
    <xf numFmtId="1" fontId="0" fillId="8" borderId="16" xfId="0" applyNumberFormat="1" applyFill="1" applyBorder="1" applyAlignment="1">
      <alignment horizontal="center"/>
    </xf>
    <xf numFmtId="1" fontId="0" fillId="8" borderId="17" xfId="1" applyNumberFormat="1" applyFont="1" applyFill="1" applyBorder="1" applyAlignment="1">
      <alignment horizontal="center"/>
    </xf>
    <xf numFmtId="1" fontId="0" fillId="8" borderId="17" xfId="0" applyNumberFormat="1" applyFill="1" applyBorder="1" applyAlignment="1">
      <alignment horizontal="center"/>
    </xf>
    <xf numFmtId="9" fontId="0" fillId="8" borderId="27" xfId="1" applyFont="1" applyFill="1" applyBorder="1" applyAlignment="1">
      <alignment horizontal="center"/>
    </xf>
    <xf numFmtId="9" fontId="0" fillId="8" borderId="28" xfId="1" applyFont="1" applyFill="1" applyBorder="1" applyAlignment="1">
      <alignment horizontal="center"/>
    </xf>
    <xf numFmtId="1" fontId="0" fillId="16" borderId="16" xfId="0" applyNumberFormat="1" applyFill="1" applyBorder="1" applyAlignment="1">
      <alignment horizontal="center"/>
    </xf>
    <xf numFmtId="1" fontId="0" fillId="16" borderId="0" xfId="1" applyNumberFormat="1" applyFont="1" applyFill="1" applyBorder="1" applyAlignment="1">
      <alignment horizontal="center"/>
    </xf>
    <xf numFmtId="9" fontId="0" fillId="16" borderId="15" xfId="0" applyNumberFormat="1" applyFill="1" applyBorder="1"/>
    <xf numFmtId="9" fontId="0" fillId="16" borderId="27" xfId="1" applyFont="1" applyFill="1" applyBorder="1" applyAlignment="1">
      <alignment horizontal="center"/>
    </xf>
    <xf numFmtId="9" fontId="0" fillId="16" borderId="28" xfId="1" applyFont="1" applyFill="1" applyBorder="1" applyAlignment="1">
      <alignment horizontal="center"/>
    </xf>
    <xf numFmtId="1" fontId="0" fillId="9" borderId="21" xfId="0" applyNumberFormat="1" applyFill="1" applyBorder="1"/>
    <xf numFmtId="9" fontId="0" fillId="9" borderId="28" xfId="1" applyFont="1" applyFill="1" applyBorder="1" applyAlignment="1">
      <alignment horizontal="center"/>
    </xf>
    <xf numFmtId="9" fontId="0" fillId="9" borderId="28" xfId="0" applyNumberFormat="1" applyFill="1" applyBorder="1"/>
    <xf numFmtId="9" fontId="0" fillId="9" borderId="29" xfId="0" applyNumberFormat="1" applyFill="1" applyBorder="1"/>
    <xf numFmtId="1" fontId="20" fillId="9" borderId="27" xfId="0" applyNumberFormat="1" applyFont="1" applyFill="1" applyBorder="1" applyAlignment="1">
      <alignment horizontal="left"/>
    </xf>
    <xf numFmtId="1" fontId="0" fillId="9" borderId="28" xfId="0" applyNumberFormat="1" applyFill="1" applyBorder="1" applyAlignment="1">
      <alignment horizontal="center"/>
    </xf>
    <xf numFmtId="0" fontId="0" fillId="8" borderId="15" xfId="0" applyFill="1" applyBorder="1"/>
    <xf numFmtId="0" fontId="0" fillId="8" borderId="15" xfId="0" applyFill="1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0" fillId="0" borderId="49" xfId="0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4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2" fillId="0" borderId="14" xfId="0" quotePrefix="1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2" xfId="0" applyFont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quotePrefix="1" applyBorder="1" applyAlignment="1">
      <alignment horizontal="center" vertical="center" wrapText="1"/>
    </xf>
    <xf numFmtId="14" fontId="7" fillId="9" borderId="0" xfId="0" applyNumberFormat="1" applyFont="1" applyFill="1" applyAlignment="1">
      <alignment horizontal="center" vertical="center"/>
    </xf>
    <xf numFmtId="0" fontId="0" fillId="0" borderId="17" xfId="0" quotePrefix="1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19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21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9" fontId="0" fillId="3" borderId="16" xfId="0" applyNumberFormat="1" applyFill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1" fontId="20" fillId="3" borderId="27" xfId="0" applyNumberFormat="1" applyFont="1" applyFill="1" applyBorder="1" applyAlignment="1">
      <alignment horizontal="left"/>
    </xf>
    <xf numFmtId="1" fontId="20" fillId="3" borderId="28" xfId="0" applyNumberFormat="1" applyFont="1" applyFill="1" applyBorder="1" applyAlignment="1">
      <alignment horizontal="left"/>
    </xf>
    <xf numFmtId="1" fontId="20" fillId="3" borderId="29" xfId="0" applyNumberFormat="1" applyFont="1" applyFill="1" applyBorder="1" applyAlignment="1">
      <alignment horizontal="left"/>
    </xf>
    <xf numFmtId="9" fontId="0" fillId="8" borderId="16" xfId="0" applyNumberFormat="1" applyFill="1" applyBorder="1" applyAlignment="1">
      <alignment horizontal="center"/>
    </xf>
    <xf numFmtId="9" fontId="0" fillId="8" borderId="18" xfId="0" applyNumberFormat="1" applyFill="1" applyBorder="1" applyAlignment="1">
      <alignment horizontal="center"/>
    </xf>
    <xf numFmtId="9" fontId="0" fillId="16" borderId="16" xfId="0" applyNumberFormat="1" applyFill="1" applyBorder="1" applyAlignment="1">
      <alignment horizontal="center"/>
    </xf>
    <xf numFmtId="9" fontId="0" fillId="16" borderId="18" xfId="0" applyNumberFormat="1" applyFill="1" applyBorder="1" applyAlignment="1">
      <alignment horizontal="center"/>
    </xf>
    <xf numFmtId="9" fontId="0" fillId="9" borderId="16" xfId="0" applyNumberFormat="1" applyFill="1" applyBorder="1" applyAlignment="1">
      <alignment horizontal="center"/>
    </xf>
    <xf numFmtId="9" fontId="0" fillId="9" borderId="18" xfId="0" applyNumberFormat="1" applyFill="1" applyBorder="1" applyAlignment="1">
      <alignment horizontal="center"/>
    </xf>
    <xf numFmtId="0" fontId="20" fillId="15" borderId="17" xfId="0" applyFont="1" applyFill="1" applyBorder="1" applyAlignment="1">
      <alignment horizontal="left" vertical="center"/>
    </xf>
    <xf numFmtId="0" fontId="20" fillId="15" borderId="20" xfId="0" applyFont="1" applyFill="1" applyBorder="1" applyAlignment="1">
      <alignment horizontal="left" vertical="center"/>
    </xf>
    <xf numFmtId="0" fontId="20" fillId="15" borderId="0" xfId="0" applyFont="1" applyFill="1" applyAlignment="1">
      <alignment horizontal="left" vertical="center"/>
    </xf>
    <xf numFmtId="0" fontId="20" fillId="8" borderId="17" xfId="0" applyFont="1" applyFill="1" applyBorder="1" applyAlignment="1">
      <alignment horizontal="left" vertical="center"/>
    </xf>
    <xf numFmtId="0" fontId="20" fillId="8" borderId="2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left" vertical="center"/>
    </xf>
    <xf numFmtId="0" fontId="20" fillId="9" borderId="20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0" fillId="0" borderId="0" xfId="0" applyAlignment="1">
      <alignment horizontal="center" vertical="center" textRotation="90" wrapText="1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20" fillId="15" borderId="75" xfId="0" applyFont="1" applyFill="1" applyBorder="1" applyAlignment="1">
      <alignment horizontal="left" vertical="center"/>
    </xf>
    <xf numFmtId="0" fontId="20" fillId="15" borderId="76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 textRotation="90" wrapText="1"/>
    </xf>
    <xf numFmtId="0" fontId="20" fillId="3" borderId="17" xfId="0" applyFont="1" applyFill="1" applyBorder="1" applyAlignment="1">
      <alignment horizontal="left" vertical="center"/>
    </xf>
    <xf numFmtId="0" fontId="20" fillId="3" borderId="2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0" fillId="16" borderId="17" xfId="0" applyFont="1" applyFill="1" applyBorder="1" applyAlignment="1">
      <alignment horizontal="left" vertical="center"/>
    </xf>
    <xf numFmtId="0" fontId="20" fillId="16" borderId="20" xfId="0" applyFont="1" applyFill="1" applyBorder="1" applyAlignment="1">
      <alignment horizontal="left" vertical="center"/>
    </xf>
    <xf numFmtId="0" fontId="18" fillId="0" borderId="31" xfId="0" applyFont="1" applyBorder="1" applyAlignment="1">
      <alignment horizontal="center" vertical="center" textRotation="90"/>
    </xf>
    <xf numFmtId="0" fontId="18" fillId="0" borderId="33" xfId="0" applyFont="1" applyBorder="1" applyAlignment="1">
      <alignment horizontal="center" vertical="center" textRotation="90"/>
    </xf>
    <xf numFmtId="0" fontId="20" fillId="3" borderId="42" xfId="0" applyFont="1" applyFill="1" applyBorder="1" applyAlignment="1">
      <alignment horizontal="left" vertical="center"/>
    </xf>
    <xf numFmtId="0" fontId="20" fillId="3" borderId="18" xfId="0" applyFont="1" applyFill="1" applyBorder="1" applyAlignment="1">
      <alignment horizontal="left" vertical="center"/>
    </xf>
    <xf numFmtId="0" fontId="20" fillId="3" borderId="55" xfId="0" applyFont="1" applyFill="1" applyBorder="1" applyAlignment="1">
      <alignment horizontal="left" vertical="center"/>
    </xf>
    <xf numFmtId="0" fontId="20" fillId="3" borderId="21" xfId="0" applyFont="1" applyFill="1" applyBorder="1" applyAlignment="1">
      <alignment horizontal="left" vertical="center"/>
    </xf>
    <xf numFmtId="0" fontId="20" fillId="8" borderId="42" xfId="0" applyFont="1" applyFill="1" applyBorder="1" applyAlignment="1">
      <alignment horizontal="left" vertical="center"/>
    </xf>
    <xf numFmtId="0" fontId="20" fillId="8" borderId="18" xfId="0" applyFont="1" applyFill="1" applyBorder="1" applyAlignment="1">
      <alignment horizontal="left" vertical="center"/>
    </xf>
    <xf numFmtId="0" fontId="20" fillId="14" borderId="17" xfId="0" applyFont="1" applyFill="1" applyBorder="1" applyAlignment="1">
      <alignment horizontal="left" vertical="center"/>
    </xf>
    <xf numFmtId="0" fontId="20" fillId="14" borderId="20" xfId="0" applyFont="1" applyFill="1" applyBorder="1" applyAlignment="1">
      <alignment horizontal="left" vertical="center"/>
    </xf>
    <xf numFmtId="0" fontId="20" fillId="9" borderId="27" xfId="0" applyFont="1" applyFill="1" applyBorder="1" applyAlignment="1">
      <alignment horizontal="left" vertical="center"/>
    </xf>
    <xf numFmtId="0" fontId="20" fillId="9" borderId="28" xfId="0" applyFont="1" applyFill="1" applyBorder="1" applyAlignment="1">
      <alignment horizontal="left" vertical="center"/>
    </xf>
    <xf numFmtId="0" fontId="20" fillId="9" borderId="29" xfId="0" applyFont="1" applyFill="1" applyBorder="1" applyAlignment="1">
      <alignment horizontal="left" vertical="center"/>
    </xf>
    <xf numFmtId="0" fontId="20" fillId="8" borderId="55" xfId="0" applyFont="1" applyFill="1" applyBorder="1" applyAlignment="1">
      <alignment horizontal="left" vertical="center"/>
    </xf>
    <xf numFmtId="0" fontId="20" fillId="8" borderId="21" xfId="0" applyFont="1" applyFill="1" applyBorder="1" applyAlignment="1">
      <alignment horizontal="left" vertical="center"/>
    </xf>
    <xf numFmtId="0" fontId="20" fillId="16" borderId="42" xfId="0" applyFont="1" applyFill="1" applyBorder="1" applyAlignment="1">
      <alignment horizontal="left" vertical="center"/>
    </xf>
    <xf numFmtId="0" fontId="20" fillId="16" borderId="18" xfId="0" applyFont="1" applyFill="1" applyBorder="1" applyAlignment="1">
      <alignment horizontal="left" vertical="center"/>
    </xf>
    <xf numFmtId="0" fontId="20" fillId="16" borderId="55" xfId="0" applyFont="1" applyFill="1" applyBorder="1" applyAlignment="1">
      <alignment horizontal="left" vertical="center"/>
    </xf>
    <xf numFmtId="0" fontId="20" fillId="16" borderId="21" xfId="0" applyFont="1" applyFill="1" applyBorder="1" applyAlignment="1">
      <alignment horizontal="left" vertical="center"/>
    </xf>
    <xf numFmtId="0" fontId="20" fillId="9" borderId="42" xfId="0" applyFont="1" applyFill="1" applyBorder="1" applyAlignment="1">
      <alignment horizontal="left" vertical="center"/>
    </xf>
    <xf numFmtId="0" fontId="20" fillId="9" borderId="18" xfId="0" applyFont="1" applyFill="1" applyBorder="1" applyAlignment="1">
      <alignment horizontal="left" vertical="center"/>
    </xf>
    <xf numFmtId="0" fontId="20" fillId="9" borderId="55" xfId="0" applyFont="1" applyFill="1" applyBorder="1" applyAlignment="1">
      <alignment horizontal="left" vertical="center"/>
    </xf>
    <xf numFmtId="0" fontId="20" fillId="9" borderId="21" xfId="0" applyFont="1" applyFill="1" applyBorder="1" applyAlignment="1">
      <alignment horizontal="left" vertical="center"/>
    </xf>
    <xf numFmtId="0" fontId="20" fillId="3" borderId="27" xfId="0" applyFont="1" applyFill="1" applyBorder="1" applyAlignment="1">
      <alignment horizontal="left" vertical="center"/>
    </xf>
    <xf numFmtId="0" fontId="20" fillId="3" borderId="28" xfId="0" applyFont="1" applyFill="1" applyBorder="1" applyAlignment="1">
      <alignment horizontal="left" vertical="center"/>
    </xf>
    <xf numFmtId="0" fontId="20" fillId="3" borderId="29" xfId="0" applyFont="1" applyFill="1" applyBorder="1" applyAlignment="1">
      <alignment horizontal="left" vertical="center"/>
    </xf>
    <xf numFmtId="0" fontId="20" fillId="8" borderId="27" xfId="0" applyFont="1" applyFill="1" applyBorder="1" applyAlignment="1">
      <alignment horizontal="left" vertical="center"/>
    </xf>
    <xf numFmtId="0" fontId="20" fillId="8" borderId="28" xfId="0" applyFont="1" applyFill="1" applyBorder="1" applyAlignment="1">
      <alignment horizontal="left" vertical="center"/>
    </xf>
    <xf numFmtId="0" fontId="20" fillId="8" borderId="29" xfId="0" applyFont="1" applyFill="1" applyBorder="1" applyAlignment="1">
      <alignment horizontal="left" vertical="center"/>
    </xf>
    <xf numFmtId="0" fontId="20" fillId="16" borderId="27" xfId="0" applyFont="1" applyFill="1" applyBorder="1" applyAlignment="1">
      <alignment horizontal="left" vertical="center"/>
    </xf>
    <xf numFmtId="0" fontId="20" fillId="16" borderId="28" xfId="0" applyFont="1" applyFill="1" applyBorder="1" applyAlignment="1">
      <alignment horizontal="left" vertical="center"/>
    </xf>
    <xf numFmtId="0" fontId="20" fillId="16" borderId="29" xfId="0" applyFont="1" applyFill="1" applyBorder="1" applyAlignment="1">
      <alignment horizontal="left" vertical="center"/>
    </xf>
    <xf numFmtId="0" fontId="10" fillId="10" borderId="0" xfId="3" applyAlignment="1">
      <alignment horizontal="center"/>
    </xf>
    <xf numFmtId="0" fontId="15" fillId="12" borderId="0" xfId="7" applyAlignment="1">
      <alignment horizontal="center"/>
    </xf>
    <xf numFmtId="0" fontId="16" fillId="13" borderId="0" xfId="8" applyAlignment="1">
      <alignment horizontal="center"/>
    </xf>
    <xf numFmtId="0" fontId="20" fillId="14" borderId="0" xfId="0" applyFont="1" applyFill="1" applyAlignment="1">
      <alignment horizontal="left" vertical="center"/>
    </xf>
    <xf numFmtId="0" fontId="20" fillId="14" borderId="75" xfId="0" applyFont="1" applyFill="1" applyBorder="1" applyAlignment="1">
      <alignment horizontal="left" vertical="center"/>
    </xf>
    <xf numFmtId="0" fontId="20" fillId="14" borderId="76" xfId="0" applyFont="1" applyFill="1" applyBorder="1" applyAlignment="1">
      <alignment horizontal="left" vertical="center"/>
    </xf>
  </cellXfs>
  <cellStyles count="63"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% - Accent1 2" xfId="55" xr:uid="{5DC3D830-7953-4787-B792-BAA56064B3BF}"/>
    <cellStyle name="60% - Accent2 2" xfId="56" xr:uid="{6691518A-86F5-4B01-B35A-D06ABD43A520}"/>
    <cellStyle name="60% - Accent3 2" xfId="57" xr:uid="{2480C132-8DFB-4921-995F-A0A41B236717}"/>
    <cellStyle name="60% - Accent4 2" xfId="58" xr:uid="{0E4956D3-FD40-4CF9-AAEE-AA713CC92EA0}"/>
    <cellStyle name="60% - Accent5 2" xfId="59" xr:uid="{5009741F-03F0-4532-8215-EC47CBAFE916}"/>
    <cellStyle name="60% - Accent6 2" xfId="60" xr:uid="{301FFFEA-916D-4AF9-9A6F-5D9271F63F6A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Bad" xfId="3" builtinId="27" customBuiltin="1"/>
    <cellStyle name="Calculation" xfId="15" builtinId="22" customBuiltin="1"/>
    <cellStyle name="Check Cell" xfId="17" builtinId="23" customBuiltin="1"/>
    <cellStyle name="Comma" xfId="2" builtinId="3"/>
    <cellStyle name="Comma 2" xfId="46" xr:uid="{27ECEBA9-63C9-4948-B758-575B7C043600}"/>
    <cellStyle name="Comma 3" xfId="41" xr:uid="{1736C95F-1485-4F0B-9F89-32412E9A22F9}"/>
    <cellStyle name="Comma 3 2" xfId="44" xr:uid="{53A406A2-D1EE-484B-ADD9-D41C48B92198}"/>
    <cellStyle name="Comma 4" xfId="43" xr:uid="{F3FC57DF-E055-41F1-92CD-CE2A6DD29E0E}"/>
    <cellStyle name="Currency" xfId="4" builtinId="4"/>
    <cellStyle name="Currency 2" xfId="45" xr:uid="{58E19134-8336-4873-95C1-0CAE660BA37C}"/>
    <cellStyle name="Currency 3" xfId="42" xr:uid="{28986154-64C4-442C-BCCB-202F87D2E38D}"/>
    <cellStyle name="Explanatory Text" xfId="20" builtinId="53" customBuiltin="1"/>
    <cellStyle name="Good" xfId="7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" xfId="9" builtinId="8"/>
    <cellStyle name="Input" xfId="5" builtinId="20" customBuiltin="1"/>
    <cellStyle name="Linked Cell" xfId="16" builtinId="24" customBuiltin="1"/>
    <cellStyle name="Neutral" xfId="8" builtinId="28"/>
    <cellStyle name="Neutral 2" xfId="54" xr:uid="{EADA051F-A386-4490-AFCD-113A63919126}"/>
    <cellStyle name="Normal" xfId="0" builtinId="0"/>
    <cellStyle name="Normal 2" xfId="6" xr:uid="{A4996E0B-8263-4A5D-8526-540BBA22E484}"/>
    <cellStyle name="Normal 2 2" xfId="40" xr:uid="{63DAEAF2-6A2C-4FF0-920F-2E6EEB62106C}"/>
    <cellStyle name="Normal 2 3" xfId="61" xr:uid="{47F1568C-B0CE-4DC6-BAC8-99BD5F8EF4B9}"/>
    <cellStyle name="Normal 2 4" xfId="50" xr:uid="{319804EB-D0BD-4134-BEE8-CE1F20F1CA25}"/>
    <cellStyle name="Normal 3" xfId="47" xr:uid="{54E6FC91-FF3E-4892-8F50-8E838B449445}"/>
    <cellStyle name="Normal 3 2" xfId="52" xr:uid="{A02B2754-91A8-4AE7-B42A-DC219079E149}"/>
    <cellStyle name="Normal 4" xfId="49" xr:uid="{FF069B06-584C-4064-B897-81BE16B9D935}"/>
    <cellStyle name="Normal 4 2" xfId="62" xr:uid="{B2370A85-27AF-4FE6-8C67-01EA460F8D58}"/>
    <cellStyle name="Note" xfId="19" builtinId="10" customBuiltin="1"/>
    <cellStyle name="Output" xfId="14" builtinId="21" customBuiltin="1"/>
    <cellStyle name="Percent" xfId="1" builtinId="5"/>
    <cellStyle name="Percent 2" xfId="51" xr:uid="{E2F5B0C4-EAEF-4CCD-A4AF-409421A1032F}"/>
    <cellStyle name="Percent 3" xfId="48" xr:uid="{7AD11093-D738-4F8E-B34C-BC613AF27CEC}"/>
    <cellStyle name="Title 2" xfId="53" xr:uid="{8D782847-F725-4A18-8B49-EF2491ACDE7A}"/>
    <cellStyle name="Total" xfId="21" builtinId="25" customBuiltin="1"/>
    <cellStyle name="Warning Text" xfId="18" builtinId="11" customBuiltin="1"/>
  </cellStyles>
  <dxfs count="1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7F30E1D9-4AB1-4681-B990-4A0FCAA64538}"/>
  </tableStyles>
  <colors>
    <mruColors>
      <color rgb="FFFF99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 Bench Loadings (excl 986)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 Benches Data'!$EM$3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Data'!$EM$5:$EM$52</c:f>
              <c:numCache>
                <c:formatCode>0</c:formatCode>
                <c:ptCount val="48"/>
                <c:pt idx="0">
                  <c:v>89.5</c:v>
                </c:pt>
                <c:pt idx="1">
                  <c:v>106.25</c:v>
                </c:pt>
                <c:pt idx="2">
                  <c:v>115.5</c:v>
                </c:pt>
                <c:pt idx="3">
                  <c:v>112.125</c:v>
                </c:pt>
                <c:pt idx="4">
                  <c:v>108.875</c:v>
                </c:pt>
                <c:pt idx="5">
                  <c:v>106.75</c:v>
                </c:pt>
                <c:pt idx="6">
                  <c:v>92</c:v>
                </c:pt>
                <c:pt idx="7">
                  <c:v>92</c:v>
                </c:pt>
                <c:pt idx="8">
                  <c:v>85.625</c:v>
                </c:pt>
                <c:pt idx="9">
                  <c:v>68.25</c:v>
                </c:pt>
                <c:pt idx="10">
                  <c:v>48.625</c:v>
                </c:pt>
                <c:pt idx="11">
                  <c:v>45.75</c:v>
                </c:pt>
                <c:pt idx="12">
                  <c:v>41.25</c:v>
                </c:pt>
                <c:pt idx="13">
                  <c:v>40.125</c:v>
                </c:pt>
                <c:pt idx="14">
                  <c:v>40.875</c:v>
                </c:pt>
                <c:pt idx="15">
                  <c:v>37.75</c:v>
                </c:pt>
                <c:pt idx="16">
                  <c:v>40.75</c:v>
                </c:pt>
                <c:pt idx="17">
                  <c:v>46.375</c:v>
                </c:pt>
                <c:pt idx="18">
                  <c:v>45.75</c:v>
                </c:pt>
                <c:pt idx="19">
                  <c:v>40.125</c:v>
                </c:pt>
                <c:pt idx="20">
                  <c:v>41.5</c:v>
                </c:pt>
                <c:pt idx="21" formatCode="General">
                  <c:v>42.25</c:v>
                </c:pt>
                <c:pt idx="22">
                  <c:v>42.25</c:v>
                </c:pt>
                <c:pt idx="23">
                  <c:v>49.25</c:v>
                </c:pt>
                <c:pt idx="24">
                  <c:v>44.125</c:v>
                </c:pt>
                <c:pt idx="25">
                  <c:v>50.625</c:v>
                </c:pt>
                <c:pt idx="26">
                  <c:v>47.25</c:v>
                </c:pt>
                <c:pt idx="27">
                  <c:v>39.75</c:v>
                </c:pt>
                <c:pt idx="28">
                  <c:v>38.875</c:v>
                </c:pt>
                <c:pt idx="29">
                  <c:v>43.625</c:v>
                </c:pt>
                <c:pt idx="30">
                  <c:v>52.375</c:v>
                </c:pt>
                <c:pt idx="31">
                  <c:v>54.625</c:v>
                </c:pt>
                <c:pt idx="32">
                  <c:v>42</c:v>
                </c:pt>
                <c:pt idx="33">
                  <c:v>33.625</c:v>
                </c:pt>
                <c:pt idx="34">
                  <c:v>37</c:v>
                </c:pt>
                <c:pt idx="35">
                  <c:v>38.666666666666664</c:v>
                </c:pt>
                <c:pt idx="36">
                  <c:v>32.777777777777779</c:v>
                </c:pt>
                <c:pt idx="37">
                  <c:v>29.888888888888889</c:v>
                </c:pt>
                <c:pt idx="38">
                  <c:v>29.611111111111111</c:v>
                </c:pt>
                <c:pt idx="39">
                  <c:v>28.111111111111111</c:v>
                </c:pt>
                <c:pt idx="40">
                  <c:v>46.777777777777779</c:v>
                </c:pt>
                <c:pt idx="41">
                  <c:v>71.777777777777771</c:v>
                </c:pt>
                <c:pt idx="42">
                  <c:v>79.111111111111114</c:v>
                </c:pt>
                <c:pt idx="43">
                  <c:v>72.555555555555557</c:v>
                </c:pt>
                <c:pt idx="44">
                  <c:v>78.111111111111114</c:v>
                </c:pt>
                <c:pt idx="45">
                  <c:v>78.555555555555557</c:v>
                </c:pt>
                <c:pt idx="46">
                  <c:v>72.666666666666671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B-4B14-9E05-F76AC60F0447}"/>
            </c:ext>
          </c:extLst>
        </c:ser>
        <c:ser>
          <c:idx val="1"/>
          <c:order val="1"/>
          <c:tx>
            <c:strRef>
              <c:f>'SEC Benches Data'!$EN$3</c:f>
              <c:strCache>
                <c:ptCount val="1"/>
                <c:pt idx="0">
                  <c:v>14 - 26 Wks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  <c:extLst xmlns:c15="http://schemas.microsoft.com/office/drawing/2012/chart"/>
            </c:numRef>
          </c:cat>
          <c:val>
            <c:numRef>
              <c:f>'SEC Benches Data'!$EN$5:$EN$26</c:f>
              <c:numCache>
                <c:formatCode>0</c:formatCode>
                <c:ptCount val="22"/>
                <c:pt idx="19">
                  <c:v>46</c:v>
                </c:pt>
                <c:pt idx="20">
                  <c:v>46.375</c:v>
                </c:pt>
                <c:pt idx="21">
                  <c:v>51.25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D4B-4B14-9E05-F76AC60F0447}"/>
            </c:ext>
          </c:extLst>
        </c:ser>
        <c:ser>
          <c:idx val="2"/>
          <c:order val="2"/>
          <c:tx>
            <c:strRef>
              <c:f>'SEC Benches Data'!$EO$3</c:f>
              <c:strCache>
                <c:ptCount val="1"/>
                <c:pt idx="0">
                  <c:v>14 - 26 Wks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Data'!$EO$5:$EO$52</c:f>
              <c:numCache>
                <c:formatCode>0</c:formatCode>
                <c:ptCount val="48"/>
                <c:pt idx="19">
                  <c:v>46</c:v>
                </c:pt>
                <c:pt idx="20">
                  <c:v>46.375</c:v>
                </c:pt>
                <c:pt idx="21">
                  <c:v>51.25</c:v>
                </c:pt>
                <c:pt idx="22">
                  <c:v>44.125</c:v>
                </c:pt>
                <c:pt idx="23">
                  <c:v>42.5</c:v>
                </c:pt>
                <c:pt idx="24">
                  <c:v>39.75</c:v>
                </c:pt>
                <c:pt idx="25">
                  <c:v>38</c:v>
                </c:pt>
                <c:pt idx="26">
                  <c:v>34.25</c:v>
                </c:pt>
                <c:pt idx="27">
                  <c:v>34</c:v>
                </c:pt>
                <c:pt idx="28">
                  <c:v>30.375</c:v>
                </c:pt>
                <c:pt idx="29">
                  <c:v>43.625</c:v>
                </c:pt>
                <c:pt idx="30">
                  <c:v>46.75</c:v>
                </c:pt>
                <c:pt idx="31">
                  <c:v>39.125</c:v>
                </c:pt>
                <c:pt idx="32">
                  <c:v>51.6</c:v>
                </c:pt>
                <c:pt idx="33">
                  <c:v>41.1</c:v>
                </c:pt>
                <c:pt idx="34">
                  <c:v>44.666666666666664</c:v>
                </c:pt>
                <c:pt idx="35">
                  <c:v>37.866666666666667</c:v>
                </c:pt>
                <c:pt idx="36">
                  <c:v>36.93333333333333</c:v>
                </c:pt>
                <c:pt idx="37">
                  <c:v>31.066666666666666</c:v>
                </c:pt>
                <c:pt idx="38">
                  <c:v>32.733333333333334</c:v>
                </c:pt>
                <c:pt idx="39">
                  <c:v>35.133333333333333</c:v>
                </c:pt>
                <c:pt idx="40">
                  <c:v>55.999999999999993</c:v>
                </c:pt>
                <c:pt idx="41">
                  <c:v>62.93333333333333</c:v>
                </c:pt>
                <c:pt idx="42">
                  <c:v>58.533333333333331</c:v>
                </c:pt>
                <c:pt idx="43">
                  <c:v>65.86666666666666</c:v>
                </c:pt>
                <c:pt idx="44">
                  <c:v>69.86666666666666</c:v>
                </c:pt>
                <c:pt idx="45">
                  <c:v>66.666666666666671</c:v>
                </c:pt>
                <c:pt idx="46">
                  <c:v>39.06666666666667</c:v>
                </c:pt>
                <c:pt idx="47">
                  <c:v>53.48571428571428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B-4B14-9E05-F76AC60F0447}"/>
            </c:ext>
          </c:extLst>
        </c:ser>
        <c:ser>
          <c:idx val="3"/>
          <c:order val="3"/>
          <c:tx>
            <c:strRef>
              <c:f>'SEC Benches Data'!$EP$3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Data'!$EP$5:$EP$52</c:f>
              <c:numCache>
                <c:formatCode>0</c:formatCode>
                <c:ptCount val="48"/>
                <c:pt idx="0">
                  <c:v>139.70019199999999</c:v>
                </c:pt>
                <c:pt idx="1">
                  <c:v>165.84519999999995</c:v>
                </c:pt>
                <c:pt idx="2">
                  <c:v>180.28348799999995</c:v>
                </c:pt>
                <c:pt idx="3">
                  <c:v>175.01546399999998</c:v>
                </c:pt>
                <c:pt idx="4">
                  <c:v>169.94255199999998</c:v>
                </c:pt>
                <c:pt idx="5">
                  <c:v>166.23542399999994</c:v>
                </c:pt>
                <c:pt idx="6">
                  <c:v>166.8857973333333</c:v>
                </c:pt>
                <c:pt idx="7">
                  <c:v>163.17866933333332</c:v>
                </c:pt>
                <c:pt idx="8">
                  <c:v>155.40670799999998</c:v>
                </c:pt>
                <c:pt idx="9">
                  <c:v>143.99265599999995</c:v>
                </c:pt>
                <c:pt idx="10">
                  <c:v>128.31865866666664</c:v>
                </c:pt>
                <c:pt idx="11">
                  <c:v>112.44954933333331</c:v>
                </c:pt>
                <c:pt idx="12">
                  <c:v>99.246970666666641</c:v>
                </c:pt>
                <c:pt idx="13">
                  <c:v>85.751723999999982</c:v>
                </c:pt>
                <c:pt idx="14">
                  <c:v>74.110041333333314</c:v>
                </c:pt>
                <c:pt idx="15">
                  <c:v>66.175486666666657</c:v>
                </c:pt>
                <c:pt idx="16">
                  <c:v>64.126810666666657</c:v>
                </c:pt>
                <c:pt idx="17">
                  <c:v>64.28940399999999</c:v>
                </c:pt>
                <c:pt idx="18">
                  <c:v>65.460075999999987</c:v>
                </c:pt>
                <c:pt idx="19">
                  <c:v>65.460075999999987</c:v>
                </c:pt>
                <c:pt idx="20">
                  <c:v>65.622669333333306</c:v>
                </c:pt>
                <c:pt idx="21">
                  <c:v>66.793341333333316</c:v>
                </c:pt>
                <c:pt idx="22">
                  <c:v>67.18356533333332</c:v>
                </c:pt>
                <c:pt idx="23">
                  <c:v>67.931494666666666</c:v>
                </c:pt>
                <c:pt idx="24">
                  <c:v>67.508751999999987</c:v>
                </c:pt>
                <c:pt idx="25">
                  <c:v>70.240319999999983</c:v>
                </c:pt>
                <c:pt idx="26">
                  <c:v>71.73617866666666</c:v>
                </c:pt>
                <c:pt idx="27">
                  <c:v>71.085805333333312</c:v>
                </c:pt>
                <c:pt idx="28">
                  <c:v>70.207801333333322</c:v>
                </c:pt>
                <c:pt idx="29">
                  <c:v>68.744461333333319</c:v>
                </c:pt>
                <c:pt idx="30">
                  <c:v>70.890693333333317</c:v>
                </c:pt>
                <c:pt idx="31">
                  <c:v>71.931290666666655</c:v>
                </c:pt>
                <c:pt idx="32">
                  <c:v>70.56550666666665</c:v>
                </c:pt>
                <c:pt idx="33">
                  <c:v>68.972091999999975</c:v>
                </c:pt>
                <c:pt idx="34">
                  <c:v>68.484311999999989</c:v>
                </c:pt>
                <c:pt idx="35">
                  <c:v>67.194404888888883</c:v>
                </c:pt>
                <c:pt idx="36">
                  <c:v>62.096200592592581</c:v>
                </c:pt>
                <c:pt idx="37">
                  <c:v>55.661117777777768</c:v>
                </c:pt>
                <c:pt idx="38">
                  <c:v>52.438156592592577</c:v>
                </c:pt>
                <c:pt idx="39">
                  <c:v>51.003722074074062</c:v>
                </c:pt>
                <c:pt idx="40">
                  <c:v>53.547404444444425</c:v>
                </c:pt>
                <c:pt idx="41">
                  <c:v>62.161237925925924</c:v>
                </c:pt>
                <c:pt idx="42">
                  <c:v>74.214823703703686</c:v>
                </c:pt>
                <c:pt idx="43">
                  <c:v>85.31452859259258</c:v>
                </c:pt>
                <c:pt idx="44">
                  <c:v>97.931771259259222</c:v>
                </c:pt>
                <c:pt idx="45">
                  <c:v>111.05485985185184</c:v>
                </c:pt>
                <c:pt idx="46">
                  <c:v>117.789837037037</c:v>
                </c:pt>
                <c:pt idx="47">
                  <c:v>118.9402752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B-4B14-9E05-F76AC60F0447}"/>
            </c:ext>
          </c:extLst>
        </c:ser>
        <c:ser>
          <c:idx val="4"/>
          <c:order val="4"/>
          <c:tx>
            <c:strRef>
              <c:f>'SEC Benches Data'!$EQ$3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Data'!$EQ$5:$EQ$52</c:f>
              <c:numCache>
                <c:formatCode>0</c:formatCode>
                <c:ptCount val="48"/>
                <c:pt idx="0">
                  <c:v>174.8046875</c:v>
                </c:pt>
                <c:pt idx="1">
                  <c:v>207.51953125</c:v>
                </c:pt>
                <c:pt idx="2">
                  <c:v>225.5859375</c:v>
                </c:pt>
                <c:pt idx="3">
                  <c:v>218.994140625</c:v>
                </c:pt>
                <c:pt idx="4">
                  <c:v>212.646484375</c:v>
                </c:pt>
                <c:pt idx="5">
                  <c:v>208.0078125</c:v>
                </c:pt>
                <c:pt idx="6">
                  <c:v>208.82161458333337</c:v>
                </c:pt>
                <c:pt idx="7">
                  <c:v>204.18294270833337</c:v>
                </c:pt>
                <c:pt idx="8">
                  <c:v>194.4580078125</c:v>
                </c:pt>
                <c:pt idx="9">
                  <c:v>180.17578125</c:v>
                </c:pt>
                <c:pt idx="10">
                  <c:v>160.56315104166663</c:v>
                </c:pt>
                <c:pt idx="11">
                  <c:v>140.70638020833337</c:v>
                </c:pt>
                <c:pt idx="12">
                  <c:v>124.18619791666669</c:v>
                </c:pt>
                <c:pt idx="13">
                  <c:v>107.2998046875</c:v>
                </c:pt>
                <c:pt idx="14">
                  <c:v>92.732747395833314</c:v>
                </c:pt>
                <c:pt idx="15">
                  <c:v>82.804361979166686</c:v>
                </c:pt>
                <c:pt idx="16">
                  <c:v>80.240885416666686</c:v>
                </c:pt>
                <c:pt idx="17">
                  <c:v>80.4443359375</c:v>
                </c:pt>
                <c:pt idx="18">
                  <c:v>81.9091796875</c:v>
                </c:pt>
                <c:pt idx="19">
                  <c:v>81.9091796875</c:v>
                </c:pt>
                <c:pt idx="20">
                  <c:v>82.112630208333314</c:v>
                </c:pt>
                <c:pt idx="21">
                  <c:v>83.577473958333314</c:v>
                </c:pt>
                <c:pt idx="22">
                  <c:v>84.065755208333314</c:v>
                </c:pt>
                <c:pt idx="23">
                  <c:v>85.001627604166686</c:v>
                </c:pt>
                <c:pt idx="24">
                  <c:v>84.47265625</c:v>
                </c:pt>
                <c:pt idx="25">
                  <c:v>87.890625</c:v>
                </c:pt>
                <c:pt idx="26">
                  <c:v>89.762369791666686</c:v>
                </c:pt>
                <c:pt idx="27">
                  <c:v>88.948567708333314</c:v>
                </c:pt>
                <c:pt idx="28">
                  <c:v>87.849934895833314</c:v>
                </c:pt>
                <c:pt idx="29">
                  <c:v>86.018880208333314</c:v>
                </c:pt>
                <c:pt idx="30">
                  <c:v>88.704427083333314</c:v>
                </c:pt>
                <c:pt idx="31">
                  <c:v>90.006510416666686</c:v>
                </c:pt>
                <c:pt idx="32">
                  <c:v>88.297526041666686</c:v>
                </c:pt>
                <c:pt idx="33">
                  <c:v>86.3037109375</c:v>
                </c:pt>
                <c:pt idx="34">
                  <c:v>85.693359375</c:v>
                </c:pt>
                <c:pt idx="35">
                  <c:v>84.079318576388886</c:v>
                </c:pt>
                <c:pt idx="36">
                  <c:v>77.700014467592581</c:v>
                </c:pt>
                <c:pt idx="37">
                  <c:v>69.647894965277771</c:v>
                </c:pt>
                <c:pt idx="38">
                  <c:v>65.615053530092581</c:v>
                </c:pt>
                <c:pt idx="39">
                  <c:v>63.820167824074062</c:v>
                </c:pt>
                <c:pt idx="40">
                  <c:v>67.003038194444429</c:v>
                </c:pt>
                <c:pt idx="41">
                  <c:v>77.781394675925938</c:v>
                </c:pt>
                <c:pt idx="42">
                  <c:v>92.863859953703695</c:v>
                </c:pt>
                <c:pt idx="43">
                  <c:v>106.7527488425926</c:v>
                </c:pt>
                <c:pt idx="44">
                  <c:v>122.54050925925925</c:v>
                </c:pt>
                <c:pt idx="45">
                  <c:v>138.96122685185188</c:v>
                </c:pt>
                <c:pt idx="46">
                  <c:v>147.38859953703701</c:v>
                </c:pt>
                <c:pt idx="47">
                  <c:v>148.82812500000003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B-4B14-9E05-F76AC60F0447}"/>
            </c:ext>
          </c:extLst>
        </c:ser>
        <c:ser>
          <c:idx val="5"/>
          <c:order val="5"/>
          <c:tx>
            <c:strRef>
              <c:f>'SEC Benches Data'!$ER$3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Data'!$ER$5:$ER$52</c:f>
              <c:numCache>
                <c:formatCode>0</c:formatCode>
                <c:ptCount val="48"/>
                <c:pt idx="0">
                  <c:v>154.65599999999998</c:v>
                </c:pt>
                <c:pt idx="1">
                  <c:v>183.6</c:v>
                </c:pt>
                <c:pt idx="2">
                  <c:v>199.58399999999997</c:v>
                </c:pt>
                <c:pt idx="3">
                  <c:v>193.75199999999998</c:v>
                </c:pt>
                <c:pt idx="4">
                  <c:v>188.136</c:v>
                </c:pt>
                <c:pt idx="5">
                  <c:v>184.03199999999998</c:v>
                </c:pt>
                <c:pt idx="6">
                  <c:v>184.75200000000001</c:v>
                </c:pt>
                <c:pt idx="7">
                  <c:v>180.648</c:v>
                </c:pt>
                <c:pt idx="8">
                  <c:v>172.04399999999995</c:v>
                </c:pt>
                <c:pt idx="9">
                  <c:v>159.40799999999999</c:v>
                </c:pt>
                <c:pt idx="10">
                  <c:v>142.05599999999998</c:v>
                </c:pt>
                <c:pt idx="11">
                  <c:v>124.48799999999999</c:v>
                </c:pt>
                <c:pt idx="12">
                  <c:v>109.87199999999999</c:v>
                </c:pt>
                <c:pt idx="13">
                  <c:v>94.932000000000002</c:v>
                </c:pt>
                <c:pt idx="14">
                  <c:v>82.043999999999983</c:v>
                </c:pt>
                <c:pt idx="15">
                  <c:v>73.259999999999991</c:v>
                </c:pt>
                <c:pt idx="16">
                  <c:v>70.992000000000004</c:v>
                </c:pt>
                <c:pt idx="17">
                  <c:v>71.171999999999997</c:v>
                </c:pt>
                <c:pt idx="18">
                  <c:v>72.467999999999989</c:v>
                </c:pt>
                <c:pt idx="19">
                  <c:v>72.467999999999989</c:v>
                </c:pt>
                <c:pt idx="20">
                  <c:v>72.647999999999982</c:v>
                </c:pt>
                <c:pt idx="21">
                  <c:v>73.943999999999988</c:v>
                </c:pt>
                <c:pt idx="22">
                  <c:v>74.375999999999991</c:v>
                </c:pt>
                <c:pt idx="23">
                  <c:v>75.203999999999994</c:v>
                </c:pt>
                <c:pt idx="24">
                  <c:v>74.73599999999999</c:v>
                </c:pt>
                <c:pt idx="25">
                  <c:v>77.759999999999991</c:v>
                </c:pt>
                <c:pt idx="26">
                  <c:v>79.415999999999983</c:v>
                </c:pt>
                <c:pt idx="27">
                  <c:v>78.695999999999998</c:v>
                </c:pt>
                <c:pt idx="28">
                  <c:v>77.72399999999999</c:v>
                </c:pt>
                <c:pt idx="29">
                  <c:v>76.103999999999985</c:v>
                </c:pt>
                <c:pt idx="30">
                  <c:v>78.47999999999999</c:v>
                </c:pt>
                <c:pt idx="31">
                  <c:v>79.631999999999991</c:v>
                </c:pt>
                <c:pt idx="32">
                  <c:v>78.11999999999999</c:v>
                </c:pt>
                <c:pt idx="33">
                  <c:v>76.355999999999995</c:v>
                </c:pt>
                <c:pt idx="34">
                  <c:v>75.815999999999988</c:v>
                </c:pt>
                <c:pt idx="35">
                  <c:v>74.388000000000005</c:v>
                </c:pt>
                <c:pt idx="36">
                  <c:v>68.743999999999986</c:v>
                </c:pt>
                <c:pt idx="37">
                  <c:v>61.61999999999999</c:v>
                </c:pt>
                <c:pt idx="38">
                  <c:v>58.051999999999985</c:v>
                </c:pt>
                <c:pt idx="39">
                  <c:v>56.463999999999992</c:v>
                </c:pt>
                <c:pt idx="40">
                  <c:v>59.27999999999998</c:v>
                </c:pt>
                <c:pt idx="41">
                  <c:v>68.816000000000003</c:v>
                </c:pt>
                <c:pt idx="42">
                  <c:v>82.16</c:v>
                </c:pt>
                <c:pt idx="43">
                  <c:v>94.447999999999993</c:v>
                </c:pt>
                <c:pt idx="44">
                  <c:v>108.416</c:v>
                </c:pt>
                <c:pt idx="45">
                  <c:v>122.94399999999999</c:v>
                </c:pt>
                <c:pt idx="46">
                  <c:v>130.4</c:v>
                </c:pt>
                <c:pt idx="47">
                  <c:v>131.67359999999999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4B-4B14-9E05-F76AC60F0447}"/>
            </c:ext>
          </c:extLst>
        </c:ser>
        <c:ser>
          <c:idx val="6"/>
          <c:order val="6"/>
          <c:tx>
            <c:strRef>
              <c:f>'SEC Benches Data'!$ES$3</c:f>
              <c:strCache>
                <c:ptCount val="1"/>
                <c:pt idx="0">
                  <c:v>Ideal Capacity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Data'!$ES$5:$ES$52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4B-4B14-9E05-F76AC60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330912"/>
        <c:axId val="566346368"/>
        <c:extLst/>
      </c:lineChart>
      <c:dateAx>
        <c:axId val="568330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6368"/>
        <c:crosses val="autoZero"/>
        <c:auto val="1"/>
        <c:lblOffset val="100"/>
        <c:baseTimeUnit val="days"/>
      </c:dateAx>
      <c:valAx>
        <c:axId val="56634636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PCB Labour</a:t>
            </a:r>
            <a:r>
              <a:rPr lang="en-NZ" baseline="0"/>
              <a:t> Pool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'PCB Data'!$AA$3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Data'!$N$5:$N$52</c:f>
              <c:numCache>
                <c:formatCode>General</c:formatCode>
                <c:ptCount val="48"/>
                <c:pt idx="19">
                  <c:v>82</c:v>
                </c:pt>
                <c:pt idx="20">
                  <c:v>82</c:v>
                </c:pt>
                <c:pt idx="21">
                  <c:v>75</c:v>
                </c:pt>
                <c:pt idx="22">
                  <c:v>78</c:v>
                </c:pt>
                <c:pt idx="23">
                  <c:v>109</c:v>
                </c:pt>
                <c:pt idx="24">
                  <c:v>118</c:v>
                </c:pt>
                <c:pt idx="25">
                  <c:v>108</c:v>
                </c:pt>
                <c:pt idx="26">
                  <c:v>95</c:v>
                </c:pt>
                <c:pt idx="27">
                  <c:v>97</c:v>
                </c:pt>
                <c:pt idx="28">
                  <c:v>79</c:v>
                </c:pt>
                <c:pt idx="29">
                  <c:v>84</c:v>
                </c:pt>
                <c:pt idx="30">
                  <c:v>96</c:v>
                </c:pt>
                <c:pt idx="31">
                  <c:v>94</c:v>
                </c:pt>
                <c:pt idx="32">
                  <c:v>102</c:v>
                </c:pt>
                <c:pt idx="33">
                  <c:v>104</c:v>
                </c:pt>
                <c:pt idx="34">
                  <c:v>130</c:v>
                </c:pt>
                <c:pt idx="35">
                  <c:v>103</c:v>
                </c:pt>
                <c:pt idx="36">
                  <c:v>86</c:v>
                </c:pt>
                <c:pt idx="37">
                  <c:v>87</c:v>
                </c:pt>
                <c:pt idx="38">
                  <c:v>94</c:v>
                </c:pt>
                <c:pt idx="39">
                  <c:v>103</c:v>
                </c:pt>
                <c:pt idx="40">
                  <c:v>119</c:v>
                </c:pt>
                <c:pt idx="41">
                  <c:v>126</c:v>
                </c:pt>
                <c:pt idx="42">
                  <c:v>123</c:v>
                </c:pt>
                <c:pt idx="43">
                  <c:v>117</c:v>
                </c:pt>
                <c:pt idx="44">
                  <c:v>116</c:v>
                </c:pt>
                <c:pt idx="45">
                  <c:v>98</c:v>
                </c:pt>
                <c:pt idx="4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4A5-86E2-CD0419093039}"/>
            </c:ext>
          </c:extLst>
        </c:ser>
        <c:ser>
          <c:idx val="2"/>
          <c:order val="2"/>
          <c:tx>
            <c:strRef>
              <c:f>'PCB Data'!$AC$3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Data'!$BH$5:$BH$52</c:f>
              <c:numCache>
                <c:formatCode>General</c:formatCode>
                <c:ptCount val="48"/>
                <c:pt idx="19">
                  <c:v>84</c:v>
                </c:pt>
                <c:pt idx="20">
                  <c:v>84</c:v>
                </c:pt>
                <c:pt idx="21">
                  <c:v>76.8</c:v>
                </c:pt>
                <c:pt idx="22">
                  <c:v>72</c:v>
                </c:pt>
                <c:pt idx="23">
                  <c:v>105.6</c:v>
                </c:pt>
                <c:pt idx="24">
                  <c:v>73.2</c:v>
                </c:pt>
                <c:pt idx="25">
                  <c:v>80.399999999999991</c:v>
                </c:pt>
                <c:pt idx="26">
                  <c:v>93.6</c:v>
                </c:pt>
                <c:pt idx="27">
                  <c:v>67.2</c:v>
                </c:pt>
                <c:pt idx="28">
                  <c:v>70.8</c:v>
                </c:pt>
                <c:pt idx="29">
                  <c:v>97.2</c:v>
                </c:pt>
                <c:pt idx="30">
                  <c:v>91.2</c:v>
                </c:pt>
                <c:pt idx="31">
                  <c:v>103.2</c:v>
                </c:pt>
                <c:pt idx="32">
                  <c:v>110.39999999999999</c:v>
                </c:pt>
                <c:pt idx="33">
                  <c:v>110.39999999999999</c:v>
                </c:pt>
                <c:pt idx="34">
                  <c:v>92.399999999999991</c:v>
                </c:pt>
                <c:pt idx="35">
                  <c:v>64.8</c:v>
                </c:pt>
                <c:pt idx="36">
                  <c:v>60</c:v>
                </c:pt>
                <c:pt idx="37">
                  <c:v>78</c:v>
                </c:pt>
                <c:pt idx="38">
                  <c:v>74.399999999999991</c:v>
                </c:pt>
                <c:pt idx="39">
                  <c:v>102</c:v>
                </c:pt>
                <c:pt idx="40">
                  <c:v>157.19999999999999</c:v>
                </c:pt>
                <c:pt idx="41">
                  <c:v>138</c:v>
                </c:pt>
                <c:pt idx="42">
                  <c:v>110.39999999999999</c:v>
                </c:pt>
                <c:pt idx="43">
                  <c:v>102</c:v>
                </c:pt>
                <c:pt idx="44">
                  <c:v>76.8</c:v>
                </c:pt>
                <c:pt idx="45">
                  <c:v>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3-44A5-86E2-CD0419093039}"/>
            </c:ext>
          </c:extLst>
        </c:ser>
        <c:ser>
          <c:idx val="3"/>
          <c:order val="3"/>
          <c:tx>
            <c:strRef>
              <c:f>'PCB Data'!$AD$3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Data'!$BI$5:$BI$52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127.99347199999997</c:v>
                </c:pt>
                <c:pt idx="20">
                  <c:v>127.99347199999997</c:v>
                </c:pt>
                <c:pt idx="21">
                  <c:v>124.35138133333331</c:v>
                </c:pt>
                <c:pt idx="22">
                  <c:v>123.70100799999997</c:v>
                </c:pt>
                <c:pt idx="23">
                  <c:v>132.98833919999998</c:v>
                </c:pt>
                <c:pt idx="24">
                  <c:v>141.52123733333332</c:v>
                </c:pt>
                <c:pt idx="25">
                  <c:v>148.28511999999998</c:v>
                </c:pt>
                <c:pt idx="26">
                  <c:v>151.66706133333329</c:v>
                </c:pt>
                <c:pt idx="27">
                  <c:v>157.3903466666666</c:v>
                </c:pt>
                <c:pt idx="28">
                  <c:v>157.65049599999998</c:v>
                </c:pt>
                <c:pt idx="29">
                  <c:v>151.14676266666663</c:v>
                </c:pt>
                <c:pt idx="30">
                  <c:v>145.42347733333332</c:v>
                </c:pt>
                <c:pt idx="31">
                  <c:v>141.78138666666663</c:v>
                </c:pt>
                <c:pt idx="32">
                  <c:v>143.60243199999999</c:v>
                </c:pt>
                <c:pt idx="33">
                  <c:v>145.42347733333332</c:v>
                </c:pt>
                <c:pt idx="34">
                  <c:v>158.6910933333333</c:v>
                </c:pt>
                <c:pt idx="35">
                  <c:v>163.63393066666663</c:v>
                </c:pt>
                <c:pt idx="36">
                  <c:v>161.03243733333332</c:v>
                </c:pt>
                <c:pt idx="37">
                  <c:v>159.21139199999996</c:v>
                </c:pt>
                <c:pt idx="38">
                  <c:v>157.13019733333331</c:v>
                </c:pt>
                <c:pt idx="39">
                  <c:v>156.870048</c:v>
                </c:pt>
                <c:pt idx="40">
                  <c:v>154.00840533333331</c:v>
                </c:pt>
                <c:pt idx="41">
                  <c:v>159.99183999999997</c:v>
                </c:pt>
                <c:pt idx="42">
                  <c:v>169.61736533333328</c:v>
                </c:pt>
                <c:pt idx="43">
                  <c:v>177.42184533333329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3-44A5-86E2-CD0419093039}"/>
            </c:ext>
          </c:extLst>
        </c:ser>
        <c:ser>
          <c:idx val="4"/>
          <c:order val="4"/>
          <c:tx>
            <c:strRef>
              <c:f>'PCB Data'!$AE$3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Data'!$BJ$5:$BJ$52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160.15625</c:v>
                </c:pt>
                <c:pt idx="20">
                  <c:v>160.15625</c:v>
                </c:pt>
                <c:pt idx="21">
                  <c:v>155.59895833333337</c:v>
                </c:pt>
                <c:pt idx="22">
                  <c:v>154.78515625</c:v>
                </c:pt>
                <c:pt idx="23">
                  <c:v>166.40625</c:v>
                </c:pt>
                <c:pt idx="24">
                  <c:v>177.08333333333337</c:v>
                </c:pt>
                <c:pt idx="25">
                  <c:v>185.546875</c:v>
                </c:pt>
                <c:pt idx="26">
                  <c:v>189.77864583333337</c:v>
                </c:pt>
                <c:pt idx="27">
                  <c:v>196.94010416666663</c:v>
                </c:pt>
                <c:pt idx="28">
                  <c:v>197.265625</c:v>
                </c:pt>
                <c:pt idx="29">
                  <c:v>189.12760416666663</c:v>
                </c:pt>
                <c:pt idx="30">
                  <c:v>181.96614583333337</c:v>
                </c:pt>
                <c:pt idx="31">
                  <c:v>177.40885416666663</c:v>
                </c:pt>
                <c:pt idx="32">
                  <c:v>179.6875</c:v>
                </c:pt>
                <c:pt idx="33">
                  <c:v>181.96614583333337</c:v>
                </c:pt>
                <c:pt idx="34">
                  <c:v>198.56770833333337</c:v>
                </c:pt>
                <c:pt idx="35">
                  <c:v>204.75260416666663</c:v>
                </c:pt>
                <c:pt idx="36">
                  <c:v>201.49739583333337</c:v>
                </c:pt>
                <c:pt idx="37">
                  <c:v>199.21875</c:v>
                </c:pt>
                <c:pt idx="38">
                  <c:v>196.61458333333337</c:v>
                </c:pt>
                <c:pt idx="39">
                  <c:v>196.2890625</c:v>
                </c:pt>
                <c:pt idx="40">
                  <c:v>192.70833333333337</c:v>
                </c:pt>
                <c:pt idx="41">
                  <c:v>200.1953125</c:v>
                </c:pt>
                <c:pt idx="42">
                  <c:v>212.23958333333337</c:v>
                </c:pt>
                <c:pt idx="43">
                  <c:v>222.00520833333337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3-44A5-86E2-CD0419093039}"/>
            </c:ext>
          </c:extLst>
        </c:ser>
        <c:ser>
          <c:idx val="5"/>
          <c:order val="5"/>
          <c:tx>
            <c:strRef>
              <c:f>'PCB Data'!$AF$3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Data'!$BK$5:$BK$52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141.69599999999997</c:v>
                </c:pt>
                <c:pt idx="20">
                  <c:v>141.69599999999997</c:v>
                </c:pt>
                <c:pt idx="21">
                  <c:v>137.66400000000002</c:v>
                </c:pt>
                <c:pt idx="22">
                  <c:v>136.94399999999999</c:v>
                </c:pt>
                <c:pt idx="23">
                  <c:v>147.22559999999999</c:v>
                </c:pt>
                <c:pt idx="24">
                  <c:v>156.672</c:v>
                </c:pt>
                <c:pt idx="25">
                  <c:v>164.15999999999997</c:v>
                </c:pt>
                <c:pt idx="26">
                  <c:v>167.90399999999997</c:v>
                </c:pt>
                <c:pt idx="27">
                  <c:v>174.23999999999998</c:v>
                </c:pt>
                <c:pt idx="28">
                  <c:v>174.52799999999996</c:v>
                </c:pt>
                <c:pt idx="29">
                  <c:v>167.32799999999995</c:v>
                </c:pt>
                <c:pt idx="30">
                  <c:v>160.99199999999999</c:v>
                </c:pt>
                <c:pt idx="31">
                  <c:v>156.95999999999998</c:v>
                </c:pt>
                <c:pt idx="32">
                  <c:v>158.97599999999997</c:v>
                </c:pt>
                <c:pt idx="33">
                  <c:v>160.99199999999999</c:v>
                </c:pt>
                <c:pt idx="34">
                  <c:v>175.68</c:v>
                </c:pt>
                <c:pt idx="35">
                  <c:v>181.15199999999996</c:v>
                </c:pt>
                <c:pt idx="36">
                  <c:v>178.27199999999999</c:v>
                </c:pt>
                <c:pt idx="37">
                  <c:v>176.256</c:v>
                </c:pt>
                <c:pt idx="38">
                  <c:v>173.95199999999997</c:v>
                </c:pt>
                <c:pt idx="39">
                  <c:v>173.66399999999999</c:v>
                </c:pt>
                <c:pt idx="40">
                  <c:v>170.49600000000001</c:v>
                </c:pt>
                <c:pt idx="41">
                  <c:v>177.11999999999998</c:v>
                </c:pt>
                <c:pt idx="42">
                  <c:v>187.77599999999998</c:v>
                </c:pt>
                <c:pt idx="43">
                  <c:v>196.416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B3-44A5-86E2-CD0419093039}"/>
            </c:ext>
          </c:extLst>
        </c:ser>
        <c:ser>
          <c:idx val="6"/>
          <c:order val="6"/>
          <c:tx>
            <c:strRef>
              <c:f>'AM Benches Data'!$EQ$3</c:f>
              <c:strCache>
                <c:ptCount val="1"/>
                <c:pt idx="0">
                  <c:v>Ideal 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Data'!$EQ$5:$EQ$52</c:f>
              <c:numCache>
                <c:formatCode>0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6F3-BCA1-A76D4494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'PCB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9B3-44A5-86E2-CD0419093039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'PCB Data'!$AA$3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Data'!$B$5:$B$52</c:f>
              <c:numCache>
                <c:formatCode>General</c:formatCode>
                <c:ptCount val="48"/>
                <c:pt idx="0">
                  <c:v>93</c:v>
                </c:pt>
                <c:pt idx="1">
                  <c:v>97</c:v>
                </c:pt>
                <c:pt idx="2">
                  <c:v>99</c:v>
                </c:pt>
                <c:pt idx="3">
                  <c:v>95</c:v>
                </c:pt>
                <c:pt idx="4">
                  <c:v>94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103</c:v>
                </c:pt>
                <c:pt idx="9">
                  <c:v>100</c:v>
                </c:pt>
                <c:pt idx="10">
                  <c:v>87.5</c:v>
                </c:pt>
                <c:pt idx="11">
                  <c:v>80</c:v>
                </c:pt>
                <c:pt idx="12">
                  <c:v>78</c:v>
                </c:pt>
                <c:pt idx="13">
                  <c:v>78</c:v>
                </c:pt>
                <c:pt idx="14">
                  <c:v>83</c:v>
                </c:pt>
                <c:pt idx="15">
                  <c:v>83</c:v>
                </c:pt>
                <c:pt idx="16">
                  <c:v>86.5</c:v>
                </c:pt>
                <c:pt idx="17">
                  <c:v>64</c:v>
                </c:pt>
                <c:pt idx="18">
                  <c:v>65</c:v>
                </c:pt>
                <c:pt idx="19">
                  <c:v>68</c:v>
                </c:pt>
                <c:pt idx="20">
                  <c:v>63</c:v>
                </c:pt>
                <c:pt idx="21">
                  <c:v>60</c:v>
                </c:pt>
                <c:pt idx="22">
                  <c:v>65</c:v>
                </c:pt>
                <c:pt idx="23">
                  <c:v>86</c:v>
                </c:pt>
                <c:pt idx="24">
                  <c:v>85</c:v>
                </c:pt>
                <c:pt idx="25">
                  <c:v>79</c:v>
                </c:pt>
                <c:pt idx="26">
                  <c:v>67</c:v>
                </c:pt>
                <c:pt idx="27">
                  <c:v>60</c:v>
                </c:pt>
                <c:pt idx="28">
                  <c:v>48</c:v>
                </c:pt>
                <c:pt idx="29">
                  <c:v>62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64</c:v>
                </c:pt>
                <c:pt idx="34">
                  <c:v>67</c:v>
                </c:pt>
                <c:pt idx="35">
                  <c:v>62</c:v>
                </c:pt>
                <c:pt idx="36">
                  <c:v>51</c:v>
                </c:pt>
                <c:pt idx="37">
                  <c:v>47</c:v>
                </c:pt>
                <c:pt idx="38">
                  <c:v>45</c:v>
                </c:pt>
                <c:pt idx="39">
                  <c:v>48</c:v>
                </c:pt>
                <c:pt idx="40">
                  <c:v>73</c:v>
                </c:pt>
                <c:pt idx="41">
                  <c:v>94</c:v>
                </c:pt>
                <c:pt idx="42">
                  <c:v>98</c:v>
                </c:pt>
                <c:pt idx="43">
                  <c:v>119</c:v>
                </c:pt>
                <c:pt idx="44">
                  <c:v>101</c:v>
                </c:pt>
                <c:pt idx="45">
                  <c:v>104</c:v>
                </c:pt>
                <c:pt idx="46">
                  <c:v>119</c:v>
                </c:pt>
                <c:pt idx="47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4-4BFC-8602-7EF70D0F105F}"/>
            </c:ext>
          </c:extLst>
        </c:ser>
        <c:ser>
          <c:idx val="2"/>
          <c:order val="2"/>
          <c:tx>
            <c:strRef>
              <c:f>'PCB Data'!$AC$3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Data'!$AJ$5:$AJ$52</c:f>
              <c:numCache>
                <c:formatCode>General</c:formatCode>
                <c:ptCount val="48"/>
                <c:pt idx="19" formatCode="0">
                  <c:v>76.8</c:v>
                </c:pt>
                <c:pt idx="20" formatCode="0">
                  <c:v>70.8</c:v>
                </c:pt>
                <c:pt idx="21" formatCode="0">
                  <c:v>69.599999999999994</c:v>
                </c:pt>
                <c:pt idx="22" formatCode="0">
                  <c:v>58.8</c:v>
                </c:pt>
                <c:pt idx="23" formatCode="0">
                  <c:v>81.599999999999994</c:v>
                </c:pt>
                <c:pt idx="24" formatCode="0">
                  <c:v>62.4</c:v>
                </c:pt>
                <c:pt idx="25" formatCode="0">
                  <c:v>62.4</c:v>
                </c:pt>
                <c:pt idx="26" formatCode="0">
                  <c:v>80.399999999999991</c:v>
                </c:pt>
                <c:pt idx="27" formatCode="0">
                  <c:v>46.8</c:v>
                </c:pt>
                <c:pt idx="28" formatCode="0">
                  <c:v>52.8</c:v>
                </c:pt>
                <c:pt idx="29" formatCode="0">
                  <c:v>64.8</c:v>
                </c:pt>
                <c:pt idx="30" formatCode="0">
                  <c:v>62.4</c:v>
                </c:pt>
                <c:pt idx="31" formatCode="0">
                  <c:v>56.4</c:v>
                </c:pt>
                <c:pt idx="32" formatCode="0">
                  <c:v>66</c:v>
                </c:pt>
                <c:pt idx="33" formatCode="0">
                  <c:v>67.2</c:v>
                </c:pt>
                <c:pt idx="34" formatCode="0">
                  <c:v>49.199999999999996</c:v>
                </c:pt>
                <c:pt idx="35" formatCode="0">
                  <c:v>75.599999999999994</c:v>
                </c:pt>
                <c:pt idx="36" formatCode="0">
                  <c:v>46.8</c:v>
                </c:pt>
                <c:pt idx="37" formatCode="0">
                  <c:v>48</c:v>
                </c:pt>
                <c:pt idx="38" formatCode="0">
                  <c:v>44.4</c:v>
                </c:pt>
                <c:pt idx="39" formatCode="0">
                  <c:v>60</c:v>
                </c:pt>
                <c:pt idx="40" formatCode="0">
                  <c:v>105.6</c:v>
                </c:pt>
                <c:pt idx="41" formatCode="0">
                  <c:v>92.399999999999991</c:v>
                </c:pt>
                <c:pt idx="42" formatCode="0">
                  <c:v>82.8</c:v>
                </c:pt>
                <c:pt idx="43" formatCode="0">
                  <c:v>105.6</c:v>
                </c:pt>
                <c:pt idx="44" formatCode="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4-4BFC-8602-7EF70D0F105F}"/>
            </c:ext>
          </c:extLst>
        </c:ser>
        <c:ser>
          <c:idx val="3"/>
          <c:order val="3"/>
          <c:tx>
            <c:strRef>
              <c:f>'PCB Data'!$AD$3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Data'!$AK$5:$AK$52</c:f>
              <c:numCache>
                <c:formatCode>0</c:formatCode>
                <c:ptCount val="48"/>
                <c:pt idx="0">
                  <c:v>145.16332799999998</c:v>
                </c:pt>
                <c:pt idx="1">
                  <c:v>151.40691199999995</c:v>
                </c:pt>
                <c:pt idx="2">
                  <c:v>154.52870399999998</c:v>
                </c:pt>
                <c:pt idx="3">
                  <c:v>148.28511999999998</c:v>
                </c:pt>
                <c:pt idx="4">
                  <c:v>146.72422399999996</c:v>
                </c:pt>
                <c:pt idx="5">
                  <c:v>151.40691199999995</c:v>
                </c:pt>
                <c:pt idx="6">
                  <c:v>151.40691199999995</c:v>
                </c:pt>
                <c:pt idx="7">
                  <c:v>152.18735999999998</c:v>
                </c:pt>
                <c:pt idx="8">
                  <c:v>153.22795733333331</c:v>
                </c:pt>
                <c:pt idx="9">
                  <c:v>154.52870399999998</c:v>
                </c:pt>
                <c:pt idx="10">
                  <c:v>152.83773333333332</c:v>
                </c:pt>
                <c:pt idx="11">
                  <c:v>148.41519466666662</c:v>
                </c:pt>
                <c:pt idx="12">
                  <c:v>142.69190933333331</c:v>
                </c:pt>
                <c:pt idx="13">
                  <c:v>136.96862399999998</c:v>
                </c:pt>
                <c:pt idx="14">
                  <c:v>131.76563733333333</c:v>
                </c:pt>
                <c:pt idx="15">
                  <c:v>127.34309866666663</c:v>
                </c:pt>
                <c:pt idx="16">
                  <c:v>127.0829493333333</c:v>
                </c:pt>
                <c:pt idx="17">
                  <c:v>122.92055999999997</c:v>
                </c:pt>
                <c:pt idx="18">
                  <c:v>119.53861866666664</c:v>
                </c:pt>
                <c:pt idx="19">
                  <c:v>116.93712533333333</c:v>
                </c:pt>
                <c:pt idx="20">
                  <c:v>111.73413866666665</c:v>
                </c:pt>
                <c:pt idx="21">
                  <c:v>105.75070399999997</c:v>
                </c:pt>
                <c:pt idx="22">
                  <c:v>100.15749333333332</c:v>
                </c:pt>
                <c:pt idx="23">
                  <c:v>105.88077866666663</c:v>
                </c:pt>
                <c:pt idx="24">
                  <c:v>111.0837653333333</c:v>
                </c:pt>
                <c:pt idx="25">
                  <c:v>113.94540799999997</c:v>
                </c:pt>
                <c:pt idx="26">
                  <c:v>114.98600533333331</c:v>
                </c:pt>
                <c:pt idx="27">
                  <c:v>114.98600533333331</c:v>
                </c:pt>
                <c:pt idx="28">
                  <c:v>110.56346666666664</c:v>
                </c:pt>
                <c:pt idx="29">
                  <c:v>104.31988266666664</c:v>
                </c:pt>
                <c:pt idx="30">
                  <c:v>99.116895999999969</c:v>
                </c:pt>
                <c:pt idx="31">
                  <c:v>95.214655999999977</c:v>
                </c:pt>
                <c:pt idx="32">
                  <c:v>93.913909333333308</c:v>
                </c:pt>
                <c:pt idx="33">
                  <c:v>94.95450666666666</c:v>
                </c:pt>
                <c:pt idx="34">
                  <c:v>99.89734399999999</c:v>
                </c:pt>
                <c:pt idx="35">
                  <c:v>99.89734399999999</c:v>
                </c:pt>
                <c:pt idx="36">
                  <c:v>96.255253333333314</c:v>
                </c:pt>
                <c:pt idx="37">
                  <c:v>91.832714666666661</c:v>
                </c:pt>
                <c:pt idx="38">
                  <c:v>87.410175999999979</c:v>
                </c:pt>
                <c:pt idx="39">
                  <c:v>83.247786666666656</c:v>
                </c:pt>
                <c:pt idx="40">
                  <c:v>84.808682666666641</c:v>
                </c:pt>
                <c:pt idx="41">
                  <c:v>93.133461333333301</c:v>
                </c:pt>
                <c:pt idx="42">
                  <c:v>105.36047999999998</c:v>
                </c:pt>
                <c:pt idx="43">
                  <c:v>124.09123199999998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4-4BFC-8602-7EF70D0F105F}"/>
            </c:ext>
          </c:extLst>
        </c:ser>
        <c:ser>
          <c:idx val="4"/>
          <c:order val="4"/>
          <c:tx>
            <c:strRef>
              <c:f>'PCB Data'!$AE$3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Data'!$AL$5:$AL$52</c:f>
              <c:numCache>
                <c:formatCode>0</c:formatCode>
                <c:ptCount val="48"/>
                <c:pt idx="0">
                  <c:v>181.640625</c:v>
                </c:pt>
                <c:pt idx="1">
                  <c:v>189.453125</c:v>
                </c:pt>
                <c:pt idx="2">
                  <c:v>193.359375</c:v>
                </c:pt>
                <c:pt idx="3">
                  <c:v>185.546875</c:v>
                </c:pt>
                <c:pt idx="4">
                  <c:v>183.59375</c:v>
                </c:pt>
                <c:pt idx="5">
                  <c:v>189.453125</c:v>
                </c:pt>
                <c:pt idx="6">
                  <c:v>189.453125</c:v>
                </c:pt>
                <c:pt idx="7">
                  <c:v>190.4296875</c:v>
                </c:pt>
                <c:pt idx="8">
                  <c:v>191.73177083333337</c:v>
                </c:pt>
                <c:pt idx="9">
                  <c:v>193.359375</c:v>
                </c:pt>
                <c:pt idx="10">
                  <c:v>191.24348958333337</c:v>
                </c:pt>
                <c:pt idx="11">
                  <c:v>185.70963541666663</c:v>
                </c:pt>
                <c:pt idx="12">
                  <c:v>178.54817708333337</c:v>
                </c:pt>
                <c:pt idx="13">
                  <c:v>171.38671875</c:v>
                </c:pt>
                <c:pt idx="14">
                  <c:v>164.87630208333337</c:v>
                </c:pt>
                <c:pt idx="15">
                  <c:v>159.34244791666663</c:v>
                </c:pt>
                <c:pt idx="16">
                  <c:v>159.01692708333337</c:v>
                </c:pt>
                <c:pt idx="17">
                  <c:v>153.80859375</c:v>
                </c:pt>
                <c:pt idx="18">
                  <c:v>149.57682291666663</c:v>
                </c:pt>
                <c:pt idx="19">
                  <c:v>146.32161458333337</c:v>
                </c:pt>
                <c:pt idx="20">
                  <c:v>139.81119791666663</c:v>
                </c:pt>
                <c:pt idx="21">
                  <c:v>132.32421875</c:v>
                </c:pt>
                <c:pt idx="22">
                  <c:v>125.32552083333336</c:v>
                </c:pt>
                <c:pt idx="23">
                  <c:v>132.48697916666663</c:v>
                </c:pt>
                <c:pt idx="24">
                  <c:v>138.99739583333337</c:v>
                </c:pt>
                <c:pt idx="25">
                  <c:v>142.578125</c:v>
                </c:pt>
                <c:pt idx="26">
                  <c:v>143.88020833333337</c:v>
                </c:pt>
                <c:pt idx="27">
                  <c:v>143.88020833333337</c:v>
                </c:pt>
                <c:pt idx="28">
                  <c:v>138.34635416666663</c:v>
                </c:pt>
                <c:pt idx="29">
                  <c:v>130.53385416666663</c:v>
                </c:pt>
                <c:pt idx="30">
                  <c:v>124.0234375</c:v>
                </c:pt>
                <c:pt idx="31">
                  <c:v>119.140625</c:v>
                </c:pt>
                <c:pt idx="32">
                  <c:v>117.51302083333331</c:v>
                </c:pt>
                <c:pt idx="33">
                  <c:v>118.81510416666669</c:v>
                </c:pt>
                <c:pt idx="34">
                  <c:v>125</c:v>
                </c:pt>
                <c:pt idx="35">
                  <c:v>125</c:v>
                </c:pt>
                <c:pt idx="36">
                  <c:v>120.44270833333331</c:v>
                </c:pt>
                <c:pt idx="37">
                  <c:v>114.90885416666669</c:v>
                </c:pt>
                <c:pt idx="38">
                  <c:v>109.375</c:v>
                </c:pt>
                <c:pt idx="39">
                  <c:v>104.16666666666669</c:v>
                </c:pt>
                <c:pt idx="40">
                  <c:v>106.11979166666669</c:v>
                </c:pt>
                <c:pt idx="41">
                  <c:v>116.53645833333331</c:v>
                </c:pt>
                <c:pt idx="42">
                  <c:v>131.8359375</c:v>
                </c:pt>
                <c:pt idx="43">
                  <c:v>155.2734375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4-4BFC-8602-7EF70D0F105F}"/>
            </c:ext>
          </c:extLst>
        </c:ser>
        <c:ser>
          <c:idx val="5"/>
          <c:order val="5"/>
          <c:tx>
            <c:strRef>
              <c:f>'PCB Data'!$AF$3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Data'!$AM$5:$AM$52</c:f>
              <c:numCache>
                <c:formatCode>0</c:formatCode>
                <c:ptCount val="48"/>
                <c:pt idx="0">
                  <c:v>160.70399999999998</c:v>
                </c:pt>
                <c:pt idx="1">
                  <c:v>167.61599999999996</c:v>
                </c:pt>
                <c:pt idx="2">
                  <c:v>171.072</c:v>
                </c:pt>
                <c:pt idx="3">
                  <c:v>164.15999999999997</c:v>
                </c:pt>
                <c:pt idx="4">
                  <c:v>162.43199999999999</c:v>
                </c:pt>
                <c:pt idx="5">
                  <c:v>167.61599999999996</c:v>
                </c:pt>
                <c:pt idx="6">
                  <c:v>167.61599999999996</c:v>
                </c:pt>
                <c:pt idx="7">
                  <c:v>168.48</c:v>
                </c:pt>
                <c:pt idx="8">
                  <c:v>169.63199999999998</c:v>
                </c:pt>
                <c:pt idx="9">
                  <c:v>171.072</c:v>
                </c:pt>
                <c:pt idx="10">
                  <c:v>169.2</c:v>
                </c:pt>
                <c:pt idx="11">
                  <c:v>164.30399999999997</c:v>
                </c:pt>
                <c:pt idx="12">
                  <c:v>157.96799999999999</c:v>
                </c:pt>
                <c:pt idx="13">
                  <c:v>151.63199999999998</c:v>
                </c:pt>
                <c:pt idx="14">
                  <c:v>145.87199999999999</c:v>
                </c:pt>
                <c:pt idx="15">
                  <c:v>140.97599999999997</c:v>
                </c:pt>
                <c:pt idx="16">
                  <c:v>140.68799999999999</c:v>
                </c:pt>
                <c:pt idx="17">
                  <c:v>136.07999999999998</c:v>
                </c:pt>
                <c:pt idx="18">
                  <c:v>132.33599999999998</c:v>
                </c:pt>
                <c:pt idx="19">
                  <c:v>129.45600000000002</c:v>
                </c:pt>
                <c:pt idx="20">
                  <c:v>123.69599999999997</c:v>
                </c:pt>
                <c:pt idx="21">
                  <c:v>117.07199999999997</c:v>
                </c:pt>
                <c:pt idx="22">
                  <c:v>110.87999999999998</c:v>
                </c:pt>
                <c:pt idx="23">
                  <c:v>117.21599999999998</c:v>
                </c:pt>
                <c:pt idx="24">
                  <c:v>122.976</c:v>
                </c:pt>
                <c:pt idx="25">
                  <c:v>126.14399999999998</c:v>
                </c:pt>
                <c:pt idx="26">
                  <c:v>127.29599999999999</c:v>
                </c:pt>
                <c:pt idx="27">
                  <c:v>127.29599999999999</c:v>
                </c:pt>
                <c:pt idx="28">
                  <c:v>122.39999999999998</c:v>
                </c:pt>
                <c:pt idx="29">
                  <c:v>115.48799999999997</c:v>
                </c:pt>
                <c:pt idx="30">
                  <c:v>109.72799999999999</c:v>
                </c:pt>
                <c:pt idx="31">
                  <c:v>105.408</c:v>
                </c:pt>
                <c:pt idx="32">
                  <c:v>103.96799999999998</c:v>
                </c:pt>
                <c:pt idx="33">
                  <c:v>105.11999999999999</c:v>
                </c:pt>
                <c:pt idx="34">
                  <c:v>110.592</c:v>
                </c:pt>
                <c:pt idx="35">
                  <c:v>110.592</c:v>
                </c:pt>
                <c:pt idx="36">
                  <c:v>106.55999999999999</c:v>
                </c:pt>
                <c:pt idx="37">
                  <c:v>101.66399999999997</c:v>
                </c:pt>
                <c:pt idx="38">
                  <c:v>96.768000000000001</c:v>
                </c:pt>
                <c:pt idx="39">
                  <c:v>92.16</c:v>
                </c:pt>
                <c:pt idx="40">
                  <c:v>93.887999999999991</c:v>
                </c:pt>
                <c:pt idx="41">
                  <c:v>103.10399999999998</c:v>
                </c:pt>
                <c:pt idx="42">
                  <c:v>116.64</c:v>
                </c:pt>
                <c:pt idx="43">
                  <c:v>137.37599999999998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44-4BFC-8602-7EF70D0F105F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44-4BFC-8602-7EF70D0F1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'PCB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944-4BFC-8602-7EF70D0F105F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405/ Test Towers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'PCB Data'!$AA$3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Data'!$C$5:$C$52</c:f>
              <c:numCache>
                <c:formatCode>General</c:formatCode>
                <c:ptCount val="48"/>
                <c:pt idx="0">
                  <c:v>78</c:v>
                </c:pt>
                <c:pt idx="1">
                  <c:v>80</c:v>
                </c:pt>
                <c:pt idx="2">
                  <c:v>79</c:v>
                </c:pt>
                <c:pt idx="3">
                  <c:v>73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63</c:v>
                </c:pt>
                <c:pt idx="8">
                  <c:v>67</c:v>
                </c:pt>
                <c:pt idx="9">
                  <c:v>76</c:v>
                </c:pt>
                <c:pt idx="10">
                  <c:v>72</c:v>
                </c:pt>
                <c:pt idx="11">
                  <c:v>69</c:v>
                </c:pt>
                <c:pt idx="12">
                  <c:v>72</c:v>
                </c:pt>
                <c:pt idx="13">
                  <c:v>74</c:v>
                </c:pt>
                <c:pt idx="14">
                  <c:v>73</c:v>
                </c:pt>
                <c:pt idx="15">
                  <c:v>72</c:v>
                </c:pt>
                <c:pt idx="16">
                  <c:v>81</c:v>
                </c:pt>
                <c:pt idx="17">
                  <c:v>79</c:v>
                </c:pt>
                <c:pt idx="18">
                  <c:v>77</c:v>
                </c:pt>
                <c:pt idx="19">
                  <c:v>72</c:v>
                </c:pt>
                <c:pt idx="20">
                  <c:v>66</c:v>
                </c:pt>
                <c:pt idx="21">
                  <c:v>65</c:v>
                </c:pt>
                <c:pt idx="22">
                  <c:v>70</c:v>
                </c:pt>
                <c:pt idx="23">
                  <c:v>84</c:v>
                </c:pt>
                <c:pt idx="24">
                  <c:v>88</c:v>
                </c:pt>
                <c:pt idx="25">
                  <c:v>81</c:v>
                </c:pt>
                <c:pt idx="26">
                  <c:v>71</c:v>
                </c:pt>
                <c:pt idx="27">
                  <c:v>74</c:v>
                </c:pt>
                <c:pt idx="28">
                  <c:v>64</c:v>
                </c:pt>
                <c:pt idx="29">
                  <c:v>74</c:v>
                </c:pt>
                <c:pt idx="30">
                  <c:v>81</c:v>
                </c:pt>
                <c:pt idx="31">
                  <c:v>81</c:v>
                </c:pt>
                <c:pt idx="32">
                  <c:v>86</c:v>
                </c:pt>
                <c:pt idx="33">
                  <c:v>95</c:v>
                </c:pt>
                <c:pt idx="34">
                  <c:v>113</c:v>
                </c:pt>
                <c:pt idx="35">
                  <c:v>115</c:v>
                </c:pt>
                <c:pt idx="36">
                  <c:v>100</c:v>
                </c:pt>
                <c:pt idx="37">
                  <c:v>84</c:v>
                </c:pt>
                <c:pt idx="38">
                  <c:v>86</c:v>
                </c:pt>
                <c:pt idx="39">
                  <c:v>96</c:v>
                </c:pt>
                <c:pt idx="40">
                  <c:v>98</c:v>
                </c:pt>
                <c:pt idx="41">
                  <c:v>93</c:v>
                </c:pt>
                <c:pt idx="42">
                  <c:v>90</c:v>
                </c:pt>
                <c:pt idx="43">
                  <c:v>96</c:v>
                </c:pt>
                <c:pt idx="44">
                  <c:v>93</c:v>
                </c:pt>
                <c:pt idx="45">
                  <c:v>86</c:v>
                </c:pt>
                <c:pt idx="46">
                  <c:v>100</c:v>
                </c:pt>
                <c:pt idx="4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40E6-A7FE-15B27339D262}"/>
            </c:ext>
          </c:extLst>
        </c:ser>
        <c:ser>
          <c:idx val="2"/>
          <c:order val="2"/>
          <c:tx>
            <c:strRef>
              <c:f>'PCB Data'!$AC$3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Data'!$AP$5:$AP$52</c:f>
              <c:numCache>
                <c:formatCode>General</c:formatCode>
                <c:ptCount val="48"/>
                <c:pt idx="19" formatCode="0">
                  <c:v>76.8</c:v>
                </c:pt>
                <c:pt idx="20" formatCode="0">
                  <c:v>69.599999999999994</c:v>
                </c:pt>
                <c:pt idx="21" formatCode="0">
                  <c:v>67.2</c:v>
                </c:pt>
                <c:pt idx="22" formatCode="0">
                  <c:v>58.8</c:v>
                </c:pt>
                <c:pt idx="23" formatCode="0">
                  <c:v>81.599999999999994</c:v>
                </c:pt>
                <c:pt idx="24" formatCode="0">
                  <c:v>56.4</c:v>
                </c:pt>
                <c:pt idx="25" formatCode="0">
                  <c:v>62.4</c:v>
                </c:pt>
                <c:pt idx="26" formatCode="0">
                  <c:v>76.8</c:v>
                </c:pt>
                <c:pt idx="27" formatCode="0">
                  <c:v>52.8</c:v>
                </c:pt>
                <c:pt idx="28" formatCode="0">
                  <c:v>60</c:v>
                </c:pt>
                <c:pt idx="29" formatCode="0">
                  <c:v>84</c:v>
                </c:pt>
                <c:pt idx="30" formatCode="0">
                  <c:v>78</c:v>
                </c:pt>
                <c:pt idx="31" formatCode="0">
                  <c:v>88.8</c:v>
                </c:pt>
                <c:pt idx="32" formatCode="0">
                  <c:v>98.399999999999991</c:v>
                </c:pt>
                <c:pt idx="33" formatCode="0">
                  <c:v>105.6</c:v>
                </c:pt>
                <c:pt idx="34" formatCode="0">
                  <c:v>84</c:v>
                </c:pt>
                <c:pt idx="35" formatCode="0">
                  <c:v>76.8</c:v>
                </c:pt>
                <c:pt idx="36" formatCode="0">
                  <c:v>75.599999999999994</c:v>
                </c:pt>
                <c:pt idx="37" formatCode="0">
                  <c:v>79.2</c:v>
                </c:pt>
                <c:pt idx="38" formatCode="0">
                  <c:v>70.8</c:v>
                </c:pt>
                <c:pt idx="39" formatCode="0">
                  <c:v>91.2</c:v>
                </c:pt>
                <c:pt idx="40" formatCode="0">
                  <c:v>132</c:v>
                </c:pt>
                <c:pt idx="41" formatCode="0">
                  <c:v>99.6</c:v>
                </c:pt>
                <c:pt idx="42" formatCode="0">
                  <c:v>79.2</c:v>
                </c:pt>
                <c:pt idx="43" formatCode="0">
                  <c:v>87.6</c:v>
                </c:pt>
                <c:pt idx="44" formatCode="0">
                  <c:v>74.399999999999991</c:v>
                </c:pt>
                <c:pt idx="45" formatCode="0">
                  <c:v>90</c:v>
                </c:pt>
                <c:pt idx="46" formatCode="0">
                  <c:v>51.6</c:v>
                </c:pt>
                <c:pt idx="47" formatCode="0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E-40E6-A7FE-15B27339D262}"/>
            </c:ext>
          </c:extLst>
        </c:ser>
        <c:ser>
          <c:idx val="3"/>
          <c:order val="3"/>
          <c:tx>
            <c:strRef>
              <c:f>'PCB Data'!$AD$3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Data'!$AQ$5:$AQ$52</c:f>
              <c:numCache>
                <c:formatCode>0</c:formatCode>
                <c:ptCount val="48"/>
                <c:pt idx="0">
                  <c:v>121.74988799999997</c:v>
                </c:pt>
                <c:pt idx="1">
                  <c:v>124.87167999999998</c:v>
                </c:pt>
                <c:pt idx="2">
                  <c:v>123.31078399999998</c:v>
                </c:pt>
                <c:pt idx="3">
                  <c:v>113.94540799999997</c:v>
                </c:pt>
                <c:pt idx="4">
                  <c:v>103.01913599999996</c:v>
                </c:pt>
                <c:pt idx="5">
                  <c:v>101.45823999999998</c:v>
                </c:pt>
                <c:pt idx="6">
                  <c:v>110.82361599999999</c:v>
                </c:pt>
                <c:pt idx="7">
                  <c:v>106.40107733333332</c:v>
                </c:pt>
                <c:pt idx="8">
                  <c:v>103.27928533333331</c:v>
                </c:pt>
                <c:pt idx="9">
                  <c:v>104.05973333333331</c:v>
                </c:pt>
                <c:pt idx="10">
                  <c:v>105.62062933333333</c:v>
                </c:pt>
                <c:pt idx="11">
                  <c:v>106.66122666666664</c:v>
                </c:pt>
                <c:pt idx="12">
                  <c:v>109.00257066666664</c:v>
                </c:pt>
                <c:pt idx="13">
                  <c:v>111.86421333333332</c:v>
                </c:pt>
                <c:pt idx="14">
                  <c:v>113.42510933333332</c:v>
                </c:pt>
                <c:pt idx="15">
                  <c:v>112.38451199999997</c:v>
                </c:pt>
                <c:pt idx="16">
                  <c:v>114.72585599999998</c:v>
                </c:pt>
                <c:pt idx="17">
                  <c:v>117.3273493333333</c:v>
                </c:pt>
                <c:pt idx="18">
                  <c:v>118.62809599999999</c:v>
                </c:pt>
                <c:pt idx="19">
                  <c:v>118.10779733333331</c:v>
                </c:pt>
                <c:pt idx="20">
                  <c:v>116.28675199999996</c:v>
                </c:pt>
                <c:pt idx="21">
                  <c:v>114.46570666666663</c:v>
                </c:pt>
                <c:pt idx="22">
                  <c:v>111.60406399999998</c:v>
                </c:pt>
                <c:pt idx="23">
                  <c:v>112.90481066666662</c:v>
                </c:pt>
                <c:pt idx="24">
                  <c:v>115.76645333333332</c:v>
                </c:pt>
                <c:pt idx="25">
                  <c:v>118.10779733333331</c:v>
                </c:pt>
                <c:pt idx="26">
                  <c:v>119.40854399999998</c:v>
                </c:pt>
                <c:pt idx="27">
                  <c:v>121.74988799999997</c:v>
                </c:pt>
                <c:pt idx="28">
                  <c:v>120.18899199999997</c:v>
                </c:pt>
                <c:pt idx="29">
                  <c:v>117.58749866666665</c:v>
                </c:pt>
                <c:pt idx="30">
                  <c:v>115.76645333333332</c:v>
                </c:pt>
                <c:pt idx="31">
                  <c:v>115.76645333333332</c:v>
                </c:pt>
                <c:pt idx="32">
                  <c:v>119.66869333333332</c:v>
                </c:pt>
                <c:pt idx="33">
                  <c:v>125.13182933333331</c:v>
                </c:pt>
                <c:pt idx="34">
                  <c:v>137.87914666666663</c:v>
                </c:pt>
                <c:pt idx="35">
                  <c:v>148.54526933333332</c:v>
                </c:pt>
                <c:pt idx="36">
                  <c:v>153.48810666666662</c:v>
                </c:pt>
                <c:pt idx="37">
                  <c:v>154.2685546666666</c:v>
                </c:pt>
                <c:pt idx="38">
                  <c:v>154.2685546666666</c:v>
                </c:pt>
                <c:pt idx="39">
                  <c:v>154.52870399999998</c:v>
                </c:pt>
                <c:pt idx="40">
                  <c:v>150.62646399999997</c:v>
                </c:pt>
                <c:pt idx="41">
                  <c:v>144.90317866666663</c:v>
                </c:pt>
                <c:pt idx="42">
                  <c:v>142.3016853333333</c:v>
                </c:pt>
                <c:pt idx="43">
                  <c:v>145.42347733333332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E-40E6-A7FE-15B27339D262}"/>
            </c:ext>
          </c:extLst>
        </c:ser>
        <c:ser>
          <c:idx val="4"/>
          <c:order val="4"/>
          <c:tx>
            <c:strRef>
              <c:f>'PCB Data'!$AE$3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Data'!$AR$5:$AR$52</c:f>
              <c:numCache>
                <c:formatCode>0</c:formatCode>
                <c:ptCount val="48"/>
                <c:pt idx="0">
                  <c:v>152.34375</c:v>
                </c:pt>
                <c:pt idx="1">
                  <c:v>156.25</c:v>
                </c:pt>
                <c:pt idx="2">
                  <c:v>154.296875</c:v>
                </c:pt>
                <c:pt idx="3">
                  <c:v>142.578125</c:v>
                </c:pt>
                <c:pt idx="4">
                  <c:v>128.90625</c:v>
                </c:pt>
                <c:pt idx="5">
                  <c:v>126.953125</c:v>
                </c:pt>
                <c:pt idx="6">
                  <c:v>138.671875</c:v>
                </c:pt>
                <c:pt idx="7">
                  <c:v>133.13802083333337</c:v>
                </c:pt>
                <c:pt idx="8">
                  <c:v>129.23177083333337</c:v>
                </c:pt>
                <c:pt idx="9">
                  <c:v>130.20833333333337</c:v>
                </c:pt>
                <c:pt idx="10">
                  <c:v>132.16145833333337</c:v>
                </c:pt>
                <c:pt idx="11">
                  <c:v>133.46354166666663</c:v>
                </c:pt>
                <c:pt idx="12">
                  <c:v>136.39322916666663</c:v>
                </c:pt>
                <c:pt idx="13">
                  <c:v>139.97395833333337</c:v>
                </c:pt>
                <c:pt idx="14">
                  <c:v>141.92708333333337</c:v>
                </c:pt>
                <c:pt idx="15">
                  <c:v>140.625</c:v>
                </c:pt>
                <c:pt idx="16">
                  <c:v>143.5546875</c:v>
                </c:pt>
                <c:pt idx="17">
                  <c:v>146.80989583333337</c:v>
                </c:pt>
                <c:pt idx="18">
                  <c:v>148.4375</c:v>
                </c:pt>
                <c:pt idx="19">
                  <c:v>147.78645833333337</c:v>
                </c:pt>
                <c:pt idx="20">
                  <c:v>145.5078125</c:v>
                </c:pt>
                <c:pt idx="21">
                  <c:v>143.22916666666663</c:v>
                </c:pt>
                <c:pt idx="22">
                  <c:v>139.6484375</c:v>
                </c:pt>
                <c:pt idx="23">
                  <c:v>141.27604166666663</c:v>
                </c:pt>
                <c:pt idx="24">
                  <c:v>144.85677083333337</c:v>
                </c:pt>
                <c:pt idx="25">
                  <c:v>147.78645833333337</c:v>
                </c:pt>
                <c:pt idx="26">
                  <c:v>149.4140625</c:v>
                </c:pt>
                <c:pt idx="27">
                  <c:v>152.34375</c:v>
                </c:pt>
                <c:pt idx="28">
                  <c:v>150.390625</c:v>
                </c:pt>
                <c:pt idx="29">
                  <c:v>147.13541666666663</c:v>
                </c:pt>
                <c:pt idx="30">
                  <c:v>144.85677083333337</c:v>
                </c:pt>
                <c:pt idx="31">
                  <c:v>144.85677083333337</c:v>
                </c:pt>
                <c:pt idx="32">
                  <c:v>149.73958333333337</c:v>
                </c:pt>
                <c:pt idx="33">
                  <c:v>156.57552083333337</c:v>
                </c:pt>
                <c:pt idx="34">
                  <c:v>172.52604166666663</c:v>
                </c:pt>
                <c:pt idx="35">
                  <c:v>185.87239583333337</c:v>
                </c:pt>
                <c:pt idx="36">
                  <c:v>192.05729166666663</c:v>
                </c:pt>
                <c:pt idx="37">
                  <c:v>193.03385416666663</c:v>
                </c:pt>
                <c:pt idx="38">
                  <c:v>193.03385416666663</c:v>
                </c:pt>
                <c:pt idx="39">
                  <c:v>193.359375</c:v>
                </c:pt>
                <c:pt idx="40">
                  <c:v>188.4765625</c:v>
                </c:pt>
                <c:pt idx="41">
                  <c:v>181.31510416666663</c:v>
                </c:pt>
                <c:pt idx="42">
                  <c:v>178.05989583333337</c:v>
                </c:pt>
                <c:pt idx="43">
                  <c:v>181.96614583333337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E-40E6-A7FE-15B27339D262}"/>
            </c:ext>
          </c:extLst>
        </c:ser>
        <c:ser>
          <c:idx val="5"/>
          <c:order val="5"/>
          <c:tx>
            <c:strRef>
              <c:f>'PCB Data'!$AF$3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Data'!$AS$5:$AS$52</c:f>
              <c:numCache>
                <c:formatCode>0</c:formatCode>
                <c:ptCount val="48"/>
                <c:pt idx="0">
                  <c:v>134.78399999999999</c:v>
                </c:pt>
                <c:pt idx="1">
                  <c:v>138.23999999999998</c:v>
                </c:pt>
                <c:pt idx="2">
                  <c:v>136.51199999999997</c:v>
                </c:pt>
                <c:pt idx="3">
                  <c:v>126.14399999999998</c:v>
                </c:pt>
                <c:pt idx="4">
                  <c:v>114.048</c:v>
                </c:pt>
                <c:pt idx="5">
                  <c:v>112.32</c:v>
                </c:pt>
                <c:pt idx="6">
                  <c:v>122.68799999999999</c:v>
                </c:pt>
                <c:pt idx="7">
                  <c:v>117.79199999999999</c:v>
                </c:pt>
                <c:pt idx="8">
                  <c:v>114.336</c:v>
                </c:pt>
                <c:pt idx="9">
                  <c:v>115.19999999999999</c:v>
                </c:pt>
                <c:pt idx="10">
                  <c:v>116.928</c:v>
                </c:pt>
                <c:pt idx="11">
                  <c:v>118.07999999999997</c:v>
                </c:pt>
                <c:pt idx="12">
                  <c:v>120.67199999999998</c:v>
                </c:pt>
                <c:pt idx="13">
                  <c:v>123.84</c:v>
                </c:pt>
                <c:pt idx="14">
                  <c:v>125.568</c:v>
                </c:pt>
                <c:pt idx="15">
                  <c:v>124.41599999999998</c:v>
                </c:pt>
                <c:pt idx="16">
                  <c:v>127.008</c:v>
                </c:pt>
                <c:pt idx="17">
                  <c:v>129.88799999999998</c:v>
                </c:pt>
                <c:pt idx="18">
                  <c:v>131.328</c:v>
                </c:pt>
                <c:pt idx="19">
                  <c:v>130.75199999999998</c:v>
                </c:pt>
                <c:pt idx="20">
                  <c:v>128.73599999999999</c:v>
                </c:pt>
                <c:pt idx="21">
                  <c:v>126.71999999999997</c:v>
                </c:pt>
                <c:pt idx="22">
                  <c:v>123.55199999999999</c:v>
                </c:pt>
                <c:pt idx="23">
                  <c:v>124.99199999999999</c:v>
                </c:pt>
                <c:pt idx="24">
                  <c:v>128.16</c:v>
                </c:pt>
                <c:pt idx="25">
                  <c:v>130.75199999999998</c:v>
                </c:pt>
                <c:pt idx="26">
                  <c:v>132.19199999999998</c:v>
                </c:pt>
                <c:pt idx="27">
                  <c:v>134.78399999999999</c:v>
                </c:pt>
                <c:pt idx="28">
                  <c:v>133.05599999999998</c:v>
                </c:pt>
                <c:pt idx="29">
                  <c:v>130.17599999999999</c:v>
                </c:pt>
                <c:pt idx="30">
                  <c:v>128.16</c:v>
                </c:pt>
                <c:pt idx="31">
                  <c:v>128.16</c:v>
                </c:pt>
                <c:pt idx="32">
                  <c:v>132.47999999999999</c:v>
                </c:pt>
                <c:pt idx="33">
                  <c:v>138.52799999999999</c:v>
                </c:pt>
                <c:pt idx="34">
                  <c:v>152.63999999999996</c:v>
                </c:pt>
                <c:pt idx="35">
                  <c:v>164.44799999999998</c:v>
                </c:pt>
                <c:pt idx="36">
                  <c:v>169.91999999999996</c:v>
                </c:pt>
                <c:pt idx="37">
                  <c:v>170.78399999999999</c:v>
                </c:pt>
                <c:pt idx="38">
                  <c:v>170.78399999999999</c:v>
                </c:pt>
                <c:pt idx="39">
                  <c:v>171.072</c:v>
                </c:pt>
                <c:pt idx="40">
                  <c:v>166.75199999999998</c:v>
                </c:pt>
                <c:pt idx="41">
                  <c:v>160.41599999999997</c:v>
                </c:pt>
                <c:pt idx="42">
                  <c:v>157.536</c:v>
                </c:pt>
                <c:pt idx="43">
                  <c:v>160.99199999999999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E-40E6-A7FE-15B27339D262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E-40E6-A7FE-15B27339D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'PCB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B2E-40E6-A7FE-15B27339D262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308 / RPS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'PCB Data'!$AA$3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Data'!$D$5:$D$52</c:f>
              <c:numCache>
                <c:formatCode>General</c:formatCode>
                <c:ptCount val="48"/>
                <c:pt idx="0">
                  <c:v>67</c:v>
                </c:pt>
                <c:pt idx="1">
                  <c:v>69</c:v>
                </c:pt>
                <c:pt idx="2">
                  <c:v>71</c:v>
                </c:pt>
                <c:pt idx="3">
                  <c:v>72</c:v>
                </c:pt>
                <c:pt idx="4">
                  <c:v>77</c:v>
                </c:pt>
                <c:pt idx="5">
                  <c:v>70</c:v>
                </c:pt>
                <c:pt idx="6">
                  <c:v>67</c:v>
                </c:pt>
                <c:pt idx="7">
                  <c:v>67</c:v>
                </c:pt>
                <c:pt idx="8">
                  <c:v>66</c:v>
                </c:pt>
                <c:pt idx="9">
                  <c:v>74</c:v>
                </c:pt>
                <c:pt idx="10">
                  <c:v>69</c:v>
                </c:pt>
                <c:pt idx="11">
                  <c:v>70</c:v>
                </c:pt>
                <c:pt idx="12">
                  <c:v>72</c:v>
                </c:pt>
                <c:pt idx="13">
                  <c:v>73</c:v>
                </c:pt>
                <c:pt idx="14">
                  <c:v>73</c:v>
                </c:pt>
                <c:pt idx="15">
                  <c:v>76</c:v>
                </c:pt>
                <c:pt idx="16">
                  <c:v>84</c:v>
                </c:pt>
                <c:pt idx="17">
                  <c:v>84</c:v>
                </c:pt>
                <c:pt idx="18">
                  <c:v>85</c:v>
                </c:pt>
                <c:pt idx="19">
                  <c:v>78</c:v>
                </c:pt>
                <c:pt idx="20">
                  <c:v>70</c:v>
                </c:pt>
                <c:pt idx="21">
                  <c:v>67</c:v>
                </c:pt>
                <c:pt idx="22">
                  <c:v>76</c:v>
                </c:pt>
                <c:pt idx="23">
                  <c:v>112</c:v>
                </c:pt>
                <c:pt idx="24">
                  <c:v>118</c:v>
                </c:pt>
                <c:pt idx="25">
                  <c:v>110</c:v>
                </c:pt>
                <c:pt idx="26">
                  <c:v>58</c:v>
                </c:pt>
                <c:pt idx="27">
                  <c:v>60</c:v>
                </c:pt>
                <c:pt idx="28">
                  <c:v>52</c:v>
                </c:pt>
                <c:pt idx="29">
                  <c:v>62</c:v>
                </c:pt>
                <c:pt idx="30">
                  <c:v>68</c:v>
                </c:pt>
                <c:pt idx="31">
                  <c:v>71</c:v>
                </c:pt>
                <c:pt idx="32">
                  <c:v>73</c:v>
                </c:pt>
                <c:pt idx="33">
                  <c:v>80</c:v>
                </c:pt>
                <c:pt idx="34">
                  <c:v>99</c:v>
                </c:pt>
                <c:pt idx="35">
                  <c:v>89</c:v>
                </c:pt>
                <c:pt idx="36">
                  <c:v>81</c:v>
                </c:pt>
                <c:pt idx="37">
                  <c:v>71</c:v>
                </c:pt>
                <c:pt idx="38">
                  <c:v>74</c:v>
                </c:pt>
                <c:pt idx="39">
                  <c:v>78</c:v>
                </c:pt>
                <c:pt idx="40">
                  <c:v>96</c:v>
                </c:pt>
                <c:pt idx="41">
                  <c:v>123</c:v>
                </c:pt>
                <c:pt idx="42">
                  <c:v>123</c:v>
                </c:pt>
                <c:pt idx="43">
                  <c:v>132</c:v>
                </c:pt>
                <c:pt idx="44">
                  <c:v>124</c:v>
                </c:pt>
                <c:pt idx="45">
                  <c:v>114</c:v>
                </c:pt>
                <c:pt idx="46">
                  <c:v>107</c:v>
                </c:pt>
                <c:pt idx="4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C-4381-A0BD-988530E3FAB7}"/>
            </c:ext>
          </c:extLst>
        </c:ser>
        <c:ser>
          <c:idx val="2"/>
          <c:order val="2"/>
          <c:tx>
            <c:strRef>
              <c:f>'PCB Data'!$AC$3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Data'!$AV$5:$AV$52</c:f>
              <c:numCache>
                <c:formatCode>General</c:formatCode>
                <c:ptCount val="48"/>
                <c:pt idx="19">
                  <c:v>86.399999999999991</c:v>
                </c:pt>
                <c:pt idx="20">
                  <c:v>78</c:v>
                </c:pt>
                <c:pt idx="21">
                  <c:v>74.399999999999991</c:v>
                </c:pt>
                <c:pt idx="22">
                  <c:v>64.8</c:v>
                </c:pt>
                <c:pt idx="23">
                  <c:v>105.6</c:v>
                </c:pt>
                <c:pt idx="24">
                  <c:v>73.2</c:v>
                </c:pt>
                <c:pt idx="25">
                  <c:v>75.599999999999994</c:v>
                </c:pt>
                <c:pt idx="26">
                  <c:v>63.599999999999994</c:v>
                </c:pt>
                <c:pt idx="27">
                  <c:v>43.199999999999996</c:v>
                </c:pt>
                <c:pt idx="28">
                  <c:v>51.6</c:v>
                </c:pt>
                <c:pt idx="29">
                  <c:v>72</c:v>
                </c:pt>
                <c:pt idx="30">
                  <c:v>66</c:v>
                </c:pt>
                <c:pt idx="31">
                  <c:v>75.599999999999994</c:v>
                </c:pt>
                <c:pt idx="32">
                  <c:v>84</c:v>
                </c:pt>
                <c:pt idx="33">
                  <c:v>92.399999999999991</c:v>
                </c:pt>
                <c:pt idx="34">
                  <c:v>74.399999999999991</c:v>
                </c:pt>
                <c:pt idx="35">
                  <c:v>60</c:v>
                </c:pt>
                <c:pt idx="36">
                  <c:v>61.199999999999996</c:v>
                </c:pt>
                <c:pt idx="37">
                  <c:v>66</c:v>
                </c:pt>
                <c:pt idx="38">
                  <c:v>57.599999999999994</c:v>
                </c:pt>
                <c:pt idx="39">
                  <c:v>79.2</c:v>
                </c:pt>
                <c:pt idx="40">
                  <c:v>145.19999999999999</c:v>
                </c:pt>
                <c:pt idx="41">
                  <c:v>117.6</c:v>
                </c:pt>
                <c:pt idx="42">
                  <c:v>104.39999999999999</c:v>
                </c:pt>
                <c:pt idx="43">
                  <c:v>112.8</c:v>
                </c:pt>
                <c:pt idx="44">
                  <c:v>74.399999999999991</c:v>
                </c:pt>
                <c:pt idx="45">
                  <c:v>91.2</c:v>
                </c:pt>
                <c:pt idx="46">
                  <c:v>51.6</c:v>
                </c:pt>
                <c:pt idx="47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C-4381-A0BD-988530E3FAB7}"/>
            </c:ext>
          </c:extLst>
        </c:ser>
        <c:ser>
          <c:idx val="3"/>
          <c:order val="3"/>
          <c:tx>
            <c:strRef>
              <c:f>'PCB Data'!$AD$3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Data'!$AW$5:$AW$52</c:f>
              <c:numCache>
                <c:formatCode>0</c:formatCode>
                <c:ptCount val="48"/>
                <c:pt idx="0">
                  <c:v>104.58003199999999</c:v>
                </c:pt>
                <c:pt idx="1">
                  <c:v>107.70182399999997</c:v>
                </c:pt>
                <c:pt idx="2">
                  <c:v>110.82361599999999</c:v>
                </c:pt>
                <c:pt idx="3">
                  <c:v>112.38451199999997</c:v>
                </c:pt>
                <c:pt idx="4">
                  <c:v>120.18899199999997</c:v>
                </c:pt>
                <c:pt idx="5">
                  <c:v>109.26271999999997</c:v>
                </c:pt>
                <c:pt idx="6">
                  <c:v>110.82361599999999</c:v>
                </c:pt>
                <c:pt idx="7">
                  <c:v>110.30331733333331</c:v>
                </c:pt>
                <c:pt idx="8">
                  <c:v>109.00257066666664</c:v>
                </c:pt>
                <c:pt idx="9">
                  <c:v>109.52286933333332</c:v>
                </c:pt>
                <c:pt idx="10">
                  <c:v>107.44167466666663</c:v>
                </c:pt>
                <c:pt idx="11">
                  <c:v>107.44167466666663</c:v>
                </c:pt>
                <c:pt idx="12">
                  <c:v>108.74242133333333</c:v>
                </c:pt>
                <c:pt idx="13">
                  <c:v>110.30331733333331</c:v>
                </c:pt>
                <c:pt idx="14">
                  <c:v>112.12436266666663</c:v>
                </c:pt>
                <c:pt idx="15">
                  <c:v>112.64466133333333</c:v>
                </c:pt>
                <c:pt idx="16">
                  <c:v>116.54690133333331</c:v>
                </c:pt>
                <c:pt idx="17">
                  <c:v>120.18899199999997</c:v>
                </c:pt>
                <c:pt idx="18">
                  <c:v>123.57093333333331</c:v>
                </c:pt>
                <c:pt idx="19">
                  <c:v>124.87167999999998</c:v>
                </c:pt>
                <c:pt idx="20">
                  <c:v>124.09123199999998</c:v>
                </c:pt>
                <c:pt idx="21">
                  <c:v>121.74988799999997</c:v>
                </c:pt>
                <c:pt idx="22">
                  <c:v>119.66869333333332</c:v>
                </c:pt>
                <c:pt idx="23">
                  <c:v>126.95287466666662</c:v>
                </c:pt>
                <c:pt idx="24">
                  <c:v>135.53780266666664</c:v>
                </c:pt>
                <c:pt idx="25">
                  <c:v>143.86258133333331</c:v>
                </c:pt>
                <c:pt idx="26">
                  <c:v>140.74078933333331</c:v>
                </c:pt>
                <c:pt idx="27">
                  <c:v>138.91974399999998</c:v>
                </c:pt>
                <c:pt idx="28">
                  <c:v>132.67615999999998</c:v>
                </c:pt>
                <c:pt idx="29">
                  <c:v>119.66869333333332</c:v>
                </c:pt>
                <c:pt idx="30">
                  <c:v>106.66122666666664</c:v>
                </c:pt>
                <c:pt idx="31">
                  <c:v>96.515402666666645</c:v>
                </c:pt>
                <c:pt idx="32">
                  <c:v>100.41764266666664</c:v>
                </c:pt>
                <c:pt idx="33">
                  <c:v>105.62062933333333</c:v>
                </c:pt>
                <c:pt idx="34">
                  <c:v>117.84764799999999</c:v>
                </c:pt>
                <c:pt idx="35">
                  <c:v>124.87167999999998</c:v>
                </c:pt>
                <c:pt idx="36">
                  <c:v>128.25362133333331</c:v>
                </c:pt>
                <c:pt idx="37">
                  <c:v>128.25362133333331</c:v>
                </c:pt>
                <c:pt idx="38">
                  <c:v>128.51377066666663</c:v>
                </c:pt>
                <c:pt idx="39">
                  <c:v>127.99347199999997</c:v>
                </c:pt>
                <c:pt idx="40">
                  <c:v>127.21302399999998</c:v>
                </c:pt>
                <c:pt idx="41">
                  <c:v>136.0581013333333</c:v>
                </c:pt>
                <c:pt idx="42">
                  <c:v>146.98437333333331</c:v>
                </c:pt>
                <c:pt idx="43">
                  <c:v>162.85348266666665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C-4381-A0BD-988530E3FAB7}"/>
            </c:ext>
          </c:extLst>
        </c:ser>
        <c:ser>
          <c:idx val="4"/>
          <c:order val="4"/>
          <c:tx>
            <c:strRef>
              <c:f>'PCB Data'!$AE$3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Data'!$AX$5:$AX$52</c:f>
              <c:numCache>
                <c:formatCode>0</c:formatCode>
                <c:ptCount val="48"/>
                <c:pt idx="0">
                  <c:v>130.859375</c:v>
                </c:pt>
                <c:pt idx="1">
                  <c:v>134.765625</c:v>
                </c:pt>
                <c:pt idx="2">
                  <c:v>138.671875</c:v>
                </c:pt>
                <c:pt idx="3">
                  <c:v>140.625</c:v>
                </c:pt>
                <c:pt idx="4">
                  <c:v>150.390625</c:v>
                </c:pt>
                <c:pt idx="5">
                  <c:v>136.71875</c:v>
                </c:pt>
                <c:pt idx="6">
                  <c:v>138.671875</c:v>
                </c:pt>
                <c:pt idx="7">
                  <c:v>138.02083333333337</c:v>
                </c:pt>
                <c:pt idx="8">
                  <c:v>136.39322916666663</c:v>
                </c:pt>
                <c:pt idx="9">
                  <c:v>137.04427083333337</c:v>
                </c:pt>
                <c:pt idx="10">
                  <c:v>134.44010416666663</c:v>
                </c:pt>
                <c:pt idx="11">
                  <c:v>134.44010416666663</c:v>
                </c:pt>
                <c:pt idx="12">
                  <c:v>136.06770833333337</c:v>
                </c:pt>
                <c:pt idx="13">
                  <c:v>138.02083333333337</c:v>
                </c:pt>
                <c:pt idx="14">
                  <c:v>140.29947916666663</c:v>
                </c:pt>
                <c:pt idx="15">
                  <c:v>140.95052083333337</c:v>
                </c:pt>
                <c:pt idx="16">
                  <c:v>145.83333333333337</c:v>
                </c:pt>
                <c:pt idx="17">
                  <c:v>150.390625</c:v>
                </c:pt>
                <c:pt idx="18">
                  <c:v>154.62239583333337</c:v>
                </c:pt>
                <c:pt idx="19">
                  <c:v>156.25</c:v>
                </c:pt>
                <c:pt idx="20">
                  <c:v>155.2734375</c:v>
                </c:pt>
                <c:pt idx="21">
                  <c:v>152.34375</c:v>
                </c:pt>
                <c:pt idx="22">
                  <c:v>149.73958333333337</c:v>
                </c:pt>
                <c:pt idx="23">
                  <c:v>158.85416666666663</c:v>
                </c:pt>
                <c:pt idx="24">
                  <c:v>169.59635416666663</c:v>
                </c:pt>
                <c:pt idx="25">
                  <c:v>180.01302083333337</c:v>
                </c:pt>
                <c:pt idx="26">
                  <c:v>176.10677083333337</c:v>
                </c:pt>
                <c:pt idx="27">
                  <c:v>173.828125</c:v>
                </c:pt>
                <c:pt idx="28">
                  <c:v>166.015625</c:v>
                </c:pt>
                <c:pt idx="29">
                  <c:v>149.73958333333337</c:v>
                </c:pt>
                <c:pt idx="30">
                  <c:v>133.46354166666663</c:v>
                </c:pt>
                <c:pt idx="31">
                  <c:v>120.76822916666669</c:v>
                </c:pt>
                <c:pt idx="32">
                  <c:v>125.65104166666664</c:v>
                </c:pt>
                <c:pt idx="33">
                  <c:v>132.16145833333337</c:v>
                </c:pt>
                <c:pt idx="34">
                  <c:v>147.4609375</c:v>
                </c:pt>
                <c:pt idx="35">
                  <c:v>156.25</c:v>
                </c:pt>
                <c:pt idx="36">
                  <c:v>160.48177083333337</c:v>
                </c:pt>
                <c:pt idx="37">
                  <c:v>160.48177083333337</c:v>
                </c:pt>
                <c:pt idx="38">
                  <c:v>160.80729166666663</c:v>
                </c:pt>
                <c:pt idx="39">
                  <c:v>160.15625</c:v>
                </c:pt>
                <c:pt idx="40">
                  <c:v>159.1796875</c:v>
                </c:pt>
                <c:pt idx="41">
                  <c:v>170.24739583333337</c:v>
                </c:pt>
                <c:pt idx="42">
                  <c:v>183.91927083333337</c:v>
                </c:pt>
                <c:pt idx="43">
                  <c:v>203.77604166666663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C-4381-A0BD-988530E3FAB7}"/>
            </c:ext>
          </c:extLst>
        </c:ser>
        <c:ser>
          <c:idx val="5"/>
          <c:order val="5"/>
          <c:tx>
            <c:strRef>
              <c:f>'PCB Data'!$AF$3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Data'!$AY$5:$AY$52</c:f>
              <c:numCache>
                <c:formatCode>0</c:formatCode>
                <c:ptCount val="48"/>
                <c:pt idx="0">
                  <c:v>115.77599999999998</c:v>
                </c:pt>
                <c:pt idx="1">
                  <c:v>119.232</c:v>
                </c:pt>
                <c:pt idx="2">
                  <c:v>122.68799999999999</c:v>
                </c:pt>
                <c:pt idx="3">
                  <c:v>124.41599999999998</c:v>
                </c:pt>
                <c:pt idx="4">
                  <c:v>133.05599999999998</c:v>
                </c:pt>
                <c:pt idx="5">
                  <c:v>120.96</c:v>
                </c:pt>
                <c:pt idx="6">
                  <c:v>122.68799999999999</c:v>
                </c:pt>
                <c:pt idx="7">
                  <c:v>122.11199999999998</c:v>
                </c:pt>
                <c:pt idx="8">
                  <c:v>120.67199999999998</c:v>
                </c:pt>
                <c:pt idx="9">
                  <c:v>121.248</c:v>
                </c:pt>
                <c:pt idx="10">
                  <c:v>118.94399999999999</c:v>
                </c:pt>
                <c:pt idx="11">
                  <c:v>118.94399999999999</c:v>
                </c:pt>
                <c:pt idx="12">
                  <c:v>120.384</c:v>
                </c:pt>
                <c:pt idx="13">
                  <c:v>122.11199999999998</c:v>
                </c:pt>
                <c:pt idx="14">
                  <c:v>124.12799999999997</c:v>
                </c:pt>
                <c:pt idx="15">
                  <c:v>124.70399999999999</c:v>
                </c:pt>
                <c:pt idx="16">
                  <c:v>129.024</c:v>
                </c:pt>
                <c:pt idx="17">
                  <c:v>133.05599999999998</c:v>
                </c:pt>
                <c:pt idx="18">
                  <c:v>136.79999999999998</c:v>
                </c:pt>
                <c:pt idx="19">
                  <c:v>138.23999999999998</c:v>
                </c:pt>
                <c:pt idx="20">
                  <c:v>137.37599999999998</c:v>
                </c:pt>
                <c:pt idx="21">
                  <c:v>134.78399999999999</c:v>
                </c:pt>
                <c:pt idx="22">
                  <c:v>132.47999999999999</c:v>
                </c:pt>
                <c:pt idx="23">
                  <c:v>140.54399999999998</c:v>
                </c:pt>
                <c:pt idx="24">
                  <c:v>150.04799999999997</c:v>
                </c:pt>
                <c:pt idx="25">
                  <c:v>159.26399999999998</c:v>
                </c:pt>
                <c:pt idx="26">
                  <c:v>155.80799999999999</c:v>
                </c:pt>
                <c:pt idx="27">
                  <c:v>153.792</c:v>
                </c:pt>
                <c:pt idx="28">
                  <c:v>146.88</c:v>
                </c:pt>
                <c:pt idx="29">
                  <c:v>132.47999999999999</c:v>
                </c:pt>
                <c:pt idx="30">
                  <c:v>118.07999999999997</c:v>
                </c:pt>
                <c:pt idx="31">
                  <c:v>106.848</c:v>
                </c:pt>
                <c:pt idx="32">
                  <c:v>111.16799999999998</c:v>
                </c:pt>
                <c:pt idx="33">
                  <c:v>116.928</c:v>
                </c:pt>
                <c:pt idx="34">
                  <c:v>130.46399999999997</c:v>
                </c:pt>
                <c:pt idx="35">
                  <c:v>138.23999999999998</c:v>
                </c:pt>
                <c:pt idx="36">
                  <c:v>141.98400000000001</c:v>
                </c:pt>
                <c:pt idx="37">
                  <c:v>141.98400000000001</c:v>
                </c:pt>
                <c:pt idx="38">
                  <c:v>142.27199999999999</c:v>
                </c:pt>
                <c:pt idx="39">
                  <c:v>141.69599999999997</c:v>
                </c:pt>
                <c:pt idx="40">
                  <c:v>140.83199999999997</c:v>
                </c:pt>
                <c:pt idx="41">
                  <c:v>150.624</c:v>
                </c:pt>
                <c:pt idx="42">
                  <c:v>162.72</c:v>
                </c:pt>
                <c:pt idx="43">
                  <c:v>180.28799999999998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C-4381-A0BD-988530E3FAB7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6C-4381-A0BD-988530E3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'PCB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6C-4381-A0BD-988530E3FAB7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431 / PVA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'PCB Data'!$AA$3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Data'!$E$5:$E$52</c:f>
              <c:numCache>
                <c:formatCode>General</c:formatCode>
                <c:ptCount val="48"/>
                <c:pt idx="0">
                  <c:v>102</c:v>
                </c:pt>
                <c:pt idx="1">
                  <c:v>82</c:v>
                </c:pt>
                <c:pt idx="2">
                  <c:v>96</c:v>
                </c:pt>
                <c:pt idx="3">
                  <c:v>91</c:v>
                </c:pt>
                <c:pt idx="4">
                  <c:v>82</c:v>
                </c:pt>
                <c:pt idx="5">
                  <c:v>81</c:v>
                </c:pt>
                <c:pt idx="6">
                  <c:v>72</c:v>
                </c:pt>
                <c:pt idx="7">
                  <c:v>72</c:v>
                </c:pt>
                <c:pt idx="8">
                  <c:v>70</c:v>
                </c:pt>
                <c:pt idx="9">
                  <c:v>78</c:v>
                </c:pt>
                <c:pt idx="10">
                  <c:v>77</c:v>
                </c:pt>
                <c:pt idx="11">
                  <c:v>66</c:v>
                </c:pt>
                <c:pt idx="12">
                  <c:v>69</c:v>
                </c:pt>
                <c:pt idx="13">
                  <c:v>73</c:v>
                </c:pt>
                <c:pt idx="14">
                  <c:v>84</c:v>
                </c:pt>
                <c:pt idx="15">
                  <c:v>80</c:v>
                </c:pt>
                <c:pt idx="16">
                  <c:v>90</c:v>
                </c:pt>
                <c:pt idx="17">
                  <c:v>91</c:v>
                </c:pt>
                <c:pt idx="18">
                  <c:v>95</c:v>
                </c:pt>
                <c:pt idx="19">
                  <c:v>99</c:v>
                </c:pt>
                <c:pt idx="20">
                  <c:v>90</c:v>
                </c:pt>
                <c:pt idx="21">
                  <c:v>65</c:v>
                </c:pt>
                <c:pt idx="22">
                  <c:v>85</c:v>
                </c:pt>
                <c:pt idx="23">
                  <c:v>123</c:v>
                </c:pt>
                <c:pt idx="24">
                  <c:v>91</c:v>
                </c:pt>
                <c:pt idx="25">
                  <c:v>76</c:v>
                </c:pt>
                <c:pt idx="26">
                  <c:v>77</c:v>
                </c:pt>
                <c:pt idx="27">
                  <c:v>68</c:v>
                </c:pt>
                <c:pt idx="28">
                  <c:v>68</c:v>
                </c:pt>
                <c:pt idx="29">
                  <c:v>66</c:v>
                </c:pt>
                <c:pt idx="30">
                  <c:v>75</c:v>
                </c:pt>
                <c:pt idx="31">
                  <c:v>72</c:v>
                </c:pt>
                <c:pt idx="32">
                  <c:v>85</c:v>
                </c:pt>
                <c:pt idx="33">
                  <c:v>93</c:v>
                </c:pt>
                <c:pt idx="34">
                  <c:v>113</c:v>
                </c:pt>
                <c:pt idx="35">
                  <c:v>118</c:v>
                </c:pt>
                <c:pt idx="36">
                  <c:v>112</c:v>
                </c:pt>
                <c:pt idx="37">
                  <c:v>82</c:v>
                </c:pt>
                <c:pt idx="38">
                  <c:v>85</c:v>
                </c:pt>
                <c:pt idx="39">
                  <c:v>45</c:v>
                </c:pt>
                <c:pt idx="40">
                  <c:v>59</c:v>
                </c:pt>
                <c:pt idx="41">
                  <c:v>61</c:v>
                </c:pt>
                <c:pt idx="42">
                  <c:v>56</c:v>
                </c:pt>
                <c:pt idx="43">
                  <c:v>69</c:v>
                </c:pt>
                <c:pt idx="44">
                  <c:v>68</c:v>
                </c:pt>
                <c:pt idx="45">
                  <c:v>58</c:v>
                </c:pt>
                <c:pt idx="46">
                  <c:v>70</c:v>
                </c:pt>
                <c:pt idx="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A-4F92-9046-E72D3460672C}"/>
            </c:ext>
          </c:extLst>
        </c:ser>
        <c:ser>
          <c:idx val="2"/>
          <c:order val="2"/>
          <c:tx>
            <c:strRef>
              <c:f>'PCB Data'!$AC$3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Data'!$BB$5:$BB$52</c:f>
              <c:numCache>
                <c:formatCode>General</c:formatCode>
                <c:ptCount val="48"/>
                <c:pt idx="19">
                  <c:v>92.399999999999991</c:v>
                </c:pt>
                <c:pt idx="20">
                  <c:v>81.599999999999994</c:v>
                </c:pt>
                <c:pt idx="21">
                  <c:v>70.8</c:v>
                </c:pt>
                <c:pt idx="22">
                  <c:v>56.4</c:v>
                </c:pt>
                <c:pt idx="23">
                  <c:v>68.399999999999991</c:v>
                </c:pt>
                <c:pt idx="24">
                  <c:v>37.199999999999996</c:v>
                </c:pt>
                <c:pt idx="25">
                  <c:v>48</c:v>
                </c:pt>
                <c:pt idx="26">
                  <c:v>61.199999999999996</c:v>
                </c:pt>
                <c:pt idx="27">
                  <c:v>45.6</c:v>
                </c:pt>
                <c:pt idx="28">
                  <c:v>50.4</c:v>
                </c:pt>
                <c:pt idx="29">
                  <c:v>68.399999999999991</c:v>
                </c:pt>
                <c:pt idx="30">
                  <c:v>57.599999999999994</c:v>
                </c:pt>
                <c:pt idx="31">
                  <c:v>78</c:v>
                </c:pt>
                <c:pt idx="32">
                  <c:v>81.599999999999994</c:v>
                </c:pt>
                <c:pt idx="33">
                  <c:v>99.6</c:v>
                </c:pt>
                <c:pt idx="34">
                  <c:v>81.599999999999994</c:v>
                </c:pt>
                <c:pt idx="35">
                  <c:v>76.8</c:v>
                </c:pt>
                <c:pt idx="36">
                  <c:v>61.199999999999996</c:v>
                </c:pt>
                <c:pt idx="37">
                  <c:v>72</c:v>
                </c:pt>
                <c:pt idx="38">
                  <c:v>63.599999999999994</c:v>
                </c:pt>
                <c:pt idx="39">
                  <c:v>54</c:v>
                </c:pt>
                <c:pt idx="40">
                  <c:v>81.599999999999994</c:v>
                </c:pt>
                <c:pt idx="41">
                  <c:v>57.599999999999994</c:v>
                </c:pt>
                <c:pt idx="42">
                  <c:v>49.199999999999996</c:v>
                </c:pt>
                <c:pt idx="43">
                  <c:v>49.199999999999996</c:v>
                </c:pt>
                <c:pt idx="44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A-4F92-9046-E72D3460672C}"/>
            </c:ext>
          </c:extLst>
        </c:ser>
        <c:ser>
          <c:idx val="3"/>
          <c:order val="3"/>
          <c:tx>
            <c:strRef>
              <c:f>'PCB Data'!$AD$3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Data'!$BC$5:$BC$52</c:f>
              <c:numCache>
                <c:formatCode>0</c:formatCode>
                <c:ptCount val="48"/>
                <c:pt idx="0">
                  <c:v>159.21139199999996</c:v>
                </c:pt>
                <c:pt idx="1">
                  <c:v>127.99347199999997</c:v>
                </c:pt>
                <c:pt idx="2">
                  <c:v>149.84601599999996</c:v>
                </c:pt>
                <c:pt idx="3">
                  <c:v>142.04153599999995</c:v>
                </c:pt>
                <c:pt idx="4">
                  <c:v>127.99347199999997</c:v>
                </c:pt>
                <c:pt idx="5">
                  <c:v>126.43257599999997</c:v>
                </c:pt>
                <c:pt idx="6">
                  <c:v>131.11526399999997</c:v>
                </c:pt>
                <c:pt idx="7">
                  <c:v>128.51377066666663</c:v>
                </c:pt>
                <c:pt idx="8">
                  <c:v>121.74988799999997</c:v>
                </c:pt>
                <c:pt idx="9">
                  <c:v>118.36794666666664</c:v>
                </c:pt>
                <c:pt idx="10">
                  <c:v>117.06719999999997</c:v>
                </c:pt>
                <c:pt idx="11">
                  <c:v>113.16495999999998</c:v>
                </c:pt>
                <c:pt idx="12">
                  <c:v>112.38451199999997</c:v>
                </c:pt>
                <c:pt idx="13">
                  <c:v>112.64466133333333</c:v>
                </c:pt>
                <c:pt idx="14">
                  <c:v>116.28675199999996</c:v>
                </c:pt>
                <c:pt idx="15">
                  <c:v>116.80705066666664</c:v>
                </c:pt>
                <c:pt idx="16">
                  <c:v>120.18899199999997</c:v>
                </c:pt>
                <c:pt idx="17">
                  <c:v>126.69272533333333</c:v>
                </c:pt>
                <c:pt idx="18">
                  <c:v>133.45660799999996</c:v>
                </c:pt>
                <c:pt idx="19">
                  <c:v>140.22049066666662</c:v>
                </c:pt>
                <c:pt idx="20">
                  <c:v>141.78138666666663</c:v>
                </c:pt>
                <c:pt idx="21">
                  <c:v>137.87914666666663</c:v>
                </c:pt>
                <c:pt idx="22">
                  <c:v>136.57839999999999</c:v>
                </c:pt>
                <c:pt idx="23">
                  <c:v>144.90317866666663</c:v>
                </c:pt>
                <c:pt idx="24">
                  <c:v>143.86258133333331</c:v>
                </c:pt>
                <c:pt idx="25">
                  <c:v>137.87914666666663</c:v>
                </c:pt>
                <c:pt idx="26">
                  <c:v>134.49720533333331</c:v>
                </c:pt>
                <c:pt idx="27">
                  <c:v>135.27765333333332</c:v>
                </c:pt>
                <c:pt idx="28">
                  <c:v>130.85511466666662</c:v>
                </c:pt>
                <c:pt idx="29">
                  <c:v>116.02660266666663</c:v>
                </c:pt>
                <c:pt idx="30">
                  <c:v>111.86421333333332</c:v>
                </c:pt>
                <c:pt idx="31">
                  <c:v>110.82361599999999</c:v>
                </c:pt>
                <c:pt idx="32">
                  <c:v>112.90481066666662</c:v>
                </c:pt>
                <c:pt idx="33">
                  <c:v>119.40854399999998</c:v>
                </c:pt>
                <c:pt idx="34">
                  <c:v>131.11526399999997</c:v>
                </c:pt>
                <c:pt idx="35">
                  <c:v>144.64302933333332</c:v>
                </c:pt>
                <c:pt idx="36">
                  <c:v>154.2685546666666</c:v>
                </c:pt>
                <c:pt idx="37">
                  <c:v>156.870048</c:v>
                </c:pt>
                <c:pt idx="38">
                  <c:v>156.870048</c:v>
                </c:pt>
                <c:pt idx="39">
                  <c:v>144.38287999999997</c:v>
                </c:pt>
                <c:pt idx="40">
                  <c:v>130.33481599999999</c:v>
                </c:pt>
                <c:pt idx="41">
                  <c:v>115.50630399999997</c:v>
                </c:pt>
                <c:pt idx="42">
                  <c:v>100.93794133333333</c:v>
                </c:pt>
                <c:pt idx="43">
                  <c:v>97.555999999999983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A-4F92-9046-E72D3460672C}"/>
            </c:ext>
          </c:extLst>
        </c:ser>
        <c:ser>
          <c:idx val="4"/>
          <c:order val="4"/>
          <c:tx>
            <c:strRef>
              <c:f>'PCB Data'!$AE$3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Data'!$BD$5:$BD$52</c:f>
              <c:numCache>
                <c:formatCode>0</c:formatCode>
                <c:ptCount val="48"/>
                <c:pt idx="0">
                  <c:v>199.21875</c:v>
                </c:pt>
                <c:pt idx="1">
                  <c:v>160.15625</c:v>
                </c:pt>
                <c:pt idx="2">
                  <c:v>187.5</c:v>
                </c:pt>
                <c:pt idx="3">
                  <c:v>177.734375</c:v>
                </c:pt>
                <c:pt idx="4">
                  <c:v>160.15625</c:v>
                </c:pt>
                <c:pt idx="5">
                  <c:v>158.203125</c:v>
                </c:pt>
                <c:pt idx="6">
                  <c:v>164.0625</c:v>
                </c:pt>
                <c:pt idx="7">
                  <c:v>160.80729166666663</c:v>
                </c:pt>
                <c:pt idx="8">
                  <c:v>152.34375</c:v>
                </c:pt>
                <c:pt idx="9">
                  <c:v>148.11197916666663</c:v>
                </c:pt>
                <c:pt idx="10">
                  <c:v>146.484375</c:v>
                </c:pt>
                <c:pt idx="11">
                  <c:v>141.6015625</c:v>
                </c:pt>
                <c:pt idx="12">
                  <c:v>140.625</c:v>
                </c:pt>
                <c:pt idx="13">
                  <c:v>140.95052083333337</c:v>
                </c:pt>
                <c:pt idx="14">
                  <c:v>145.5078125</c:v>
                </c:pt>
                <c:pt idx="15">
                  <c:v>146.15885416666663</c:v>
                </c:pt>
                <c:pt idx="16">
                  <c:v>150.390625</c:v>
                </c:pt>
                <c:pt idx="17">
                  <c:v>158.52864583333337</c:v>
                </c:pt>
                <c:pt idx="18">
                  <c:v>166.9921875</c:v>
                </c:pt>
                <c:pt idx="19">
                  <c:v>175.45572916666663</c:v>
                </c:pt>
                <c:pt idx="20">
                  <c:v>177.40885416666663</c:v>
                </c:pt>
                <c:pt idx="21">
                  <c:v>172.52604166666663</c:v>
                </c:pt>
                <c:pt idx="22">
                  <c:v>170.8984375</c:v>
                </c:pt>
                <c:pt idx="23">
                  <c:v>181.31510416666663</c:v>
                </c:pt>
                <c:pt idx="24">
                  <c:v>180.01302083333337</c:v>
                </c:pt>
                <c:pt idx="25">
                  <c:v>172.52604166666663</c:v>
                </c:pt>
                <c:pt idx="26">
                  <c:v>168.29427083333337</c:v>
                </c:pt>
                <c:pt idx="27">
                  <c:v>169.27083333333337</c:v>
                </c:pt>
                <c:pt idx="28">
                  <c:v>163.73697916666663</c:v>
                </c:pt>
                <c:pt idx="29">
                  <c:v>145.18229166666663</c:v>
                </c:pt>
                <c:pt idx="30">
                  <c:v>139.97395833333337</c:v>
                </c:pt>
                <c:pt idx="31">
                  <c:v>138.671875</c:v>
                </c:pt>
                <c:pt idx="32">
                  <c:v>141.27604166666663</c:v>
                </c:pt>
                <c:pt idx="33">
                  <c:v>149.4140625</c:v>
                </c:pt>
                <c:pt idx="34">
                  <c:v>164.0625</c:v>
                </c:pt>
                <c:pt idx="35">
                  <c:v>180.98958333333337</c:v>
                </c:pt>
                <c:pt idx="36">
                  <c:v>193.03385416666663</c:v>
                </c:pt>
                <c:pt idx="37">
                  <c:v>196.2890625</c:v>
                </c:pt>
                <c:pt idx="38">
                  <c:v>196.2890625</c:v>
                </c:pt>
                <c:pt idx="39">
                  <c:v>180.6640625</c:v>
                </c:pt>
                <c:pt idx="40">
                  <c:v>163.0859375</c:v>
                </c:pt>
                <c:pt idx="41">
                  <c:v>144.53125</c:v>
                </c:pt>
                <c:pt idx="42">
                  <c:v>126.30208333333336</c:v>
                </c:pt>
                <c:pt idx="43">
                  <c:v>122.0703125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A-4F92-9046-E72D3460672C}"/>
            </c:ext>
          </c:extLst>
        </c:ser>
        <c:ser>
          <c:idx val="5"/>
          <c:order val="5"/>
          <c:tx>
            <c:strRef>
              <c:f>'PCB Data'!$AF$3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Data'!$BE$5:$BE$52</c:f>
              <c:numCache>
                <c:formatCode>0</c:formatCode>
                <c:ptCount val="48"/>
                <c:pt idx="0">
                  <c:v>176.256</c:v>
                </c:pt>
                <c:pt idx="1">
                  <c:v>141.69599999999997</c:v>
                </c:pt>
                <c:pt idx="2">
                  <c:v>165.88799999999998</c:v>
                </c:pt>
                <c:pt idx="3">
                  <c:v>157.24799999999999</c:v>
                </c:pt>
                <c:pt idx="4">
                  <c:v>141.69599999999997</c:v>
                </c:pt>
                <c:pt idx="5">
                  <c:v>139.96799999999999</c:v>
                </c:pt>
                <c:pt idx="6">
                  <c:v>145.15199999999999</c:v>
                </c:pt>
                <c:pt idx="7">
                  <c:v>142.27199999999999</c:v>
                </c:pt>
                <c:pt idx="8">
                  <c:v>134.78399999999999</c:v>
                </c:pt>
                <c:pt idx="9">
                  <c:v>131.03999999999996</c:v>
                </c:pt>
                <c:pt idx="10">
                  <c:v>129.6</c:v>
                </c:pt>
                <c:pt idx="11">
                  <c:v>125.27999999999999</c:v>
                </c:pt>
                <c:pt idx="12">
                  <c:v>124.41599999999998</c:v>
                </c:pt>
                <c:pt idx="13">
                  <c:v>124.70399999999999</c:v>
                </c:pt>
                <c:pt idx="14">
                  <c:v>128.73599999999999</c:v>
                </c:pt>
                <c:pt idx="15">
                  <c:v>129.31199999999998</c:v>
                </c:pt>
                <c:pt idx="16">
                  <c:v>133.05599999999998</c:v>
                </c:pt>
                <c:pt idx="17">
                  <c:v>140.256</c:v>
                </c:pt>
                <c:pt idx="18">
                  <c:v>147.74399999999997</c:v>
                </c:pt>
                <c:pt idx="19">
                  <c:v>155.23199999999997</c:v>
                </c:pt>
                <c:pt idx="20">
                  <c:v>156.95999999999998</c:v>
                </c:pt>
                <c:pt idx="21">
                  <c:v>152.63999999999996</c:v>
                </c:pt>
                <c:pt idx="22">
                  <c:v>151.19999999999999</c:v>
                </c:pt>
                <c:pt idx="23">
                  <c:v>160.41599999999997</c:v>
                </c:pt>
                <c:pt idx="24">
                  <c:v>159.26399999999998</c:v>
                </c:pt>
                <c:pt idx="25">
                  <c:v>152.63999999999996</c:v>
                </c:pt>
                <c:pt idx="26">
                  <c:v>148.89599999999999</c:v>
                </c:pt>
                <c:pt idx="27">
                  <c:v>149.76</c:v>
                </c:pt>
                <c:pt idx="28">
                  <c:v>144.86399999999998</c:v>
                </c:pt>
                <c:pt idx="29">
                  <c:v>128.44799999999998</c:v>
                </c:pt>
                <c:pt idx="30">
                  <c:v>123.84</c:v>
                </c:pt>
                <c:pt idx="31">
                  <c:v>122.68799999999999</c:v>
                </c:pt>
                <c:pt idx="32">
                  <c:v>124.99199999999999</c:v>
                </c:pt>
                <c:pt idx="33">
                  <c:v>132.19199999999998</c:v>
                </c:pt>
                <c:pt idx="34">
                  <c:v>145.15199999999999</c:v>
                </c:pt>
                <c:pt idx="35">
                  <c:v>160.12799999999999</c:v>
                </c:pt>
                <c:pt idx="36">
                  <c:v>170.78399999999999</c:v>
                </c:pt>
                <c:pt idx="37">
                  <c:v>173.66399999999999</c:v>
                </c:pt>
                <c:pt idx="38">
                  <c:v>173.66399999999999</c:v>
                </c:pt>
                <c:pt idx="39">
                  <c:v>159.83999999999997</c:v>
                </c:pt>
                <c:pt idx="40">
                  <c:v>144.28799999999998</c:v>
                </c:pt>
                <c:pt idx="41">
                  <c:v>127.87199999999999</c:v>
                </c:pt>
                <c:pt idx="42">
                  <c:v>111.744</c:v>
                </c:pt>
                <c:pt idx="43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A-4F92-9046-E72D3460672C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A-4F92-9046-E72D3460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'PCB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AA-4F92-9046-E72D3460672C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980 / Type 1</a:t>
            </a:r>
            <a:r>
              <a:rPr lang="en-US" baseline="0"/>
              <a:t> Cabinets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 Benches Data'!$EM$3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Data'!$C$5:$C$52</c:f>
              <c:numCache>
                <c:formatCode>General</c:formatCode>
                <c:ptCount val="48"/>
                <c:pt idx="0">
                  <c:v>200</c:v>
                </c:pt>
                <c:pt idx="1">
                  <c:v>306</c:v>
                </c:pt>
                <c:pt idx="2">
                  <c:v>351</c:v>
                </c:pt>
                <c:pt idx="3">
                  <c:v>336</c:v>
                </c:pt>
                <c:pt idx="4">
                  <c:v>267</c:v>
                </c:pt>
                <c:pt idx="5">
                  <c:v>256</c:v>
                </c:pt>
                <c:pt idx="6">
                  <c:v>131</c:v>
                </c:pt>
                <c:pt idx="7">
                  <c:v>131</c:v>
                </c:pt>
                <c:pt idx="8">
                  <c:v>74</c:v>
                </c:pt>
                <c:pt idx="9">
                  <c:v>8</c:v>
                </c:pt>
                <c:pt idx="10">
                  <c:v>46</c:v>
                </c:pt>
                <c:pt idx="11">
                  <c:v>48</c:v>
                </c:pt>
                <c:pt idx="12">
                  <c:v>43</c:v>
                </c:pt>
                <c:pt idx="13">
                  <c:v>42</c:v>
                </c:pt>
                <c:pt idx="14">
                  <c:v>49</c:v>
                </c:pt>
                <c:pt idx="15">
                  <c:v>38</c:v>
                </c:pt>
                <c:pt idx="16">
                  <c:v>45</c:v>
                </c:pt>
                <c:pt idx="17">
                  <c:v>47</c:v>
                </c:pt>
                <c:pt idx="18">
                  <c:v>45</c:v>
                </c:pt>
                <c:pt idx="19">
                  <c:v>36</c:v>
                </c:pt>
                <c:pt idx="20">
                  <c:v>34</c:v>
                </c:pt>
                <c:pt idx="21">
                  <c:v>44</c:v>
                </c:pt>
                <c:pt idx="22">
                  <c:v>34</c:v>
                </c:pt>
                <c:pt idx="23">
                  <c:v>30</c:v>
                </c:pt>
                <c:pt idx="24">
                  <c:v>17</c:v>
                </c:pt>
                <c:pt idx="25">
                  <c:v>47</c:v>
                </c:pt>
                <c:pt idx="26">
                  <c:v>31</c:v>
                </c:pt>
                <c:pt idx="27">
                  <c:v>12</c:v>
                </c:pt>
                <c:pt idx="28">
                  <c:v>37</c:v>
                </c:pt>
                <c:pt idx="29">
                  <c:v>63</c:v>
                </c:pt>
                <c:pt idx="30">
                  <c:v>80</c:v>
                </c:pt>
                <c:pt idx="31">
                  <c:v>93</c:v>
                </c:pt>
                <c:pt idx="32">
                  <c:v>53</c:v>
                </c:pt>
                <c:pt idx="33">
                  <c:v>31</c:v>
                </c:pt>
                <c:pt idx="34">
                  <c:v>54</c:v>
                </c:pt>
                <c:pt idx="35">
                  <c:v>58</c:v>
                </c:pt>
                <c:pt idx="36">
                  <c:v>44</c:v>
                </c:pt>
                <c:pt idx="37">
                  <c:v>43</c:v>
                </c:pt>
                <c:pt idx="38">
                  <c:v>53</c:v>
                </c:pt>
                <c:pt idx="39">
                  <c:v>31</c:v>
                </c:pt>
                <c:pt idx="40">
                  <c:v>61</c:v>
                </c:pt>
                <c:pt idx="41">
                  <c:v>80</c:v>
                </c:pt>
                <c:pt idx="42">
                  <c:v>113</c:v>
                </c:pt>
                <c:pt idx="43">
                  <c:v>125</c:v>
                </c:pt>
                <c:pt idx="44">
                  <c:v>229</c:v>
                </c:pt>
                <c:pt idx="45">
                  <c:v>250</c:v>
                </c:pt>
                <c:pt idx="46">
                  <c:v>97</c:v>
                </c:pt>
                <c:pt idx="4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6-4DC4-9ED1-B3DE1550D1B2}"/>
            </c:ext>
          </c:extLst>
        </c:ser>
        <c:ser>
          <c:idx val="1"/>
          <c:order val="1"/>
          <c:tx>
            <c:strRef>
              <c:f>'SEC Benches Data'!$EN$3</c:f>
              <c:strCache>
                <c:ptCount val="1"/>
                <c:pt idx="0">
                  <c:v>14 - 26 Wks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  <c:extLst xmlns:c15="http://schemas.microsoft.com/office/drawing/2012/chart"/>
            </c:numRef>
          </c:cat>
          <c:val>
            <c:numRef>
              <c:f>'SEC Benches Data'!$EN$5:$EN$26</c:f>
              <c:numCache>
                <c:formatCode>0</c:formatCode>
                <c:ptCount val="22"/>
                <c:pt idx="19">
                  <c:v>46</c:v>
                </c:pt>
                <c:pt idx="20">
                  <c:v>46.375</c:v>
                </c:pt>
                <c:pt idx="21">
                  <c:v>51.25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DE6-4DC4-9ED1-B3DE1550D1B2}"/>
            </c:ext>
          </c:extLst>
        </c:ser>
        <c:ser>
          <c:idx val="2"/>
          <c:order val="2"/>
          <c:tx>
            <c:strRef>
              <c:f>'SEC Benches Data'!$EO$3</c:f>
              <c:strCache>
                <c:ptCount val="1"/>
                <c:pt idx="0">
                  <c:v>14 - 26 Wks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Data'!$FI$5:$FI$52</c:f>
              <c:numCache>
                <c:formatCode>General</c:formatCode>
                <c:ptCount val="48"/>
                <c:pt idx="19">
                  <c:v>36</c:v>
                </c:pt>
                <c:pt idx="20">
                  <c:v>34</c:v>
                </c:pt>
                <c:pt idx="21">
                  <c:v>49</c:v>
                </c:pt>
                <c:pt idx="22">
                  <c:v>48</c:v>
                </c:pt>
                <c:pt idx="23">
                  <c:v>24</c:v>
                </c:pt>
                <c:pt idx="24">
                  <c:v>35</c:v>
                </c:pt>
                <c:pt idx="25">
                  <c:v>13</c:v>
                </c:pt>
                <c:pt idx="26">
                  <c:v>21</c:v>
                </c:pt>
                <c:pt idx="27">
                  <c:v>37</c:v>
                </c:pt>
                <c:pt idx="28">
                  <c:v>24</c:v>
                </c:pt>
                <c:pt idx="29">
                  <c:v>39</c:v>
                </c:pt>
                <c:pt idx="30">
                  <c:v>45</c:v>
                </c:pt>
                <c:pt idx="31">
                  <c:v>52</c:v>
                </c:pt>
                <c:pt idx="32">
                  <c:v>35</c:v>
                </c:pt>
                <c:pt idx="33">
                  <c:v>40</c:v>
                </c:pt>
                <c:pt idx="34">
                  <c:v>49</c:v>
                </c:pt>
                <c:pt idx="35">
                  <c:v>42</c:v>
                </c:pt>
                <c:pt idx="36">
                  <c:v>37</c:v>
                </c:pt>
                <c:pt idx="37">
                  <c:v>33</c:v>
                </c:pt>
                <c:pt idx="38">
                  <c:v>37</c:v>
                </c:pt>
                <c:pt idx="39">
                  <c:v>33</c:v>
                </c:pt>
                <c:pt idx="40">
                  <c:v>36</c:v>
                </c:pt>
                <c:pt idx="41">
                  <c:v>45</c:v>
                </c:pt>
                <c:pt idx="42">
                  <c:v>86</c:v>
                </c:pt>
                <c:pt idx="43">
                  <c:v>83</c:v>
                </c:pt>
                <c:pt idx="44">
                  <c:v>118</c:v>
                </c:pt>
                <c:pt idx="45">
                  <c:v>130</c:v>
                </c:pt>
                <c:pt idx="46">
                  <c:v>19</c:v>
                </c:pt>
                <c:pt idx="4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6-4DC4-9ED1-B3DE1550D1B2}"/>
            </c:ext>
          </c:extLst>
        </c:ser>
        <c:ser>
          <c:idx val="3"/>
          <c:order val="3"/>
          <c:tx>
            <c:strRef>
              <c:f>'SEC Benches Data'!$EP$3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Data'!$FJ$5:$FJ$52</c:f>
              <c:numCache>
                <c:formatCode>0</c:formatCode>
                <c:ptCount val="48"/>
                <c:pt idx="0">
                  <c:v>312.17919999999992</c:v>
                </c:pt>
                <c:pt idx="1">
                  <c:v>477.63417599999991</c:v>
                </c:pt>
                <c:pt idx="2">
                  <c:v>547.87449599999991</c:v>
                </c:pt>
                <c:pt idx="3">
                  <c:v>524.46105599999987</c:v>
                </c:pt>
                <c:pt idx="4">
                  <c:v>416.75923199999988</c:v>
                </c:pt>
                <c:pt idx="5">
                  <c:v>446.41625599999992</c:v>
                </c:pt>
                <c:pt idx="6">
                  <c:v>428.46595199999985</c:v>
                </c:pt>
                <c:pt idx="7">
                  <c:v>382.93981866666661</c:v>
                </c:pt>
                <c:pt idx="8">
                  <c:v>310.87845333333325</c:v>
                </c:pt>
                <c:pt idx="9">
                  <c:v>225.54947199999995</c:v>
                </c:pt>
                <c:pt idx="10">
                  <c:v>168.0564693333333</c:v>
                </c:pt>
                <c:pt idx="11">
                  <c:v>113.94540799999997</c:v>
                </c:pt>
                <c:pt idx="12">
                  <c:v>91.052266666666668</c:v>
                </c:pt>
                <c:pt idx="13">
                  <c:v>67.898975999999976</c:v>
                </c:pt>
                <c:pt idx="14">
                  <c:v>61.395242666666661</c:v>
                </c:pt>
                <c:pt idx="15">
                  <c:v>69.199722666666659</c:v>
                </c:pt>
                <c:pt idx="16">
                  <c:v>68.939573333333314</c:v>
                </c:pt>
                <c:pt idx="17">
                  <c:v>68.679423999999983</c:v>
                </c:pt>
                <c:pt idx="18">
                  <c:v>69.199722666666659</c:v>
                </c:pt>
                <c:pt idx="19">
                  <c:v>67.63882666666666</c:v>
                </c:pt>
                <c:pt idx="20">
                  <c:v>63.736586666666661</c:v>
                </c:pt>
                <c:pt idx="21">
                  <c:v>65.297482666666653</c:v>
                </c:pt>
                <c:pt idx="22">
                  <c:v>62.435839999999992</c:v>
                </c:pt>
                <c:pt idx="23">
                  <c:v>58.013301333333317</c:v>
                </c:pt>
                <c:pt idx="24">
                  <c:v>50.729119999999988</c:v>
                </c:pt>
                <c:pt idx="25">
                  <c:v>53.590762666666656</c:v>
                </c:pt>
                <c:pt idx="26">
                  <c:v>52.810314666666663</c:v>
                </c:pt>
                <c:pt idx="27">
                  <c:v>44.485535999999989</c:v>
                </c:pt>
                <c:pt idx="28">
                  <c:v>45.265983999999996</c:v>
                </c:pt>
                <c:pt idx="29">
                  <c:v>53.850911999999987</c:v>
                </c:pt>
                <c:pt idx="30">
                  <c:v>70.240319999999983</c:v>
                </c:pt>
                <c:pt idx="31">
                  <c:v>82.207189333333318</c:v>
                </c:pt>
                <c:pt idx="32">
                  <c:v>87.930474666666655</c:v>
                </c:pt>
                <c:pt idx="33">
                  <c:v>92.873311999999984</c:v>
                </c:pt>
                <c:pt idx="34">
                  <c:v>97.295850666666638</c:v>
                </c:pt>
                <c:pt idx="35">
                  <c:v>95.995103999999969</c:v>
                </c:pt>
                <c:pt idx="36">
                  <c:v>86.629727999999986</c:v>
                </c:pt>
                <c:pt idx="37">
                  <c:v>73.622261333333313</c:v>
                </c:pt>
                <c:pt idx="38">
                  <c:v>73.622261333333313</c:v>
                </c:pt>
                <c:pt idx="39">
                  <c:v>73.622261333333313</c:v>
                </c:pt>
                <c:pt idx="40">
                  <c:v>75.443306666666643</c:v>
                </c:pt>
                <c:pt idx="41">
                  <c:v>81.16659199999998</c:v>
                </c:pt>
                <c:pt idx="42">
                  <c:v>99.116895999999969</c:v>
                </c:pt>
                <c:pt idx="43">
                  <c:v>120.44914133333332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6-4DC4-9ED1-B3DE1550D1B2}"/>
            </c:ext>
          </c:extLst>
        </c:ser>
        <c:ser>
          <c:idx val="4"/>
          <c:order val="4"/>
          <c:tx>
            <c:strRef>
              <c:f>'SEC Benches Data'!$EQ$3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Data'!$FK$5:$FK$52</c:f>
              <c:numCache>
                <c:formatCode>0</c:formatCode>
                <c:ptCount val="48"/>
                <c:pt idx="0">
                  <c:v>390.625</c:v>
                </c:pt>
                <c:pt idx="1">
                  <c:v>597.65625</c:v>
                </c:pt>
                <c:pt idx="2">
                  <c:v>685.546875</c:v>
                </c:pt>
                <c:pt idx="3">
                  <c:v>656.25</c:v>
                </c:pt>
                <c:pt idx="4">
                  <c:v>521.484375</c:v>
                </c:pt>
                <c:pt idx="5">
                  <c:v>558.59375</c:v>
                </c:pt>
                <c:pt idx="6">
                  <c:v>536.1328125</c:v>
                </c:pt>
                <c:pt idx="7">
                  <c:v>479.16666666666674</c:v>
                </c:pt>
                <c:pt idx="8">
                  <c:v>388.99739583333326</c:v>
                </c:pt>
                <c:pt idx="9">
                  <c:v>282.2265625</c:v>
                </c:pt>
                <c:pt idx="10">
                  <c:v>210.28645833333337</c:v>
                </c:pt>
                <c:pt idx="11">
                  <c:v>142.578125</c:v>
                </c:pt>
                <c:pt idx="12">
                  <c:v>113.93229166666669</c:v>
                </c:pt>
                <c:pt idx="13">
                  <c:v>84.9609375</c:v>
                </c:pt>
                <c:pt idx="14">
                  <c:v>76.822916666666686</c:v>
                </c:pt>
                <c:pt idx="15">
                  <c:v>86.588541666666686</c:v>
                </c:pt>
                <c:pt idx="16">
                  <c:v>86.263020833333314</c:v>
                </c:pt>
                <c:pt idx="17">
                  <c:v>85.9375</c:v>
                </c:pt>
                <c:pt idx="18">
                  <c:v>86.588541666666686</c:v>
                </c:pt>
                <c:pt idx="19">
                  <c:v>84.635416666666686</c:v>
                </c:pt>
                <c:pt idx="20">
                  <c:v>79.752604166666686</c:v>
                </c:pt>
                <c:pt idx="21">
                  <c:v>81.705729166666686</c:v>
                </c:pt>
                <c:pt idx="22">
                  <c:v>78.125</c:v>
                </c:pt>
                <c:pt idx="23">
                  <c:v>72.591145833333314</c:v>
                </c:pt>
                <c:pt idx="24">
                  <c:v>63.4765625</c:v>
                </c:pt>
                <c:pt idx="25">
                  <c:v>67.057291666666686</c:v>
                </c:pt>
                <c:pt idx="26">
                  <c:v>66.080729166666686</c:v>
                </c:pt>
                <c:pt idx="27">
                  <c:v>55.6640625</c:v>
                </c:pt>
                <c:pt idx="28">
                  <c:v>56.640625</c:v>
                </c:pt>
                <c:pt idx="29">
                  <c:v>67.3828125</c:v>
                </c:pt>
                <c:pt idx="30">
                  <c:v>87.890625</c:v>
                </c:pt>
                <c:pt idx="31">
                  <c:v>102.86458333333331</c:v>
                </c:pt>
                <c:pt idx="32">
                  <c:v>110.02604166666669</c:v>
                </c:pt>
                <c:pt idx="33">
                  <c:v>116.2109375</c:v>
                </c:pt>
                <c:pt idx="34">
                  <c:v>121.74479166666669</c:v>
                </c:pt>
                <c:pt idx="35">
                  <c:v>120.1171875</c:v>
                </c:pt>
                <c:pt idx="36">
                  <c:v>108.3984375</c:v>
                </c:pt>
                <c:pt idx="37">
                  <c:v>92.122395833333314</c:v>
                </c:pt>
                <c:pt idx="38">
                  <c:v>92.122395833333314</c:v>
                </c:pt>
                <c:pt idx="39">
                  <c:v>92.122395833333314</c:v>
                </c:pt>
                <c:pt idx="40">
                  <c:v>94.401041666666686</c:v>
                </c:pt>
                <c:pt idx="41">
                  <c:v>101.5625</c:v>
                </c:pt>
                <c:pt idx="42">
                  <c:v>124.0234375</c:v>
                </c:pt>
                <c:pt idx="43">
                  <c:v>150.71614583333337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6-4DC4-9ED1-B3DE1550D1B2}"/>
            </c:ext>
          </c:extLst>
        </c:ser>
        <c:ser>
          <c:idx val="5"/>
          <c:order val="5"/>
          <c:tx>
            <c:strRef>
              <c:f>'SEC Benches Data'!$ER$3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Data'!$FL$5:$FL$52</c:f>
              <c:numCache>
                <c:formatCode>0</c:formatCode>
                <c:ptCount val="48"/>
                <c:pt idx="0">
                  <c:v>345.59999999999997</c:v>
                </c:pt>
                <c:pt idx="1">
                  <c:v>528.76799999999992</c:v>
                </c:pt>
                <c:pt idx="2">
                  <c:v>606.52799999999991</c:v>
                </c:pt>
                <c:pt idx="3">
                  <c:v>580.60799999999995</c:v>
                </c:pt>
                <c:pt idx="4">
                  <c:v>461.37599999999992</c:v>
                </c:pt>
                <c:pt idx="5">
                  <c:v>494.20799999999997</c:v>
                </c:pt>
                <c:pt idx="6">
                  <c:v>474.33599999999996</c:v>
                </c:pt>
                <c:pt idx="7">
                  <c:v>423.93599999999998</c:v>
                </c:pt>
                <c:pt idx="8">
                  <c:v>344.15999999999991</c:v>
                </c:pt>
                <c:pt idx="9">
                  <c:v>249.696</c:v>
                </c:pt>
                <c:pt idx="10">
                  <c:v>186.04799999999997</c:v>
                </c:pt>
                <c:pt idx="11">
                  <c:v>126.14399999999998</c:v>
                </c:pt>
                <c:pt idx="12">
                  <c:v>100.8</c:v>
                </c:pt>
                <c:pt idx="13">
                  <c:v>75.167999999999992</c:v>
                </c:pt>
                <c:pt idx="14">
                  <c:v>67.968000000000004</c:v>
                </c:pt>
                <c:pt idx="15">
                  <c:v>76.608000000000004</c:v>
                </c:pt>
                <c:pt idx="16">
                  <c:v>76.319999999999979</c:v>
                </c:pt>
                <c:pt idx="17">
                  <c:v>76.031999999999982</c:v>
                </c:pt>
                <c:pt idx="18">
                  <c:v>76.608000000000004</c:v>
                </c:pt>
                <c:pt idx="19">
                  <c:v>74.88</c:v>
                </c:pt>
                <c:pt idx="20">
                  <c:v>70.559999999999988</c:v>
                </c:pt>
                <c:pt idx="21">
                  <c:v>72.287999999999997</c:v>
                </c:pt>
                <c:pt idx="22">
                  <c:v>69.11999999999999</c:v>
                </c:pt>
                <c:pt idx="23">
                  <c:v>64.22399999999999</c:v>
                </c:pt>
                <c:pt idx="24">
                  <c:v>56.16</c:v>
                </c:pt>
                <c:pt idx="25">
                  <c:v>59.328000000000003</c:v>
                </c:pt>
                <c:pt idx="26">
                  <c:v>58.463999999999999</c:v>
                </c:pt>
                <c:pt idx="27">
                  <c:v>49.24799999999999</c:v>
                </c:pt>
                <c:pt idx="28">
                  <c:v>50.111999999999995</c:v>
                </c:pt>
                <c:pt idx="29">
                  <c:v>59.616</c:v>
                </c:pt>
                <c:pt idx="30">
                  <c:v>77.759999999999991</c:v>
                </c:pt>
                <c:pt idx="31">
                  <c:v>91.007999999999981</c:v>
                </c:pt>
                <c:pt idx="32">
                  <c:v>97.34399999999998</c:v>
                </c:pt>
                <c:pt idx="33">
                  <c:v>102.81599999999999</c:v>
                </c:pt>
                <c:pt idx="34">
                  <c:v>107.71199999999999</c:v>
                </c:pt>
                <c:pt idx="35">
                  <c:v>106.27199999999998</c:v>
                </c:pt>
                <c:pt idx="36">
                  <c:v>95.903999999999982</c:v>
                </c:pt>
                <c:pt idx="37">
                  <c:v>81.503999999999976</c:v>
                </c:pt>
                <c:pt idx="38">
                  <c:v>81.503999999999976</c:v>
                </c:pt>
                <c:pt idx="39">
                  <c:v>81.503999999999976</c:v>
                </c:pt>
                <c:pt idx="40">
                  <c:v>83.52</c:v>
                </c:pt>
                <c:pt idx="41">
                  <c:v>89.855999999999995</c:v>
                </c:pt>
                <c:pt idx="42">
                  <c:v>109.72799999999999</c:v>
                </c:pt>
                <c:pt idx="43">
                  <c:v>133.34399999999999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6-4DC4-9ED1-B3DE1550D1B2}"/>
            </c:ext>
          </c:extLst>
        </c:ser>
        <c:ser>
          <c:idx val="6"/>
          <c:order val="6"/>
          <c:tx>
            <c:strRef>
              <c:f>'SEC Benches Data'!$ES$3</c:f>
              <c:strCache>
                <c:ptCount val="1"/>
                <c:pt idx="0">
                  <c:v>Ideal Capacity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Data'!$ES$5:$ES$52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E6-4DC4-9ED1-B3DE1550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330912"/>
        <c:axId val="566346368"/>
        <c:extLst/>
      </c:lineChart>
      <c:dateAx>
        <c:axId val="56833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6346368"/>
        <c:crosses val="autoZero"/>
        <c:auto val="1"/>
        <c:lblOffset val="100"/>
        <c:baseTimeUnit val="days"/>
      </c:dateAx>
      <c:valAx>
        <c:axId val="56634636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986 / Secure 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 Benches Data'!$EM$3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Data'!$J$5:$J$52</c:f>
              <c:numCache>
                <c:formatCode>General</c:formatCode>
                <c:ptCount val="48"/>
                <c:pt idx="0">
                  <c:v>15</c:v>
                </c:pt>
                <c:pt idx="1">
                  <c:v>20</c:v>
                </c:pt>
                <c:pt idx="2">
                  <c:v>39</c:v>
                </c:pt>
                <c:pt idx="3">
                  <c:v>45</c:v>
                </c:pt>
                <c:pt idx="4">
                  <c:v>54</c:v>
                </c:pt>
                <c:pt idx="5">
                  <c:v>58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11</c:v>
                </c:pt>
                <c:pt idx="20">
                  <c:v>11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8</c:v>
                </c:pt>
                <c:pt idx="29">
                  <c:v>16</c:v>
                </c:pt>
                <c:pt idx="30">
                  <c:v>16</c:v>
                </c:pt>
                <c:pt idx="31">
                  <c:v>24</c:v>
                </c:pt>
                <c:pt idx="32">
                  <c:v>17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9</c:v>
                </c:pt>
                <c:pt idx="37">
                  <c:v>12</c:v>
                </c:pt>
                <c:pt idx="38">
                  <c:v>13</c:v>
                </c:pt>
                <c:pt idx="39">
                  <c:v>8</c:v>
                </c:pt>
                <c:pt idx="40">
                  <c:v>11</c:v>
                </c:pt>
                <c:pt idx="41">
                  <c:v>17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24</c:v>
                </c:pt>
                <c:pt idx="46">
                  <c:v>36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6-4B98-B7BD-C7CC6B5B43F3}"/>
            </c:ext>
          </c:extLst>
        </c:ser>
        <c:ser>
          <c:idx val="1"/>
          <c:order val="1"/>
          <c:tx>
            <c:strRef>
              <c:f>'SEC Benches Data'!$EN$3</c:f>
              <c:strCache>
                <c:ptCount val="1"/>
                <c:pt idx="0">
                  <c:v>14 - 26 Wks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  <c:extLst xmlns:c15="http://schemas.microsoft.com/office/drawing/2012/chart"/>
            </c:numRef>
          </c:cat>
          <c:val>
            <c:numRef>
              <c:f>'SEC Benches Data'!$EN$5:$EN$26</c:f>
              <c:numCache>
                <c:formatCode>0</c:formatCode>
                <c:ptCount val="22"/>
                <c:pt idx="19">
                  <c:v>46</c:v>
                </c:pt>
                <c:pt idx="20">
                  <c:v>46.375</c:v>
                </c:pt>
                <c:pt idx="21">
                  <c:v>51.25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B36-4B98-B7BD-C7CC6B5B43F3}"/>
            </c:ext>
          </c:extLst>
        </c:ser>
        <c:ser>
          <c:idx val="2"/>
          <c:order val="2"/>
          <c:tx>
            <c:strRef>
              <c:f>'SEC Benches Data'!$EO$3</c:f>
              <c:strCache>
                <c:ptCount val="1"/>
                <c:pt idx="0">
                  <c:v>14 - 26 Wks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Data'!$GY$5:$GY$52</c:f>
              <c:numCache>
                <c:formatCode>General</c:formatCode>
                <c:ptCount val="48"/>
                <c:pt idx="20">
                  <c:v>10</c:v>
                </c:pt>
                <c:pt idx="21">
                  <c:v>9</c:v>
                </c:pt>
                <c:pt idx="22">
                  <c:v>5</c:v>
                </c:pt>
                <c:pt idx="23">
                  <c:v>3</c:v>
                </c:pt>
                <c:pt idx="24">
                  <c:v>9</c:v>
                </c:pt>
                <c:pt idx="25">
                  <c:v>6</c:v>
                </c:pt>
                <c:pt idx="26">
                  <c:v>10</c:v>
                </c:pt>
                <c:pt idx="27">
                  <c:v>8</c:v>
                </c:pt>
                <c:pt idx="28">
                  <c:v>12</c:v>
                </c:pt>
                <c:pt idx="29">
                  <c:v>14</c:v>
                </c:pt>
                <c:pt idx="30">
                  <c:v>23</c:v>
                </c:pt>
                <c:pt idx="31">
                  <c:v>11</c:v>
                </c:pt>
                <c:pt idx="32">
                  <c:v>10</c:v>
                </c:pt>
                <c:pt idx="33">
                  <c:v>7</c:v>
                </c:pt>
                <c:pt idx="34">
                  <c:v>13</c:v>
                </c:pt>
                <c:pt idx="35">
                  <c:v>12</c:v>
                </c:pt>
                <c:pt idx="36">
                  <c:v>10</c:v>
                </c:pt>
                <c:pt idx="37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8</c:v>
                </c:pt>
                <c:pt idx="41">
                  <c:v>16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27</c:v>
                </c:pt>
                <c:pt idx="46">
                  <c:v>15</c:v>
                </c:pt>
                <c:pt idx="4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6-4B98-B7BD-C7CC6B5B43F3}"/>
            </c:ext>
          </c:extLst>
        </c:ser>
        <c:ser>
          <c:idx val="3"/>
          <c:order val="3"/>
          <c:tx>
            <c:strRef>
              <c:f>'SEC Benches Data'!$EP$3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Data'!$GZ$5:$GZ$52</c:f>
              <c:numCache>
                <c:formatCode>0</c:formatCode>
                <c:ptCount val="48"/>
                <c:pt idx="0">
                  <c:v>23.413439999999994</c:v>
                </c:pt>
                <c:pt idx="1">
                  <c:v>31.217919999999996</c:v>
                </c:pt>
                <c:pt idx="2">
                  <c:v>60.874943999999985</c:v>
                </c:pt>
                <c:pt idx="3">
                  <c:v>70.240319999999983</c:v>
                </c:pt>
                <c:pt idx="4">
                  <c:v>84.288383999999979</c:v>
                </c:pt>
                <c:pt idx="5">
                  <c:v>60.094495999999985</c:v>
                </c:pt>
                <c:pt idx="6">
                  <c:v>70.500469333333314</c:v>
                </c:pt>
                <c:pt idx="7">
                  <c:v>79.60569599999998</c:v>
                </c:pt>
                <c:pt idx="8">
                  <c:v>82.467338666666649</c:v>
                </c:pt>
                <c:pt idx="9">
                  <c:v>72.841813333333306</c:v>
                </c:pt>
                <c:pt idx="10">
                  <c:v>60.874943999999985</c:v>
                </c:pt>
                <c:pt idx="11">
                  <c:v>48.387775999999995</c:v>
                </c:pt>
                <c:pt idx="12">
                  <c:v>36.681055999999991</c:v>
                </c:pt>
                <c:pt idx="13">
                  <c:v>25.494634666666659</c:v>
                </c:pt>
                <c:pt idx="14">
                  <c:v>15.869109333333327</c:v>
                </c:pt>
                <c:pt idx="15">
                  <c:v>17.43000533333333</c:v>
                </c:pt>
                <c:pt idx="16">
                  <c:v>19.511199999999995</c:v>
                </c:pt>
                <c:pt idx="17">
                  <c:v>20.551797333333329</c:v>
                </c:pt>
                <c:pt idx="18">
                  <c:v>21.592394666666664</c:v>
                </c:pt>
                <c:pt idx="19">
                  <c:v>21.332245333333326</c:v>
                </c:pt>
                <c:pt idx="20">
                  <c:v>20.811946666666664</c:v>
                </c:pt>
                <c:pt idx="21">
                  <c:v>19.251050666666664</c:v>
                </c:pt>
                <c:pt idx="22">
                  <c:v>16.649557333333327</c:v>
                </c:pt>
                <c:pt idx="23">
                  <c:v>14.048063999999997</c:v>
                </c:pt>
                <c:pt idx="24">
                  <c:v>11.18642133333333</c:v>
                </c:pt>
                <c:pt idx="25">
                  <c:v>9.8856746666666631</c:v>
                </c:pt>
                <c:pt idx="26">
                  <c:v>8.8450773333333323</c:v>
                </c:pt>
                <c:pt idx="27">
                  <c:v>8.3247786666666634</c:v>
                </c:pt>
                <c:pt idx="28">
                  <c:v>8.8450773333333323</c:v>
                </c:pt>
                <c:pt idx="29">
                  <c:v>11.966869333333332</c:v>
                </c:pt>
                <c:pt idx="30">
                  <c:v>15.348810666666665</c:v>
                </c:pt>
                <c:pt idx="31">
                  <c:v>20.031498666666668</c:v>
                </c:pt>
                <c:pt idx="32">
                  <c:v>22.632991999999998</c:v>
                </c:pt>
                <c:pt idx="33">
                  <c:v>22.893141333333329</c:v>
                </c:pt>
                <c:pt idx="34">
                  <c:v>22.37284266666666</c:v>
                </c:pt>
                <c:pt idx="35">
                  <c:v>20.291647999999995</c:v>
                </c:pt>
                <c:pt idx="36">
                  <c:v>18.470602666666665</c:v>
                </c:pt>
                <c:pt idx="37">
                  <c:v>15.348810666666665</c:v>
                </c:pt>
                <c:pt idx="38">
                  <c:v>14.308213333333329</c:v>
                </c:pt>
                <c:pt idx="39">
                  <c:v>14.568362666666664</c:v>
                </c:pt>
                <c:pt idx="40">
                  <c:v>15.869109333333327</c:v>
                </c:pt>
                <c:pt idx="41">
                  <c:v>18.210453333333326</c:v>
                </c:pt>
                <c:pt idx="42">
                  <c:v>22.632991999999998</c:v>
                </c:pt>
                <c:pt idx="43">
                  <c:v>26.275082666666659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6-4B98-B7BD-C7CC6B5B43F3}"/>
            </c:ext>
          </c:extLst>
        </c:ser>
        <c:ser>
          <c:idx val="4"/>
          <c:order val="4"/>
          <c:tx>
            <c:strRef>
              <c:f>'SEC Benches Data'!$EQ$3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Data'!$HA$5:$HA$52</c:f>
              <c:numCache>
                <c:formatCode>0</c:formatCode>
                <c:ptCount val="48"/>
                <c:pt idx="0">
                  <c:v>29.296875</c:v>
                </c:pt>
                <c:pt idx="1">
                  <c:v>39.0625</c:v>
                </c:pt>
                <c:pt idx="2">
                  <c:v>76.171875</c:v>
                </c:pt>
                <c:pt idx="3">
                  <c:v>87.890625</c:v>
                </c:pt>
                <c:pt idx="4">
                  <c:v>105.46875</c:v>
                </c:pt>
                <c:pt idx="5">
                  <c:v>75.1953125</c:v>
                </c:pt>
                <c:pt idx="6">
                  <c:v>88.216145833333314</c:v>
                </c:pt>
                <c:pt idx="7">
                  <c:v>99.609375</c:v>
                </c:pt>
                <c:pt idx="8">
                  <c:v>103.19010416666669</c:v>
                </c:pt>
                <c:pt idx="9">
                  <c:v>91.145833333333314</c:v>
                </c:pt>
                <c:pt idx="10">
                  <c:v>76.171875</c:v>
                </c:pt>
                <c:pt idx="11">
                  <c:v>60.546875</c:v>
                </c:pt>
                <c:pt idx="12">
                  <c:v>45.8984375</c:v>
                </c:pt>
                <c:pt idx="13">
                  <c:v>31.901041666666661</c:v>
                </c:pt>
                <c:pt idx="14">
                  <c:v>19.856770833333329</c:v>
                </c:pt>
                <c:pt idx="15">
                  <c:v>21.809895833333329</c:v>
                </c:pt>
                <c:pt idx="16">
                  <c:v>24.4140625</c:v>
                </c:pt>
                <c:pt idx="17">
                  <c:v>25.716145833333329</c:v>
                </c:pt>
                <c:pt idx="18">
                  <c:v>27.018229166666671</c:v>
                </c:pt>
                <c:pt idx="19">
                  <c:v>26.692708333333329</c:v>
                </c:pt>
                <c:pt idx="20">
                  <c:v>26.041666666666671</c:v>
                </c:pt>
                <c:pt idx="21">
                  <c:v>24.088541666666671</c:v>
                </c:pt>
                <c:pt idx="22">
                  <c:v>20.833333333333329</c:v>
                </c:pt>
                <c:pt idx="23">
                  <c:v>17.578125</c:v>
                </c:pt>
                <c:pt idx="24">
                  <c:v>13.997395833333336</c:v>
                </c:pt>
                <c:pt idx="25">
                  <c:v>12.369791666666664</c:v>
                </c:pt>
                <c:pt idx="26">
                  <c:v>11.067708333333336</c:v>
                </c:pt>
                <c:pt idx="27">
                  <c:v>10.416666666666664</c:v>
                </c:pt>
                <c:pt idx="28">
                  <c:v>11.067708333333336</c:v>
                </c:pt>
                <c:pt idx="29">
                  <c:v>14.973958333333336</c:v>
                </c:pt>
                <c:pt idx="30">
                  <c:v>19.205729166666671</c:v>
                </c:pt>
                <c:pt idx="31">
                  <c:v>25.065104166666671</c:v>
                </c:pt>
                <c:pt idx="32">
                  <c:v>28.3203125</c:v>
                </c:pt>
                <c:pt idx="33">
                  <c:v>28.645833333333329</c:v>
                </c:pt>
                <c:pt idx="34">
                  <c:v>27.994791666666671</c:v>
                </c:pt>
                <c:pt idx="35">
                  <c:v>25.390625</c:v>
                </c:pt>
                <c:pt idx="36">
                  <c:v>23.111979166666671</c:v>
                </c:pt>
                <c:pt idx="37">
                  <c:v>19.205729166666671</c:v>
                </c:pt>
                <c:pt idx="38">
                  <c:v>17.903645833333329</c:v>
                </c:pt>
                <c:pt idx="39">
                  <c:v>18.229166666666671</c:v>
                </c:pt>
                <c:pt idx="40">
                  <c:v>19.856770833333329</c:v>
                </c:pt>
                <c:pt idx="41">
                  <c:v>22.786458333333329</c:v>
                </c:pt>
                <c:pt idx="42">
                  <c:v>28.3203125</c:v>
                </c:pt>
                <c:pt idx="43">
                  <c:v>32.877604166666657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6-4B98-B7BD-C7CC6B5B43F3}"/>
            </c:ext>
          </c:extLst>
        </c:ser>
        <c:ser>
          <c:idx val="5"/>
          <c:order val="5"/>
          <c:tx>
            <c:strRef>
              <c:f>'SEC Benches Data'!$ER$3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Data'!$HB$5:$HB$52</c:f>
              <c:numCache>
                <c:formatCode>0</c:formatCode>
                <c:ptCount val="48"/>
                <c:pt idx="0">
                  <c:v>25.919999999999998</c:v>
                </c:pt>
                <c:pt idx="1">
                  <c:v>34.559999999999995</c:v>
                </c:pt>
                <c:pt idx="2">
                  <c:v>67.391999999999996</c:v>
                </c:pt>
                <c:pt idx="3">
                  <c:v>77.759999999999991</c:v>
                </c:pt>
                <c:pt idx="4">
                  <c:v>93.311999999999983</c:v>
                </c:pt>
                <c:pt idx="5">
                  <c:v>66.527999999999992</c:v>
                </c:pt>
                <c:pt idx="6">
                  <c:v>78.047999999999988</c:v>
                </c:pt>
                <c:pt idx="7">
                  <c:v>88.128</c:v>
                </c:pt>
                <c:pt idx="8">
                  <c:v>91.295999999999992</c:v>
                </c:pt>
                <c:pt idx="9">
                  <c:v>80.639999999999986</c:v>
                </c:pt>
                <c:pt idx="10">
                  <c:v>67.391999999999996</c:v>
                </c:pt>
                <c:pt idx="11">
                  <c:v>53.567999999999991</c:v>
                </c:pt>
                <c:pt idx="12">
                  <c:v>40.607999999999997</c:v>
                </c:pt>
                <c:pt idx="13">
                  <c:v>28.223999999999993</c:v>
                </c:pt>
                <c:pt idx="14">
                  <c:v>17.567999999999998</c:v>
                </c:pt>
                <c:pt idx="15">
                  <c:v>19.295999999999996</c:v>
                </c:pt>
                <c:pt idx="16">
                  <c:v>21.599999999999998</c:v>
                </c:pt>
                <c:pt idx="17">
                  <c:v>22.751999999999995</c:v>
                </c:pt>
                <c:pt idx="18">
                  <c:v>23.904</c:v>
                </c:pt>
                <c:pt idx="19">
                  <c:v>23.615999999999996</c:v>
                </c:pt>
                <c:pt idx="20">
                  <c:v>23.04</c:v>
                </c:pt>
                <c:pt idx="21">
                  <c:v>21.312000000000001</c:v>
                </c:pt>
                <c:pt idx="22">
                  <c:v>18.431999999999995</c:v>
                </c:pt>
                <c:pt idx="23">
                  <c:v>15.551999999999998</c:v>
                </c:pt>
                <c:pt idx="24">
                  <c:v>12.383999999999999</c:v>
                </c:pt>
                <c:pt idx="25">
                  <c:v>10.943999999999999</c:v>
                </c:pt>
                <c:pt idx="26">
                  <c:v>9.7919999999999998</c:v>
                </c:pt>
                <c:pt idx="27">
                  <c:v>9.2159999999999975</c:v>
                </c:pt>
                <c:pt idx="28">
                  <c:v>9.7919999999999998</c:v>
                </c:pt>
                <c:pt idx="29">
                  <c:v>13.247999999999999</c:v>
                </c:pt>
                <c:pt idx="30">
                  <c:v>16.992000000000001</c:v>
                </c:pt>
                <c:pt idx="31">
                  <c:v>22.175999999999998</c:v>
                </c:pt>
                <c:pt idx="32">
                  <c:v>25.055999999999997</c:v>
                </c:pt>
                <c:pt idx="33">
                  <c:v>25.343999999999998</c:v>
                </c:pt>
                <c:pt idx="34">
                  <c:v>24.767999999999997</c:v>
                </c:pt>
                <c:pt idx="35">
                  <c:v>22.463999999999999</c:v>
                </c:pt>
                <c:pt idx="36">
                  <c:v>20.447999999999997</c:v>
                </c:pt>
                <c:pt idx="37">
                  <c:v>16.992000000000001</c:v>
                </c:pt>
                <c:pt idx="38">
                  <c:v>15.839999999999996</c:v>
                </c:pt>
                <c:pt idx="39">
                  <c:v>16.128</c:v>
                </c:pt>
                <c:pt idx="40">
                  <c:v>17.567999999999998</c:v>
                </c:pt>
                <c:pt idx="41">
                  <c:v>20.159999999999997</c:v>
                </c:pt>
                <c:pt idx="42">
                  <c:v>25.055999999999997</c:v>
                </c:pt>
                <c:pt idx="43">
                  <c:v>29.087999999999997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6-4B98-B7BD-C7CC6B5B43F3}"/>
            </c:ext>
          </c:extLst>
        </c:ser>
        <c:ser>
          <c:idx val="6"/>
          <c:order val="6"/>
          <c:tx>
            <c:strRef>
              <c:f>'SEC Benches Data'!$ES$3</c:f>
              <c:strCache>
                <c:ptCount val="1"/>
                <c:pt idx="0">
                  <c:v>Ideal Capacity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Data'!$ES$5:$ES$52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36-4B98-B7BD-C7CC6B5B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330912"/>
        <c:axId val="566346368"/>
        <c:extLst/>
      </c:lineChart>
      <c:dateAx>
        <c:axId val="56833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6346368"/>
        <c:crosses val="autoZero"/>
        <c:auto val="1"/>
        <c:lblOffset val="100"/>
        <c:baseTimeUnit val="days"/>
      </c:dateAx>
      <c:valAx>
        <c:axId val="56634636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XFMR Average</a:t>
            </a:r>
            <a:r>
              <a:rPr lang="en-NZ" baseline="0"/>
              <a:t> for 605/607/625/645/650/660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'XFMR Data'!$AA$3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Data'!$A$5:$A$152</c:f>
              <c:numCache>
                <c:formatCode>m/d/yyyy</c:formatCode>
                <c:ptCount val="1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Data'!$AA$25:$AA$152</c:f>
              <c:numCache>
                <c:formatCode>0</c:formatCode>
                <c:ptCount val="128"/>
                <c:pt idx="0">
                  <c:v>61.4</c:v>
                </c:pt>
                <c:pt idx="1">
                  <c:v>53</c:v>
                </c:pt>
                <c:pt idx="2">
                  <c:v>57.4</c:v>
                </c:pt>
                <c:pt idx="3">
                  <c:v>54.4</c:v>
                </c:pt>
                <c:pt idx="4">
                  <c:v>63.4</c:v>
                </c:pt>
                <c:pt idx="5">
                  <c:v>56.6</c:v>
                </c:pt>
                <c:pt idx="6">
                  <c:v>58.4</c:v>
                </c:pt>
                <c:pt idx="7">
                  <c:v>56.2</c:v>
                </c:pt>
                <c:pt idx="8">
                  <c:v>52.4</c:v>
                </c:pt>
                <c:pt idx="9">
                  <c:v>53</c:v>
                </c:pt>
                <c:pt idx="10">
                  <c:v>56.2</c:v>
                </c:pt>
                <c:pt idx="11">
                  <c:v>60.2</c:v>
                </c:pt>
                <c:pt idx="12">
                  <c:v>69.400000000000006</c:v>
                </c:pt>
                <c:pt idx="13">
                  <c:v>84.8</c:v>
                </c:pt>
                <c:pt idx="14">
                  <c:v>117.6</c:v>
                </c:pt>
                <c:pt idx="15">
                  <c:v>110</c:v>
                </c:pt>
                <c:pt idx="16">
                  <c:v>107</c:v>
                </c:pt>
                <c:pt idx="17">
                  <c:v>88.2</c:v>
                </c:pt>
                <c:pt idx="18">
                  <c:v>73</c:v>
                </c:pt>
                <c:pt idx="19">
                  <c:v>75.400000000000006</c:v>
                </c:pt>
                <c:pt idx="20">
                  <c:v>87</c:v>
                </c:pt>
                <c:pt idx="21">
                  <c:v>92.2</c:v>
                </c:pt>
                <c:pt idx="22">
                  <c:v>75.400000000000006</c:v>
                </c:pt>
                <c:pt idx="23">
                  <c:v>77.8</c:v>
                </c:pt>
                <c:pt idx="24">
                  <c:v>69</c:v>
                </c:pt>
                <c:pt idx="25">
                  <c:v>67.2</c:v>
                </c:pt>
                <c:pt idx="26">
                  <c:v>60.8</c:v>
                </c:pt>
                <c:pt idx="27">
                  <c:v>51</c:v>
                </c:pt>
                <c:pt idx="28">
                  <c:v>49.4</c:v>
                </c:pt>
                <c:pt idx="29">
                  <c:v>43.6</c:v>
                </c:pt>
                <c:pt idx="30">
                  <c:v>41</c:v>
                </c:pt>
                <c:pt idx="31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F-436F-8709-B46137A65B4B}"/>
            </c:ext>
          </c:extLst>
        </c:ser>
        <c:ser>
          <c:idx val="2"/>
          <c:order val="2"/>
          <c:tx>
            <c:strRef>
              <c:f>'XFMR Data'!$AC$3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Data'!$A$5:$A$152</c:f>
              <c:numCache>
                <c:formatCode>m/d/yyyy</c:formatCode>
                <c:ptCount val="1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Data'!$AC$25:$AC$152</c:f>
              <c:numCache>
                <c:formatCode>0</c:formatCode>
                <c:ptCount val="128"/>
                <c:pt idx="0">
                  <c:v>64.559999999999988</c:v>
                </c:pt>
                <c:pt idx="1">
                  <c:v>63.12</c:v>
                </c:pt>
                <c:pt idx="2">
                  <c:v>39.840000000000003</c:v>
                </c:pt>
                <c:pt idx="3">
                  <c:v>68.88</c:v>
                </c:pt>
                <c:pt idx="4">
                  <c:v>47.04</c:v>
                </c:pt>
                <c:pt idx="5">
                  <c:v>53.279999999999994</c:v>
                </c:pt>
                <c:pt idx="6">
                  <c:v>49.92</c:v>
                </c:pt>
                <c:pt idx="7">
                  <c:v>37.92</c:v>
                </c:pt>
                <c:pt idx="8">
                  <c:v>55.68</c:v>
                </c:pt>
                <c:pt idx="9">
                  <c:v>58.32</c:v>
                </c:pt>
                <c:pt idx="10">
                  <c:v>69.36</c:v>
                </c:pt>
                <c:pt idx="11">
                  <c:v>88.559999999999988</c:v>
                </c:pt>
                <c:pt idx="12">
                  <c:v>83.759999999999991</c:v>
                </c:pt>
                <c:pt idx="13">
                  <c:v>83.52</c:v>
                </c:pt>
                <c:pt idx="14">
                  <c:v>62.879999999999995</c:v>
                </c:pt>
                <c:pt idx="15">
                  <c:v>71.759999999999991</c:v>
                </c:pt>
                <c:pt idx="16">
                  <c:v>49.68</c:v>
                </c:pt>
                <c:pt idx="17">
                  <c:v>57.84</c:v>
                </c:pt>
                <c:pt idx="18">
                  <c:v>50.64</c:v>
                </c:pt>
                <c:pt idx="19">
                  <c:v>69.599999999999994</c:v>
                </c:pt>
                <c:pt idx="20">
                  <c:v>144</c:v>
                </c:pt>
                <c:pt idx="21">
                  <c:v>81.36</c:v>
                </c:pt>
                <c:pt idx="22">
                  <c:v>55.199999999999996</c:v>
                </c:pt>
                <c:pt idx="23">
                  <c:v>64.08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F-436F-8709-B46137A65B4B}"/>
            </c:ext>
          </c:extLst>
        </c:ser>
        <c:ser>
          <c:idx val="3"/>
          <c:order val="3"/>
          <c:tx>
            <c:strRef>
              <c:f>'XFMR Data'!$AD$3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Data'!$A$5:$A$152</c:f>
              <c:numCache>
                <c:formatCode>m/d/yyyy</c:formatCode>
                <c:ptCount val="1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Data'!$AD$25:$AD$152</c:f>
              <c:numCache>
                <c:formatCode>0</c:formatCode>
                <c:ptCount val="128"/>
                <c:pt idx="0">
                  <c:v>95.839014399999968</c:v>
                </c:pt>
                <c:pt idx="1">
                  <c:v>89.283251199999995</c:v>
                </c:pt>
                <c:pt idx="2">
                  <c:v>89.387310933333325</c:v>
                </c:pt>
                <c:pt idx="3">
                  <c:v>88.268668799999986</c:v>
                </c:pt>
                <c:pt idx="4">
                  <c:v>90.407096319999994</c:v>
                </c:pt>
                <c:pt idx="5">
                  <c:v>90.063699199999988</c:v>
                </c:pt>
                <c:pt idx="6">
                  <c:v>89.283251199999967</c:v>
                </c:pt>
                <c:pt idx="7">
                  <c:v>90.115729066666646</c:v>
                </c:pt>
                <c:pt idx="8">
                  <c:v>88.814982399999977</c:v>
                </c:pt>
                <c:pt idx="9">
                  <c:v>88.450773333333302</c:v>
                </c:pt>
                <c:pt idx="10">
                  <c:v>86.577698133333314</c:v>
                </c:pt>
                <c:pt idx="11">
                  <c:v>87.514235733333294</c:v>
                </c:pt>
                <c:pt idx="12">
                  <c:v>90.375878399999962</c:v>
                </c:pt>
                <c:pt idx="13">
                  <c:v>97.816149333333328</c:v>
                </c:pt>
                <c:pt idx="14">
                  <c:v>114.77788586666667</c:v>
                </c:pt>
                <c:pt idx="15">
                  <c:v>129.60639786666667</c:v>
                </c:pt>
                <c:pt idx="16">
                  <c:v>142.82198399999996</c:v>
                </c:pt>
                <c:pt idx="17">
                  <c:v>150.10616533333331</c:v>
                </c:pt>
                <c:pt idx="18">
                  <c:v>151.04270293333329</c:v>
                </c:pt>
                <c:pt idx="19">
                  <c:v>148.59729919999998</c:v>
                </c:pt>
                <c:pt idx="20">
                  <c:v>140.6367296</c:v>
                </c:pt>
                <c:pt idx="21">
                  <c:v>136.00607146666664</c:v>
                </c:pt>
                <c:pt idx="22">
                  <c:v>127.78535253333332</c:v>
                </c:pt>
                <c:pt idx="23">
                  <c:v>125.07979946666664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F-436F-8709-B46137A65B4B}"/>
            </c:ext>
          </c:extLst>
        </c:ser>
        <c:ser>
          <c:idx val="4"/>
          <c:order val="4"/>
          <c:tx>
            <c:strRef>
              <c:f>'XFMR Data'!$AE$3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Data'!$A$5:$A$152</c:f>
              <c:numCache>
                <c:formatCode>m/d/yyyy</c:formatCode>
                <c:ptCount val="1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Data'!$AE$25:$AE$152</c:f>
              <c:numCache>
                <c:formatCode>0</c:formatCode>
                <c:ptCount val="128"/>
                <c:pt idx="0">
                  <c:v>119.921875</c:v>
                </c:pt>
                <c:pt idx="1">
                  <c:v>111.71875</c:v>
                </c:pt>
                <c:pt idx="2">
                  <c:v>111.84895833333336</c:v>
                </c:pt>
                <c:pt idx="3">
                  <c:v>110.44921875</c:v>
                </c:pt>
                <c:pt idx="4">
                  <c:v>113.125</c:v>
                </c:pt>
                <c:pt idx="5">
                  <c:v>112.69531250000001</c:v>
                </c:pt>
                <c:pt idx="6">
                  <c:v>111.71875</c:v>
                </c:pt>
                <c:pt idx="7">
                  <c:v>112.76041666666664</c:v>
                </c:pt>
                <c:pt idx="8">
                  <c:v>111.1328125</c:v>
                </c:pt>
                <c:pt idx="9">
                  <c:v>110.67708333333331</c:v>
                </c:pt>
                <c:pt idx="10">
                  <c:v>108.33333333333336</c:v>
                </c:pt>
                <c:pt idx="11">
                  <c:v>109.50520833333331</c:v>
                </c:pt>
                <c:pt idx="12">
                  <c:v>113.0859375</c:v>
                </c:pt>
                <c:pt idx="13">
                  <c:v>122.39583333333336</c:v>
                </c:pt>
                <c:pt idx="14">
                  <c:v>143.61979166666669</c:v>
                </c:pt>
                <c:pt idx="15">
                  <c:v>162.17447916666671</c:v>
                </c:pt>
                <c:pt idx="16">
                  <c:v>178.7109375</c:v>
                </c:pt>
                <c:pt idx="17">
                  <c:v>187.82552083333337</c:v>
                </c:pt>
                <c:pt idx="18">
                  <c:v>188.99739583333329</c:v>
                </c:pt>
                <c:pt idx="19">
                  <c:v>185.9375</c:v>
                </c:pt>
                <c:pt idx="20">
                  <c:v>175.97656250000003</c:v>
                </c:pt>
                <c:pt idx="21">
                  <c:v>170.18229166666669</c:v>
                </c:pt>
                <c:pt idx="22">
                  <c:v>159.89583333333337</c:v>
                </c:pt>
                <c:pt idx="23">
                  <c:v>156.51041666666669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F-436F-8709-B46137A65B4B}"/>
            </c:ext>
          </c:extLst>
        </c:ser>
        <c:ser>
          <c:idx val="5"/>
          <c:order val="5"/>
          <c:tx>
            <c:strRef>
              <c:f>'XFMR Data'!$AF$3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Data'!$A$5:$A$152</c:f>
              <c:numCache>
                <c:formatCode>m/d/yyyy</c:formatCode>
                <c:ptCount val="1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Data'!$AF$25:$AF$152</c:f>
              <c:numCache>
                <c:formatCode>0</c:formatCode>
                <c:ptCount val="128"/>
                <c:pt idx="0">
                  <c:v>106.09919999999998</c:v>
                </c:pt>
                <c:pt idx="1">
                  <c:v>98.841599999999985</c:v>
                </c:pt>
                <c:pt idx="2">
                  <c:v>98.956800000000001</c:v>
                </c:pt>
                <c:pt idx="3">
                  <c:v>97.718400000000003</c:v>
                </c:pt>
                <c:pt idx="4">
                  <c:v>100.08576000000001</c:v>
                </c:pt>
                <c:pt idx="5">
                  <c:v>99.705600000000004</c:v>
                </c:pt>
                <c:pt idx="6">
                  <c:v>98.841599999999971</c:v>
                </c:pt>
                <c:pt idx="7">
                  <c:v>99.763199999999969</c:v>
                </c:pt>
                <c:pt idx="8">
                  <c:v>98.323199999999986</c:v>
                </c:pt>
                <c:pt idx="9">
                  <c:v>97.919999999999987</c:v>
                </c:pt>
                <c:pt idx="10">
                  <c:v>95.846400000000003</c:v>
                </c:pt>
                <c:pt idx="11">
                  <c:v>96.883199999999974</c:v>
                </c:pt>
                <c:pt idx="12">
                  <c:v>100.05119999999998</c:v>
                </c:pt>
                <c:pt idx="13">
                  <c:v>108.28800000000003</c:v>
                </c:pt>
                <c:pt idx="14">
                  <c:v>127.0656</c:v>
                </c:pt>
                <c:pt idx="15">
                  <c:v>143.48160000000001</c:v>
                </c:pt>
                <c:pt idx="16">
                  <c:v>158.11199999999999</c:v>
                </c:pt>
                <c:pt idx="17">
                  <c:v>166.17599999999999</c:v>
                </c:pt>
                <c:pt idx="18">
                  <c:v>167.21279999999996</c:v>
                </c:pt>
                <c:pt idx="19">
                  <c:v>164.50559999999999</c:v>
                </c:pt>
                <c:pt idx="20">
                  <c:v>155.69280000000001</c:v>
                </c:pt>
                <c:pt idx="21">
                  <c:v>150.56639999999999</c:v>
                </c:pt>
                <c:pt idx="22">
                  <c:v>141.46559999999999</c:v>
                </c:pt>
                <c:pt idx="23">
                  <c:v>138.47040000000001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1F-436F-8709-B46137A65B4B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Data'!$A$5:$A$152</c:f>
              <c:numCache>
                <c:formatCode>m/d/yyyy</c:formatCode>
                <c:ptCount val="1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1F-436F-8709-B46137A6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'XFMR Data'!$A$5:$A$152</c15:sqref>
                        </c15:formulaRef>
                      </c:ext>
                    </c:extLst>
                    <c:numCache>
                      <c:formatCode>m/d/yyyy</c:formatCode>
                      <c:ptCount val="1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  <c:pt idx="48">
                        <c:v>44617</c:v>
                      </c:pt>
                      <c:pt idx="49">
                        <c:v>44650</c:v>
                      </c:pt>
                      <c:pt idx="50">
                        <c:v>44691</c:v>
                      </c:pt>
                      <c:pt idx="51">
                        <c:v>44714</c:v>
                      </c:pt>
                      <c:pt idx="52">
                        <c:v>44753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44838</c:v>
                      </c:pt>
                      <c:pt idx="56">
                        <c:v>44868</c:v>
                      </c:pt>
                      <c:pt idx="57">
                        <c:v>44908</c:v>
                      </c:pt>
                      <c:pt idx="58">
                        <c:v>44965</c:v>
                      </c:pt>
                      <c:pt idx="59">
                        <c:v>44992</c:v>
                      </c:pt>
                      <c:pt idx="60">
                        <c:v>45020</c:v>
                      </c:pt>
                      <c:pt idx="61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E1F-436F-8709-B46137A65B4B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XFMR Labour</a:t>
            </a:r>
            <a:r>
              <a:rPr lang="en-NZ" baseline="0"/>
              <a:t> Pool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'XFMR Data'!$Q$3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Data'!$Q$25:$Q$162</c:f>
              <c:numCache>
                <c:formatCode>0</c:formatCode>
                <c:ptCount val="138"/>
                <c:pt idx="0">
                  <c:v>74</c:v>
                </c:pt>
                <c:pt idx="1">
                  <c:v>74</c:v>
                </c:pt>
                <c:pt idx="2">
                  <c:v>82</c:v>
                </c:pt>
                <c:pt idx="3">
                  <c:v>80</c:v>
                </c:pt>
                <c:pt idx="4">
                  <c:v>92</c:v>
                </c:pt>
                <c:pt idx="5">
                  <c:v>83</c:v>
                </c:pt>
                <c:pt idx="6">
                  <c:v>84</c:v>
                </c:pt>
                <c:pt idx="7">
                  <c:v>80</c:v>
                </c:pt>
                <c:pt idx="8">
                  <c:v>71</c:v>
                </c:pt>
                <c:pt idx="9">
                  <c:v>86</c:v>
                </c:pt>
                <c:pt idx="10">
                  <c:v>92</c:v>
                </c:pt>
                <c:pt idx="11">
                  <c:v>96</c:v>
                </c:pt>
                <c:pt idx="12">
                  <c:v>109</c:v>
                </c:pt>
                <c:pt idx="13">
                  <c:v>102</c:v>
                </c:pt>
                <c:pt idx="14">
                  <c:v>129</c:v>
                </c:pt>
                <c:pt idx="15">
                  <c:v>119</c:v>
                </c:pt>
                <c:pt idx="16">
                  <c:v>96</c:v>
                </c:pt>
                <c:pt idx="17">
                  <c:v>88</c:v>
                </c:pt>
                <c:pt idx="18">
                  <c:v>96</c:v>
                </c:pt>
                <c:pt idx="19">
                  <c:v>100</c:v>
                </c:pt>
                <c:pt idx="20">
                  <c:v>109</c:v>
                </c:pt>
                <c:pt idx="21">
                  <c:v>98</c:v>
                </c:pt>
                <c:pt idx="22">
                  <c:v>107</c:v>
                </c:pt>
                <c:pt idx="23">
                  <c:v>117</c:v>
                </c:pt>
                <c:pt idx="24">
                  <c:v>93</c:v>
                </c:pt>
                <c:pt idx="25">
                  <c:v>109</c:v>
                </c:pt>
                <c:pt idx="27">
                  <c:v>103</c:v>
                </c:pt>
                <c:pt idx="28">
                  <c:v>94</c:v>
                </c:pt>
                <c:pt idx="29">
                  <c:v>92</c:v>
                </c:pt>
                <c:pt idx="30">
                  <c:v>98</c:v>
                </c:pt>
                <c:pt idx="31">
                  <c:v>90</c:v>
                </c:pt>
                <c:pt idx="32">
                  <c:v>91</c:v>
                </c:pt>
                <c:pt idx="33">
                  <c:v>90</c:v>
                </c:pt>
                <c:pt idx="34">
                  <c:v>105</c:v>
                </c:pt>
                <c:pt idx="35">
                  <c:v>93</c:v>
                </c:pt>
                <c:pt idx="36">
                  <c:v>68</c:v>
                </c:pt>
                <c:pt idx="37">
                  <c:v>73</c:v>
                </c:pt>
                <c:pt idx="38">
                  <c:v>80</c:v>
                </c:pt>
                <c:pt idx="39">
                  <c:v>105</c:v>
                </c:pt>
                <c:pt idx="40">
                  <c:v>89</c:v>
                </c:pt>
                <c:pt idx="4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D-4982-87FD-0C7E36145663}"/>
            </c:ext>
          </c:extLst>
        </c:ser>
        <c:ser>
          <c:idx val="2"/>
          <c:order val="2"/>
          <c:tx>
            <c:strRef>
              <c:f>'XFMR Data'!$BM$3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Data'!$BM$25:$BM$152</c:f>
              <c:numCache>
                <c:formatCode>0</c:formatCode>
                <c:ptCount val="128"/>
                <c:pt idx="0">
                  <c:v>90</c:v>
                </c:pt>
                <c:pt idx="1">
                  <c:v>90</c:v>
                </c:pt>
                <c:pt idx="2">
                  <c:v>54</c:v>
                </c:pt>
                <c:pt idx="3">
                  <c:v>96</c:v>
                </c:pt>
                <c:pt idx="4">
                  <c:v>67.2</c:v>
                </c:pt>
                <c:pt idx="5">
                  <c:v>75.599999999999994</c:v>
                </c:pt>
                <c:pt idx="6">
                  <c:v>70.8</c:v>
                </c:pt>
                <c:pt idx="7">
                  <c:v>52.8</c:v>
                </c:pt>
                <c:pt idx="8">
                  <c:v>78</c:v>
                </c:pt>
                <c:pt idx="9">
                  <c:v>93.6</c:v>
                </c:pt>
                <c:pt idx="10">
                  <c:v>111.6</c:v>
                </c:pt>
                <c:pt idx="11">
                  <c:v>139.19999999999999</c:v>
                </c:pt>
                <c:pt idx="12">
                  <c:v>133.19999999999999</c:v>
                </c:pt>
                <c:pt idx="13">
                  <c:v>102</c:v>
                </c:pt>
                <c:pt idx="14">
                  <c:v>68.399999999999991</c:v>
                </c:pt>
                <c:pt idx="15">
                  <c:v>78</c:v>
                </c:pt>
                <c:pt idx="16">
                  <c:v>44.4</c:v>
                </c:pt>
                <c:pt idx="17">
                  <c:v>56.4</c:v>
                </c:pt>
                <c:pt idx="18">
                  <c:v>67.2</c:v>
                </c:pt>
                <c:pt idx="19">
                  <c:v>102</c:v>
                </c:pt>
                <c:pt idx="20">
                  <c:v>154.79999999999998</c:v>
                </c:pt>
                <c:pt idx="21">
                  <c:v>79.2</c:v>
                </c:pt>
                <c:pt idx="22">
                  <c:v>76.8</c:v>
                </c:pt>
                <c:pt idx="23">
                  <c:v>92.399999999999991</c:v>
                </c:pt>
                <c:pt idx="24">
                  <c:v>85.2</c:v>
                </c:pt>
                <c:pt idx="25">
                  <c:v>121.19999999999999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D-4982-87FD-0C7E36145663}"/>
            </c:ext>
          </c:extLst>
        </c:ser>
        <c:ser>
          <c:idx val="3"/>
          <c:order val="3"/>
          <c:tx>
            <c:strRef>
              <c:f>'XFMR Data'!$BN$3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Data'!$BN$25:$BN$152</c:f>
              <c:numCache>
                <c:formatCode>0</c:formatCode>
                <c:ptCount val="128"/>
                <c:pt idx="0">
                  <c:v>115.50630399999997</c:v>
                </c:pt>
                <c:pt idx="1">
                  <c:v>115.50630399999997</c:v>
                </c:pt>
                <c:pt idx="2">
                  <c:v>119.66869333333332</c:v>
                </c:pt>
                <c:pt idx="3">
                  <c:v>120.96943999999996</c:v>
                </c:pt>
                <c:pt idx="4">
                  <c:v>125.49603839999997</c:v>
                </c:pt>
                <c:pt idx="5">
                  <c:v>126.17242666666662</c:v>
                </c:pt>
                <c:pt idx="6">
                  <c:v>128.77391999999998</c:v>
                </c:pt>
                <c:pt idx="7">
                  <c:v>130.33481599999999</c:v>
                </c:pt>
                <c:pt idx="8">
                  <c:v>127.47317333333332</c:v>
                </c:pt>
                <c:pt idx="9">
                  <c:v>129.03406933333332</c:v>
                </c:pt>
                <c:pt idx="10">
                  <c:v>129.03406933333332</c:v>
                </c:pt>
                <c:pt idx="11">
                  <c:v>132.41601066666664</c:v>
                </c:pt>
                <c:pt idx="12">
                  <c:v>138.91974399999998</c:v>
                </c:pt>
                <c:pt idx="13">
                  <c:v>144.64302933333332</c:v>
                </c:pt>
                <c:pt idx="14">
                  <c:v>159.73169066666662</c:v>
                </c:pt>
                <c:pt idx="15">
                  <c:v>168.31661866666664</c:v>
                </c:pt>
                <c:pt idx="16">
                  <c:v>169.35721599999997</c:v>
                </c:pt>
                <c:pt idx="17">
                  <c:v>167.27602133333332</c:v>
                </c:pt>
                <c:pt idx="18">
                  <c:v>163.89407999999997</c:v>
                </c:pt>
                <c:pt idx="19">
                  <c:v>163.37378133333331</c:v>
                </c:pt>
                <c:pt idx="20">
                  <c:v>158.17079466666661</c:v>
                </c:pt>
                <c:pt idx="21">
                  <c:v>152.70765866666662</c:v>
                </c:pt>
                <c:pt idx="22">
                  <c:v>155.5693013333333</c:v>
                </c:pt>
                <c:pt idx="23">
                  <c:v>163.11363199999994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D-4982-87FD-0C7E36145663}"/>
            </c:ext>
          </c:extLst>
        </c:ser>
        <c:ser>
          <c:idx val="4"/>
          <c:order val="4"/>
          <c:tx>
            <c:strRef>
              <c:f>'XFMR Data'!$BO$3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Data'!$BO$25:$BO$152</c:f>
              <c:numCache>
                <c:formatCode>0</c:formatCode>
                <c:ptCount val="128"/>
                <c:pt idx="0">
                  <c:v>144.53125</c:v>
                </c:pt>
                <c:pt idx="1">
                  <c:v>144.53125</c:v>
                </c:pt>
                <c:pt idx="2">
                  <c:v>149.73958333333337</c:v>
                </c:pt>
                <c:pt idx="3">
                  <c:v>151.3671875</c:v>
                </c:pt>
                <c:pt idx="4">
                  <c:v>157.03125</c:v>
                </c:pt>
                <c:pt idx="5">
                  <c:v>157.87760416666663</c:v>
                </c:pt>
                <c:pt idx="6">
                  <c:v>161.1328125</c:v>
                </c:pt>
                <c:pt idx="7">
                  <c:v>163.0859375</c:v>
                </c:pt>
                <c:pt idx="8">
                  <c:v>159.50520833333337</c:v>
                </c:pt>
                <c:pt idx="9">
                  <c:v>161.45833333333337</c:v>
                </c:pt>
                <c:pt idx="10">
                  <c:v>161.45833333333337</c:v>
                </c:pt>
                <c:pt idx="11">
                  <c:v>165.69010416666663</c:v>
                </c:pt>
                <c:pt idx="12">
                  <c:v>173.828125</c:v>
                </c:pt>
                <c:pt idx="13">
                  <c:v>180.98958333333337</c:v>
                </c:pt>
                <c:pt idx="14">
                  <c:v>199.86979166666663</c:v>
                </c:pt>
                <c:pt idx="15">
                  <c:v>210.61197916666663</c:v>
                </c:pt>
                <c:pt idx="16">
                  <c:v>211.9140625</c:v>
                </c:pt>
                <c:pt idx="17">
                  <c:v>209.30989583333337</c:v>
                </c:pt>
                <c:pt idx="18">
                  <c:v>205.078125</c:v>
                </c:pt>
                <c:pt idx="19">
                  <c:v>204.42708333333337</c:v>
                </c:pt>
                <c:pt idx="20">
                  <c:v>197.91666666666663</c:v>
                </c:pt>
                <c:pt idx="21">
                  <c:v>191.08072916666663</c:v>
                </c:pt>
                <c:pt idx="22">
                  <c:v>194.66145833333337</c:v>
                </c:pt>
                <c:pt idx="23">
                  <c:v>204.1015625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D-4982-87FD-0C7E36145663}"/>
            </c:ext>
          </c:extLst>
        </c:ser>
        <c:ser>
          <c:idx val="5"/>
          <c:order val="5"/>
          <c:tx>
            <c:strRef>
              <c:f>'XFMR Data'!$BP$3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Data'!$BP$25:$BP$152</c:f>
              <c:numCache>
                <c:formatCode>0</c:formatCode>
                <c:ptCount val="128"/>
                <c:pt idx="0">
                  <c:v>127.87199999999999</c:v>
                </c:pt>
                <c:pt idx="1">
                  <c:v>127.87199999999999</c:v>
                </c:pt>
                <c:pt idx="2">
                  <c:v>132.47999999999999</c:v>
                </c:pt>
                <c:pt idx="3">
                  <c:v>133.91999999999999</c:v>
                </c:pt>
                <c:pt idx="4">
                  <c:v>138.93119999999999</c:v>
                </c:pt>
                <c:pt idx="5">
                  <c:v>139.67999999999998</c:v>
                </c:pt>
                <c:pt idx="6">
                  <c:v>142.56</c:v>
                </c:pt>
                <c:pt idx="7">
                  <c:v>144.28799999999998</c:v>
                </c:pt>
                <c:pt idx="8">
                  <c:v>141.11999999999998</c:v>
                </c:pt>
                <c:pt idx="9">
                  <c:v>142.84799999999998</c:v>
                </c:pt>
                <c:pt idx="10">
                  <c:v>142.84799999999998</c:v>
                </c:pt>
                <c:pt idx="11">
                  <c:v>146.59199999999998</c:v>
                </c:pt>
                <c:pt idx="12">
                  <c:v>153.792</c:v>
                </c:pt>
                <c:pt idx="13">
                  <c:v>160.12799999999999</c:v>
                </c:pt>
                <c:pt idx="14">
                  <c:v>176.83199999999997</c:v>
                </c:pt>
                <c:pt idx="15">
                  <c:v>186.33599999999996</c:v>
                </c:pt>
                <c:pt idx="16">
                  <c:v>187.48799999999997</c:v>
                </c:pt>
                <c:pt idx="17">
                  <c:v>185.184</c:v>
                </c:pt>
                <c:pt idx="18">
                  <c:v>181.43999999999997</c:v>
                </c:pt>
                <c:pt idx="19">
                  <c:v>180.864</c:v>
                </c:pt>
                <c:pt idx="20">
                  <c:v>175.10399999999998</c:v>
                </c:pt>
                <c:pt idx="21">
                  <c:v>169.05599999999998</c:v>
                </c:pt>
                <c:pt idx="22">
                  <c:v>172.22399999999996</c:v>
                </c:pt>
                <c:pt idx="23">
                  <c:v>180.57599999999999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D-4982-87FD-0C7E36145663}"/>
            </c:ext>
          </c:extLst>
        </c:ser>
        <c:ser>
          <c:idx val="6"/>
          <c:order val="6"/>
          <c:tx>
            <c:strRef>
              <c:f>'AM Benches Data'!$EQ$3</c:f>
              <c:strCache>
                <c:ptCount val="1"/>
                <c:pt idx="0">
                  <c:v>Ideal 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'AM Benches Data'!$EQ$5:$EQ$52</c:f>
              <c:numCache>
                <c:formatCode>0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D-4982-87FD-0C7E3614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'XFMR Data'!$A$5:$A$162</c15:sqref>
                        </c15:formulaRef>
                      </c:ext>
                    </c:extLst>
                    <c:numCache>
                      <c:formatCode>m/d/yyyy</c:formatCode>
                      <c:ptCount val="15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  <c:pt idx="48">
                        <c:v>44617</c:v>
                      </c:pt>
                      <c:pt idx="49">
                        <c:v>44650</c:v>
                      </c:pt>
                      <c:pt idx="50">
                        <c:v>44691</c:v>
                      </c:pt>
                      <c:pt idx="51">
                        <c:v>44714</c:v>
                      </c:pt>
                      <c:pt idx="52">
                        <c:v>44753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44838</c:v>
                      </c:pt>
                      <c:pt idx="56">
                        <c:v>44868</c:v>
                      </c:pt>
                      <c:pt idx="57">
                        <c:v>44908</c:v>
                      </c:pt>
                      <c:pt idx="58">
                        <c:v>44965</c:v>
                      </c:pt>
                      <c:pt idx="59">
                        <c:v>44992</c:v>
                      </c:pt>
                      <c:pt idx="60">
                        <c:v>45020</c:v>
                      </c:pt>
                      <c:pt idx="61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6AD-4982-87FD-0C7E36145663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607 - Sipro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'XFMR Data'!$B$3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Data'!$B$25:$B$162</c:f>
              <c:numCache>
                <c:formatCode>0</c:formatCode>
                <c:ptCount val="138"/>
                <c:pt idx="0">
                  <c:v>80</c:v>
                </c:pt>
                <c:pt idx="1">
                  <c:v>72</c:v>
                </c:pt>
                <c:pt idx="2">
                  <c:v>80</c:v>
                </c:pt>
                <c:pt idx="3">
                  <c:v>77</c:v>
                </c:pt>
                <c:pt idx="4">
                  <c:v>84</c:v>
                </c:pt>
                <c:pt idx="5">
                  <c:v>84</c:v>
                </c:pt>
                <c:pt idx="6">
                  <c:v>82</c:v>
                </c:pt>
                <c:pt idx="7">
                  <c:v>79</c:v>
                </c:pt>
                <c:pt idx="8">
                  <c:v>68</c:v>
                </c:pt>
                <c:pt idx="9">
                  <c:v>75</c:v>
                </c:pt>
                <c:pt idx="10">
                  <c:v>82</c:v>
                </c:pt>
                <c:pt idx="11">
                  <c:v>80</c:v>
                </c:pt>
                <c:pt idx="12">
                  <c:v>88</c:v>
                </c:pt>
                <c:pt idx="13">
                  <c:v>117</c:v>
                </c:pt>
                <c:pt idx="14">
                  <c:v>154</c:v>
                </c:pt>
                <c:pt idx="15">
                  <c:v>140</c:v>
                </c:pt>
                <c:pt idx="16">
                  <c:v>136</c:v>
                </c:pt>
                <c:pt idx="17">
                  <c:v>132</c:v>
                </c:pt>
                <c:pt idx="18">
                  <c:v>83</c:v>
                </c:pt>
                <c:pt idx="19">
                  <c:v>86</c:v>
                </c:pt>
                <c:pt idx="20">
                  <c:v>127</c:v>
                </c:pt>
                <c:pt idx="21">
                  <c:v>91</c:v>
                </c:pt>
                <c:pt idx="22">
                  <c:v>62</c:v>
                </c:pt>
                <c:pt idx="23">
                  <c:v>71</c:v>
                </c:pt>
                <c:pt idx="24">
                  <c:v>72</c:v>
                </c:pt>
                <c:pt idx="25">
                  <c:v>59</c:v>
                </c:pt>
                <c:pt idx="26">
                  <c:v>74</c:v>
                </c:pt>
                <c:pt idx="27">
                  <c:v>71</c:v>
                </c:pt>
                <c:pt idx="28">
                  <c:v>73</c:v>
                </c:pt>
                <c:pt idx="29">
                  <c:v>67</c:v>
                </c:pt>
                <c:pt idx="30">
                  <c:v>65</c:v>
                </c:pt>
                <c:pt idx="31">
                  <c:v>61</c:v>
                </c:pt>
                <c:pt idx="32">
                  <c:v>51</c:v>
                </c:pt>
                <c:pt idx="33">
                  <c:v>43</c:v>
                </c:pt>
                <c:pt idx="34">
                  <c:v>46</c:v>
                </c:pt>
                <c:pt idx="35">
                  <c:v>38</c:v>
                </c:pt>
                <c:pt idx="36">
                  <c:v>27</c:v>
                </c:pt>
                <c:pt idx="37">
                  <c:v>25</c:v>
                </c:pt>
                <c:pt idx="38">
                  <c:v>69</c:v>
                </c:pt>
                <c:pt idx="39">
                  <c:v>65</c:v>
                </c:pt>
                <c:pt idx="40">
                  <c:v>76</c:v>
                </c:pt>
                <c:pt idx="4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0-4CC5-8817-D1CF8A34FDE2}"/>
            </c:ext>
          </c:extLst>
        </c:ser>
        <c:ser>
          <c:idx val="2"/>
          <c:order val="2"/>
          <c:tx>
            <c:strRef>
              <c:f>'XFMR Data'!$AI$3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Data'!$AI$25:$AI$162</c:f>
              <c:numCache>
                <c:formatCode>0</c:formatCode>
                <c:ptCount val="138"/>
                <c:pt idx="0">
                  <c:v>97.2</c:v>
                </c:pt>
                <c:pt idx="1">
                  <c:v>97.2</c:v>
                </c:pt>
                <c:pt idx="2">
                  <c:v>46.8</c:v>
                </c:pt>
                <c:pt idx="3">
                  <c:v>96</c:v>
                </c:pt>
                <c:pt idx="4">
                  <c:v>73.2</c:v>
                </c:pt>
                <c:pt idx="5">
                  <c:v>75.599999999999994</c:v>
                </c:pt>
                <c:pt idx="6">
                  <c:v>79.2</c:v>
                </c:pt>
                <c:pt idx="7">
                  <c:v>52.8</c:v>
                </c:pt>
                <c:pt idx="8">
                  <c:v>86.399999999999991</c:v>
                </c:pt>
                <c:pt idx="9">
                  <c:v>84</c:v>
                </c:pt>
                <c:pt idx="10">
                  <c:v>99.6</c:v>
                </c:pt>
                <c:pt idx="11">
                  <c:v>115.19999999999999</c:v>
                </c:pt>
                <c:pt idx="12">
                  <c:v>111.6</c:v>
                </c:pt>
                <c:pt idx="13">
                  <c:v>93.6</c:v>
                </c:pt>
                <c:pt idx="14">
                  <c:v>87.6</c:v>
                </c:pt>
                <c:pt idx="15">
                  <c:v>108</c:v>
                </c:pt>
                <c:pt idx="16">
                  <c:v>63.599999999999994</c:v>
                </c:pt>
                <c:pt idx="17">
                  <c:v>72</c:v>
                </c:pt>
                <c:pt idx="18">
                  <c:v>51.6</c:v>
                </c:pt>
                <c:pt idx="19">
                  <c:v>0</c:v>
                </c:pt>
                <c:pt idx="20">
                  <c:v>188.4</c:v>
                </c:pt>
                <c:pt idx="21">
                  <c:v>73.2</c:v>
                </c:pt>
                <c:pt idx="22">
                  <c:v>48</c:v>
                </c:pt>
                <c:pt idx="2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0-4CC5-8817-D1CF8A34FDE2}"/>
            </c:ext>
          </c:extLst>
        </c:ser>
        <c:ser>
          <c:idx val="3"/>
          <c:order val="3"/>
          <c:tx>
            <c:strRef>
              <c:f>'XFMR Data'!$AJ$3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Data'!$AJ$25:$AJ$162</c:f>
              <c:numCache>
                <c:formatCode>0</c:formatCode>
                <c:ptCount val="138"/>
                <c:pt idx="0">
                  <c:v>124.87167999999998</c:v>
                </c:pt>
                <c:pt idx="1">
                  <c:v>118.62809599999999</c:v>
                </c:pt>
                <c:pt idx="2">
                  <c:v>120.70929066666663</c:v>
                </c:pt>
                <c:pt idx="3">
                  <c:v>120.57921599999999</c:v>
                </c:pt>
                <c:pt idx="4">
                  <c:v>122.68642559999996</c:v>
                </c:pt>
                <c:pt idx="5">
                  <c:v>124.09123199999998</c:v>
                </c:pt>
                <c:pt idx="6">
                  <c:v>124.61153066666664</c:v>
                </c:pt>
                <c:pt idx="7">
                  <c:v>126.43257599999997</c:v>
                </c:pt>
                <c:pt idx="8">
                  <c:v>123.31078399999998</c:v>
                </c:pt>
                <c:pt idx="9">
                  <c:v>122.79048533333332</c:v>
                </c:pt>
                <c:pt idx="10">
                  <c:v>122.27018666666665</c:v>
                </c:pt>
                <c:pt idx="11">
                  <c:v>121.22958933333331</c:v>
                </c:pt>
                <c:pt idx="12">
                  <c:v>122.79048533333332</c:v>
                </c:pt>
                <c:pt idx="13">
                  <c:v>132.67615999999998</c:v>
                </c:pt>
                <c:pt idx="14">
                  <c:v>155.04900266666664</c:v>
                </c:pt>
                <c:pt idx="15">
                  <c:v>171.9587093333333</c:v>
                </c:pt>
                <c:pt idx="16">
                  <c:v>186.00677333333329</c:v>
                </c:pt>
                <c:pt idx="17">
                  <c:v>199.53453866666663</c:v>
                </c:pt>
                <c:pt idx="18">
                  <c:v>198.23379199999994</c:v>
                </c:pt>
                <c:pt idx="19">
                  <c:v>190.16916266666661</c:v>
                </c:pt>
                <c:pt idx="20">
                  <c:v>183.14513066666663</c:v>
                </c:pt>
                <c:pt idx="21">
                  <c:v>170.39781333333329</c:v>
                </c:pt>
                <c:pt idx="22">
                  <c:v>151.14676266666663</c:v>
                </c:pt>
                <c:pt idx="23">
                  <c:v>135.27765333333332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0-4CC5-8817-D1CF8A34FDE2}"/>
            </c:ext>
          </c:extLst>
        </c:ser>
        <c:ser>
          <c:idx val="4"/>
          <c:order val="4"/>
          <c:tx>
            <c:strRef>
              <c:f>'XFMR Data'!$AK$3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Data'!$AK$25:$AK$162</c:f>
              <c:numCache>
                <c:formatCode>0</c:formatCode>
                <c:ptCount val="138"/>
                <c:pt idx="0">
                  <c:v>156.25</c:v>
                </c:pt>
                <c:pt idx="1">
                  <c:v>148.4375</c:v>
                </c:pt>
                <c:pt idx="2">
                  <c:v>151.04166666666663</c:v>
                </c:pt>
                <c:pt idx="3">
                  <c:v>150.87890625</c:v>
                </c:pt>
                <c:pt idx="4">
                  <c:v>153.515625</c:v>
                </c:pt>
                <c:pt idx="5">
                  <c:v>155.2734375</c:v>
                </c:pt>
                <c:pt idx="6">
                  <c:v>155.92447916666663</c:v>
                </c:pt>
                <c:pt idx="7">
                  <c:v>158.203125</c:v>
                </c:pt>
                <c:pt idx="8">
                  <c:v>154.296875</c:v>
                </c:pt>
                <c:pt idx="9">
                  <c:v>153.64583333333337</c:v>
                </c:pt>
                <c:pt idx="10">
                  <c:v>152.99479166666663</c:v>
                </c:pt>
                <c:pt idx="11">
                  <c:v>151.69270833333337</c:v>
                </c:pt>
                <c:pt idx="12">
                  <c:v>153.64583333333337</c:v>
                </c:pt>
                <c:pt idx="13">
                  <c:v>166.015625</c:v>
                </c:pt>
                <c:pt idx="14">
                  <c:v>194.01041666666663</c:v>
                </c:pt>
                <c:pt idx="15">
                  <c:v>215.16927083333337</c:v>
                </c:pt>
                <c:pt idx="16">
                  <c:v>232.74739583333337</c:v>
                </c:pt>
                <c:pt idx="17">
                  <c:v>249.67447916666663</c:v>
                </c:pt>
                <c:pt idx="18">
                  <c:v>248.046875</c:v>
                </c:pt>
                <c:pt idx="19">
                  <c:v>237.95572916666663</c:v>
                </c:pt>
                <c:pt idx="20">
                  <c:v>229.16666666666663</c:v>
                </c:pt>
                <c:pt idx="21">
                  <c:v>213.21614583333337</c:v>
                </c:pt>
                <c:pt idx="22">
                  <c:v>189.12760416666663</c:v>
                </c:pt>
                <c:pt idx="23">
                  <c:v>169.27083333333337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0-4CC5-8817-D1CF8A34FDE2}"/>
            </c:ext>
          </c:extLst>
        </c:ser>
        <c:ser>
          <c:idx val="5"/>
          <c:order val="5"/>
          <c:tx>
            <c:strRef>
              <c:f>'XFMR Data'!$AL$3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Data'!$AL$25:$AL$162</c:f>
              <c:numCache>
                <c:formatCode>0</c:formatCode>
                <c:ptCount val="138"/>
                <c:pt idx="0">
                  <c:v>138.23999999999998</c:v>
                </c:pt>
                <c:pt idx="1">
                  <c:v>131.328</c:v>
                </c:pt>
                <c:pt idx="2">
                  <c:v>133.63200000000001</c:v>
                </c:pt>
                <c:pt idx="3">
                  <c:v>133.488</c:v>
                </c:pt>
                <c:pt idx="4">
                  <c:v>135.82079999999996</c:v>
                </c:pt>
                <c:pt idx="5">
                  <c:v>137.37599999999998</c:v>
                </c:pt>
                <c:pt idx="6">
                  <c:v>137.952</c:v>
                </c:pt>
                <c:pt idx="7">
                  <c:v>139.96799999999999</c:v>
                </c:pt>
                <c:pt idx="8">
                  <c:v>136.51199999999997</c:v>
                </c:pt>
                <c:pt idx="9">
                  <c:v>135.93600000000001</c:v>
                </c:pt>
                <c:pt idx="10">
                  <c:v>135.35999999999999</c:v>
                </c:pt>
                <c:pt idx="11">
                  <c:v>134.208</c:v>
                </c:pt>
                <c:pt idx="12">
                  <c:v>135.93600000000001</c:v>
                </c:pt>
                <c:pt idx="13">
                  <c:v>146.88</c:v>
                </c:pt>
                <c:pt idx="14">
                  <c:v>171.648</c:v>
                </c:pt>
                <c:pt idx="15">
                  <c:v>190.36799999999997</c:v>
                </c:pt>
                <c:pt idx="16">
                  <c:v>205.92</c:v>
                </c:pt>
                <c:pt idx="17">
                  <c:v>220.89599999999993</c:v>
                </c:pt>
                <c:pt idx="18">
                  <c:v>219.45599999999999</c:v>
                </c:pt>
                <c:pt idx="19">
                  <c:v>210.52799999999996</c:v>
                </c:pt>
                <c:pt idx="20">
                  <c:v>202.75199999999998</c:v>
                </c:pt>
                <c:pt idx="21">
                  <c:v>188.64</c:v>
                </c:pt>
                <c:pt idx="22">
                  <c:v>167.32799999999995</c:v>
                </c:pt>
                <c:pt idx="23">
                  <c:v>149.76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0-4CC5-8817-D1CF8A34FDE2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0-4CC5-8817-D1CF8A34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'XFMR Data'!$A$5:$A$162</c15:sqref>
                        </c15:formulaRef>
                      </c:ext>
                    </c:extLst>
                    <c:numCache>
                      <c:formatCode>m/d/yyyy</c:formatCode>
                      <c:ptCount val="15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  <c:pt idx="48">
                        <c:v>44617</c:v>
                      </c:pt>
                      <c:pt idx="49">
                        <c:v>44650</c:v>
                      </c:pt>
                      <c:pt idx="50">
                        <c:v>44691</c:v>
                      </c:pt>
                      <c:pt idx="51">
                        <c:v>44714</c:v>
                      </c:pt>
                      <c:pt idx="52">
                        <c:v>44753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44838</c:v>
                      </c:pt>
                      <c:pt idx="56">
                        <c:v>44868</c:v>
                      </c:pt>
                      <c:pt idx="57">
                        <c:v>44908</c:v>
                      </c:pt>
                      <c:pt idx="58">
                        <c:v>44965</c:v>
                      </c:pt>
                      <c:pt idx="59">
                        <c:v>44992</c:v>
                      </c:pt>
                      <c:pt idx="60">
                        <c:v>45020</c:v>
                      </c:pt>
                      <c:pt idx="61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D70-4CC5-8817-D1CF8A34FDE2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 Pooled Labour - Excluding</a:t>
            </a:r>
            <a:r>
              <a:rPr lang="en-US" baseline="0"/>
              <a:t> Type 1 Cabinet Room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 Benches Data'!$EM$3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Data'!$AL$5:$AL$52</c:f>
              <c:numCache>
                <c:formatCode>General</c:formatCode>
                <c:ptCount val="48"/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90</c:v>
                </c:pt>
                <c:pt idx="23">
                  <c:v>100</c:v>
                </c:pt>
                <c:pt idx="24">
                  <c:v>91</c:v>
                </c:pt>
                <c:pt idx="25">
                  <c:v>101</c:v>
                </c:pt>
                <c:pt idx="26">
                  <c:v>99</c:v>
                </c:pt>
                <c:pt idx="27">
                  <c:v>89</c:v>
                </c:pt>
                <c:pt idx="28">
                  <c:v>98</c:v>
                </c:pt>
                <c:pt idx="29">
                  <c:v>105</c:v>
                </c:pt>
                <c:pt idx="30">
                  <c:v>122</c:v>
                </c:pt>
                <c:pt idx="31">
                  <c:v>105</c:v>
                </c:pt>
                <c:pt idx="32">
                  <c:v>83</c:v>
                </c:pt>
                <c:pt idx="33">
                  <c:v>85</c:v>
                </c:pt>
                <c:pt idx="34">
                  <c:v>102</c:v>
                </c:pt>
                <c:pt idx="35">
                  <c:v>103</c:v>
                </c:pt>
                <c:pt idx="36">
                  <c:v>100</c:v>
                </c:pt>
                <c:pt idx="37">
                  <c:v>102</c:v>
                </c:pt>
                <c:pt idx="38">
                  <c:v>99</c:v>
                </c:pt>
                <c:pt idx="39">
                  <c:v>100</c:v>
                </c:pt>
                <c:pt idx="40">
                  <c:v>158</c:v>
                </c:pt>
                <c:pt idx="41">
                  <c:v>146</c:v>
                </c:pt>
                <c:pt idx="42">
                  <c:v>135</c:v>
                </c:pt>
                <c:pt idx="43">
                  <c:v>104</c:v>
                </c:pt>
                <c:pt idx="44">
                  <c:v>102</c:v>
                </c:pt>
                <c:pt idx="45">
                  <c:v>105</c:v>
                </c:pt>
                <c:pt idx="4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7-4918-9A6E-82BA6A3035A4}"/>
            </c:ext>
          </c:extLst>
        </c:ser>
        <c:ser>
          <c:idx val="1"/>
          <c:order val="1"/>
          <c:tx>
            <c:strRef>
              <c:f>'SEC Benches Data'!$EN$3</c:f>
              <c:strCache>
                <c:ptCount val="1"/>
                <c:pt idx="0">
                  <c:v>14 - 26 Wks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  <c:extLst xmlns:c15="http://schemas.microsoft.com/office/drawing/2012/chart"/>
            </c:numRef>
          </c:cat>
          <c:val>
            <c:numRef>
              <c:f>'SEC Benches Data'!$EN$5:$EN$26</c:f>
              <c:numCache>
                <c:formatCode>0</c:formatCode>
                <c:ptCount val="22"/>
                <c:pt idx="19">
                  <c:v>46</c:v>
                </c:pt>
                <c:pt idx="20">
                  <c:v>46.375</c:v>
                </c:pt>
                <c:pt idx="21">
                  <c:v>51.25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AB7-4918-9A6E-82BA6A3035A4}"/>
            </c:ext>
          </c:extLst>
        </c:ser>
        <c:ser>
          <c:idx val="2"/>
          <c:order val="2"/>
          <c:tx>
            <c:strRef>
              <c:f>'SEC Benches Data'!$EO$3</c:f>
              <c:strCache>
                <c:ptCount val="1"/>
                <c:pt idx="0">
                  <c:v>14 - 26 Wks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Data'!$HQ$5:$HQ$52</c:f>
              <c:numCache>
                <c:formatCode>General</c:formatCode>
                <c:ptCount val="48"/>
                <c:pt idx="19">
                  <c:v>88</c:v>
                </c:pt>
                <c:pt idx="20">
                  <c:v>88</c:v>
                </c:pt>
                <c:pt idx="21">
                  <c:v>92</c:v>
                </c:pt>
                <c:pt idx="22">
                  <c:v>90</c:v>
                </c:pt>
                <c:pt idx="23">
                  <c:v>89</c:v>
                </c:pt>
                <c:pt idx="24">
                  <c:v>85</c:v>
                </c:pt>
                <c:pt idx="25">
                  <c:v>72</c:v>
                </c:pt>
                <c:pt idx="26">
                  <c:v>72</c:v>
                </c:pt>
                <c:pt idx="27">
                  <c:v>69</c:v>
                </c:pt>
                <c:pt idx="28">
                  <c:v>81</c:v>
                </c:pt>
                <c:pt idx="29">
                  <c:v>115</c:v>
                </c:pt>
                <c:pt idx="30">
                  <c:v>115</c:v>
                </c:pt>
                <c:pt idx="31">
                  <c:v>79</c:v>
                </c:pt>
                <c:pt idx="32">
                  <c:v>88</c:v>
                </c:pt>
                <c:pt idx="33">
                  <c:v>88</c:v>
                </c:pt>
                <c:pt idx="34">
                  <c:v>102</c:v>
                </c:pt>
                <c:pt idx="35">
                  <c:v>84</c:v>
                </c:pt>
                <c:pt idx="36">
                  <c:v>97</c:v>
                </c:pt>
                <c:pt idx="37">
                  <c:v>85</c:v>
                </c:pt>
                <c:pt idx="38">
                  <c:v>90</c:v>
                </c:pt>
                <c:pt idx="39">
                  <c:v>101</c:v>
                </c:pt>
                <c:pt idx="40">
                  <c:v>159</c:v>
                </c:pt>
                <c:pt idx="41">
                  <c:v>101</c:v>
                </c:pt>
                <c:pt idx="42">
                  <c:v>65</c:v>
                </c:pt>
                <c:pt idx="43">
                  <c:v>74</c:v>
                </c:pt>
                <c:pt idx="44">
                  <c:v>81</c:v>
                </c:pt>
                <c:pt idx="4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7-4918-9A6E-82BA6A3035A4}"/>
            </c:ext>
          </c:extLst>
        </c:ser>
        <c:ser>
          <c:idx val="3"/>
          <c:order val="3"/>
          <c:tx>
            <c:strRef>
              <c:f>'SEC Benches Data'!$EP$3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Data'!$HR$5:$HR$52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123.31078399999998</c:v>
                </c:pt>
                <c:pt idx="20">
                  <c:v>123.31078399999998</c:v>
                </c:pt>
                <c:pt idx="21">
                  <c:v>123.31078399999998</c:v>
                </c:pt>
                <c:pt idx="22">
                  <c:v>127.60324799999998</c:v>
                </c:pt>
                <c:pt idx="23">
                  <c:v>133.30051839999996</c:v>
                </c:pt>
                <c:pt idx="24">
                  <c:v>134.75735466666666</c:v>
                </c:pt>
                <c:pt idx="25">
                  <c:v>140.48063999999997</c:v>
                </c:pt>
                <c:pt idx="26">
                  <c:v>145.68362666666661</c:v>
                </c:pt>
                <c:pt idx="27">
                  <c:v>148.28511999999998</c:v>
                </c:pt>
                <c:pt idx="28">
                  <c:v>150.36631466666663</c:v>
                </c:pt>
                <c:pt idx="29">
                  <c:v>151.66706133333329</c:v>
                </c:pt>
                <c:pt idx="30">
                  <c:v>159.73169066666662</c:v>
                </c:pt>
                <c:pt idx="31">
                  <c:v>160.77228799999995</c:v>
                </c:pt>
                <c:pt idx="32">
                  <c:v>156.60989866666662</c:v>
                </c:pt>
                <c:pt idx="33">
                  <c:v>155.5693013333333</c:v>
                </c:pt>
                <c:pt idx="34">
                  <c:v>156.60989866666662</c:v>
                </c:pt>
                <c:pt idx="35">
                  <c:v>156.08959999999996</c:v>
                </c:pt>
                <c:pt idx="36">
                  <c:v>150.36631466666663</c:v>
                </c:pt>
                <c:pt idx="37">
                  <c:v>149.58586666666665</c:v>
                </c:pt>
                <c:pt idx="38">
                  <c:v>153.74825599999997</c:v>
                </c:pt>
                <c:pt idx="39">
                  <c:v>157.65049599999998</c:v>
                </c:pt>
                <c:pt idx="40">
                  <c:v>172.21885866666662</c:v>
                </c:pt>
                <c:pt idx="41">
                  <c:v>183.40527999999995</c:v>
                </c:pt>
                <c:pt idx="42">
                  <c:v>192.51050666666663</c:v>
                </c:pt>
                <c:pt idx="43">
                  <c:v>193.03080533333329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7-4918-9A6E-82BA6A3035A4}"/>
            </c:ext>
          </c:extLst>
        </c:ser>
        <c:ser>
          <c:idx val="4"/>
          <c:order val="4"/>
          <c:tx>
            <c:strRef>
              <c:f>'SEC Benches Data'!$EQ$3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Data'!$HS$5:$HS$52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154.296875</c:v>
                </c:pt>
                <c:pt idx="20">
                  <c:v>154.296875</c:v>
                </c:pt>
                <c:pt idx="21">
                  <c:v>154.296875</c:v>
                </c:pt>
                <c:pt idx="22">
                  <c:v>159.66796875</c:v>
                </c:pt>
                <c:pt idx="23">
                  <c:v>166.796875</c:v>
                </c:pt>
                <c:pt idx="24">
                  <c:v>168.61979166666663</c:v>
                </c:pt>
                <c:pt idx="25">
                  <c:v>175.78125</c:v>
                </c:pt>
                <c:pt idx="26">
                  <c:v>182.29166666666663</c:v>
                </c:pt>
                <c:pt idx="27">
                  <c:v>185.546875</c:v>
                </c:pt>
                <c:pt idx="28">
                  <c:v>188.15104166666663</c:v>
                </c:pt>
                <c:pt idx="29">
                  <c:v>189.77864583333337</c:v>
                </c:pt>
                <c:pt idx="30">
                  <c:v>199.86979166666663</c:v>
                </c:pt>
                <c:pt idx="31">
                  <c:v>201.171875</c:v>
                </c:pt>
                <c:pt idx="32">
                  <c:v>195.96354166666663</c:v>
                </c:pt>
                <c:pt idx="33">
                  <c:v>194.66145833333337</c:v>
                </c:pt>
                <c:pt idx="34">
                  <c:v>195.96354166666663</c:v>
                </c:pt>
                <c:pt idx="35">
                  <c:v>195.3125</c:v>
                </c:pt>
                <c:pt idx="36">
                  <c:v>188.15104166666663</c:v>
                </c:pt>
                <c:pt idx="37">
                  <c:v>187.17447916666663</c:v>
                </c:pt>
                <c:pt idx="38">
                  <c:v>192.3828125</c:v>
                </c:pt>
                <c:pt idx="39">
                  <c:v>197.265625</c:v>
                </c:pt>
                <c:pt idx="40">
                  <c:v>215.49479166666663</c:v>
                </c:pt>
                <c:pt idx="41">
                  <c:v>229.4921875</c:v>
                </c:pt>
                <c:pt idx="42">
                  <c:v>240.88541666666663</c:v>
                </c:pt>
                <c:pt idx="43">
                  <c:v>241.53645833333337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7-4918-9A6E-82BA6A3035A4}"/>
            </c:ext>
          </c:extLst>
        </c:ser>
        <c:ser>
          <c:idx val="5"/>
          <c:order val="5"/>
          <c:tx>
            <c:strRef>
              <c:f>'SEC Benches Data'!$ER$3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Data'!$HT$5:$HT$52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136.51199999999997</c:v>
                </c:pt>
                <c:pt idx="20">
                  <c:v>136.51199999999997</c:v>
                </c:pt>
                <c:pt idx="21">
                  <c:v>136.51199999999997</c:v>
                </c:pt>
                <c:pt idx="22">
                  <c:v>141.26399999999998</c:v>
                </c:pt>
                <c:pt idx="23">
                  <c:v>147.5712</c:v>
                </c:pt>
                <c:pt idx="24">
                  <c:v>149.184</c:v>
                </c:pt>
                <c:pt idx="25">
                  <c:v>155.51999999999998</c:v>
                </c:pt>
                <c:pt idx="26">
                  <c:v>161.27999999999997</c:v>
                </c:pt>
                <c:pt idx="27">
                  <c:v>164.15999999999997</c:v>
                </c:pt>
                <c:pt idx="28">
                  <c:v>166.464</c:v>
                </c:pt>
                <c:pt idx="29">
                  <c:v>167.90399999999997</c:v>
                </c:pt>
                <c:pt idx="30">
                  <c:v>176.83199999999997</c:v>
                </c:pt>
                <c:pt idx="31">
                  <c:v>177.98399999999998</c:v>
                </c:pt>
                <c:pt idx="32">
                  <c:v>173.37599999999998</c:v>
                </c:pt>
                <c:pt idx="33">
                  <c:v>172.22399999999996</c:v>
                </c:pt>
                <c:pt idx="34">
                  <c:v>173.37599999999998</c:v>
                </c:pt>
                <c:pt idx="35">
                  <c:v>172.79999999999998</c:v>
                </c:pt>
                <c:pt idx="36">
                  <c:v>166.464</c:v>
                </c:pt>
                <c:pt idx="37">
                  <c:v>165.59999999999997</c:v>
                </c:pt>
                <c:pt idx="38">
                  <c:v>170.20799999999997</c:v>
                </c:pt>
                <c:pt idx="39">
                  <c:v>174.52799999999996</c:v>
                </c:pt>
                <c:pt idx="40">
                  <c:v>190.65599999999995</c:v>
                </c:pt>
                <c:pt idx="41">
                  <c:v>203.04</c:v>
                </c:pt>
                <c:pt idx="42">
                  <c:v>213.11999999999998</c:v>
                </c:pt>
                <c:pt idx="43">
                  <c:v>213.696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7-4918-9A6E-82BA6A3035A4}"/>
            </c:ext>
          </c:extLst>
        </c:ser>
        <c:ser>
          <c:idx val="6"/>
          <c:order val="6"/>
          <c:tx>
            <c:strRef>
              <c:f>'SEC Benches Data'!$HU$3</c:f>
              <c:strCache>
                <c:ptCount val="1"/>
                <c:pt idx="0">
                  <c:v>Ideal Target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Data'!$HU$5:$HU$52</c:f>
              <c:numCache>
                <c:formatCode>0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7-41DC-8917-0722C3554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330912"/>
        <c:axId val="566346368"/>
        <c:extLst/>
      </c:lineChart>
      <c:dateAx>
        <c:axId val="568330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6368"/>
        <c:crosses val="autoZero"/>
        <c:auto val="1"/>
        <c:lblOffset val="100"/>
        <c:baseTimeUnit val="days"/>
      </c:dateAx>
      <c:valAx>
        <c:axId val="566346368"/>
        <c:scaling>
          <c:orientation val="minMax"/>
          <c:max val="22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625 - BOO51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'XFMR Data'!$C$3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Data'!$C$25:$C$162</c:f>
              <c:numCache>
                <c:formatCode>0</c:formatCode>
                <c:ptCount val="138"/>
                <c:pt idx="0">
                  <c:v>53</c:v>
                </c:pt>
                <c:pt idx="1">
                  <c:v>46</c:v>
                </c:pt>
                <c:pt idx="2">
                  <c:v>48</c:v>
                </c:pt>
                <c:pt idx="3">
                  <c:v>46</c:v>
                </c:pt>
                <c:pt idx="4">
                  <c:v>55</c:v>
                </c:pt>
                <c:pt idx="5">
                  <c:v>45</c:v>
                </c:pt>
                <c:pt idx="6">
                  <c:v>49</c:v>
                </c:pt>
                <c:pt idx="7">
                  <c:v>45</c:v>
                </c:pt>
                <c:pt idx="8">
                  <c:v>48</c:v>
                </c:pt>
                <c:pt idx="9">
                  <c:v>43</c:v>
                </c:pt>
                <c:pt idx="10">
                  <c:v>42</c:v>
                </c:pt>
                <c:pt idx="11">
                  <c:v>51</c:v>
                </c:pt>
                <c:pt idx="12">
                  <c:v>64</c:v>
                </c:pt>
                <c:pt idx="13">
                  <c:v>75</c:v>
                </c:pt>
                <c:pt idx="14">
                  <c:v>106</c:v>
                </c:pt>
                <c:pt idx="15">
                  <c:v>99</c:v>
                </c:pt>
                <c:pt idx="16">
                  <c:v>93</c:v>
                </c:pt>
                <c:pt idx="17">
                  <c:v>76</c:v>
                </c:pt>
                <c:pt idx="18">
                  <c:v>67</c:v>
                </c:pt>
                <c:pt idx="19">
                  <c:v>63</c:v>
                </c:pt>
                <c:pt idx="20">
                  <c:v>64</c:v>
                </c:pt>
                <c:pt idx="21">
                  <c:v>88</c:v>
                </c:pt>
                <c:pt idx="22">
                  <c:v>92</c:v>
                </c:pt>
                <c:pt idx="23">
                  <c:v>92</c:v>
                </c:pt>
                <c:pt idx="24">
                  <c:v>82</c:v>
                </c:pt>
                <c:pt idx="25">
                  <c:v>81</c:v>
                </c:pt>
                <c:pt idx="26">
                  <c:v>54</c:v>
                </c:pt>
                <c:pt idx="27">
                  <c:v>41</c:v>
                </c:pt>
                <c:pt idx="28">
                  <c:v>38</c:v>
                </c:pt>
                <c:pt idx="29">
                  <c:v>29</c:v>
                </c:pt>
                <c:pt idx="30">
                  <c:v>26</c:v>
                </c:pt>
                <c:pt idx="31">
                  <c:v>24</c:v>
                </c:pt>
                <c:pt idx="32">
                  <c:v>25</c:v>
                </c:pt>
                <c:pt idx="33">
                  <c:v>20</c:v>
                </c:pt>
                <c:pt idx="34">
                  <c:v>20</c:v>
                </c:pt>
                <c:pt idx="35">
                  <c:v>23</c:v>
                </c:pt>
                <c:pt idx="36">
                  <c:v>18</c:v>
                </c:pt>
                <c:pt idx="37">
                  <c:v>16</c:v>
                </c:pt>
                <c:pt idx="38">
                  <c:v>33</c:v>
                </c:pt>
                <c:pt idx="39">
                  <c:v>39</c:v>
                </c:pt>
                <c:pt idx="40">
                  <c:v>60</c:v>
                </c:pt>
                <c:pt idx="4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5-479E-B69A-E950A0263F8E}"/>
            </c:ext>
          </c:extLst>
        </c:ser>
        <c:ser>
          <c:idx val="2"/>
          <c:order val="2"/>
          <c:tx>
            <c:strRef>
              <c:f>'XFMR Data'!$AO$3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Data'!$AO$25:$AO$162</c:f>
              <c:numCache>
                <c:formatCode>0</c:formatCode>
                <c:ptCount val="138"/>
                <c:pt idx="0">
                  <c:v>56.4</c:v>
                </c:pt>
                <c:pt idx="1">
                  <c:v>51.6</c:v>
                </c:pt>
                <c:pt idx="2">
                  <c:v>39.6</c:v>
                </c:pt>
                <c:pt idx="3">
                  <c:v>58.8</c:v>
                </c:pt>
                <c:pt idx="4">
                  <c:v>36</c:v>
                </c:pt>
                <c:pt idx="5">
                  <c:v>43.199999999999996</c:v>
                </c:pt>
                <c:pt idx="6">
                  <c:v>36</c:v>
                </c:pt>
                <c:pt idx="7">
                  <c:v>30</c:v>
                </c:pt>
                <c:pt idx="8">
                  <c:v>42</c:v>
                </c:pt>
                <c:pt idx="9">
                  <c:v>48</c:v>
                </c:pt>
                <c:pt idx="10">
                  <c:v>60</c:v>
                </c:pt>
                <c:pt idx="11">
                  <c:v>86.399999999999991</c:v>
                </c:pt>
                <c:pt idx="12">
                  <c:v>73.2</c:v>
                </c:pt>
                <c:pt idx="13">
                  <c:v>79.2</c:v>
                </c:pt>
                <c:pt idx="14">
                  <c:v>54</c:v>
                </c:pt>
                <c:pt idx="15">
                  <c:v>60</c:v>
                </c:pt>
                <c:pt idx="16">
                  <c:v>44.4</c:v>
                </c:pt>
                <c:pt idx="17">
                  <c:v>52.8</c:v>
                </c:pt>
                <c:pt idx="18">
                  <c:v>44.4</c:v>
                </c:pt>
                <c:pt idx="19">
                  <c:v>58.8</c:v>
                </c:pt>
                <c:pt idx="20">
                  <c:v>128.4</c:v>
                </c:pt>
                <c:pt idx="21">
                  <c:v>80.399999999999991</c:v>
                </c:pt>
                <c:pt idx="22">
                  <c:v>64.8</c:v>
                </c:pt>
                <c:pt idx="23">
                  <c:v>76.8</c:v>
                </c:pt>
                <c:pt idx="24">
                  <c:v>73.2</c:v>
                </c:pt>
                <c:pt idx="25">
                  <c:v>87.6</c:v>
                </c:pt>
                <c:pt idx="26">
                  <c:v>24</c:v>
                </c:pt>
                <c:pt idx="27">
                  <c:v>32.4</c:v>
                </c:pt>
                <c:pt idx="28">
                  <c:v>28.799999999999997</c:v>
                </c:pt>
                <c:pt idx="29">
                  <c:v>33.6</c:v>
                </c:pt>
                <c:pt idx="30">
                  <c:v>38.4</c:v>
                </c:pt>
                <c:pt idx="31">
                  <c:v>37.199999999999996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5-479E-B69A-E950A0263F8E}"/>
            </c:ext>
          </c:extLst>
        </c:ser>
        <c:ser>
          <c:idx val="3"/>
          <c:order val="3"/>
          <c:tx>
            <c:strRef>
              <c:f>'XFMR Data'!$AP$3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Data'!$AP$25:$AP$162</c:f>
              <c:numCache>
                <c:formatCode>0</c:formatCode>
                <c:ptCount val="138"/>
                <c:pt idx="0">
                  <c:v>82.72748799999998</c:v>
                </c:pt>
                <c:pt idx="1">
                  <c:v>77.264351999999988</c:v>
                </c:pt>
                <c:pt idx="2">
                  <c:v>76.483903999999995</c:v>
                </c:pt>
                <c:pt idx="3">
                  <c:v>75.313231999999985</c:v>
                </c:pt>
                <c:pt idx="4">
                  <c:v>77.420441599999975</c:v>
                </c:pt>
                <c:pt idx="5">
                  <c:v>76.223754666666665</c:v>
                </c:pt>
                <c:pt idx="6">
                  <c:v>75.183157333333313</c:v>
                </c:pt>
                <c:pt idx="7">
                  <c:v>74.923007999999982</c:v>
                </c:pt>
                <c:pt idx="8">
                  <c:v>74.923007999999982</c:v>
                </c:pt>
                <c:pt idx="9">
                  <c:v>74.142559999999989</c:v>
                </c:pt>
                <c:pt idx="10">
                  <c:v>70.760618666666659</c:v>
                </c:pt>
                <c:pt idx="11">
                  <c:v>72.321514666666658</c:v>
                </c:pt>
                <c:pt idx="12">
                  <c:v>76.223754666666665</c:v>
                </c:pt>
                <c:pt idx="13">
                  <c:v>84.028234666666648</c:v>
                </c:pt>
                <c:pt idx="14">
                  <c:v>99.116895999999969</c:v>
                </c:pt>
                <c:pt idx="15">
                  <c:v>113.68525866666664</c:v>
                </c:pt>
                <c:pt idx="16">
                  <c:v>126.95287466666662</c:v>
                </c:pt>
                <c:pt idx="17">
                  <c:v>133.45660799999996</c:v>
                </c:pt>
                <c:pt idx="18">
                  <c:v>134.23705599999997</c:v>
                </c:pt>
                <c:pt idx="19">
                  <c:v>131.11526399999997</c:v>
                </c:pt>
                <c:pt idx="20">
                  <c:v>120.18899199999997</c:v>
                </c:pt>
                <c:pt idx="21">
                  <c:v>117.3273493333333</c:v>
                </c:pt>
                <c:pt idx="22">
                  <c:v>117.06719999999997</c:v>
                </c:pt>
                <c:pt idx="23">
                  <c:v>121.22958933333331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5-479E-B69A-E950A0263F8E}"/>
            </c:ext>
          </c:extLst>
        </c:ser>
        <c:ser>
          <c:idx val="4"/>
          <c:order val="4"/>
          <c:tx>
            <c:strRef>
              <c:f>'XFMR Data'!$AQ$3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Data'!$AQ$25:$AQ$162</c:f>
              <c:numCache>
                <c:formatCode>0</c:formatCode>
                <c:ptCount val="138"/>
                <c:pt idx="0">
                  <c:v>103.515625</c:v>
                </c:pt>
                <c:pt idx="1">
                  <c:v>96.6796875</c:v>
                </c:pt>
                <c:pt idx="2">
                  <c:v>95.703125</c:v>
                </c:pt>
                <c:pt idx="3">
                  <c:v>94.23828125</c:v>
                </c:pt>
                <c:pt idx="4">
                  <c:v>96.875</c:v>
                </c:pt>
                <c:pt idx="5">
                  <c:v>95.377604166666686</c:v>
                </c:pt>
                <c:pt idx="6">
                  <c:v>94.075520833333314</c:v>
                </c:pt>
                <c:pt idx="7">
                  <c:v>93.75</c:v>
                </c:pt>
                <c:pt idx="8">
                  <c:v>93.75</c:v>
                </c:pt>
                <c:pt idx="9">
                  <c:v>92.7734375</c:v>
                </c:pt>
                <c:pt idx="10">
                  <c:v>88.541666666666686</c:v>
                </c:pt>
                <c:pt idx="11">
                  <c:v>90.494791666666686</c:v>
                </c:pt>
                <c:pt idx="12">
                  <c:v>95.377604166666686</c:v>
                </c:pt>
                <c:pt idx="13">
                  <c:v>105.14322916666669</c:v>
                </c:pt>
                <c:pt idx="14">
                  <c:v>124.0234375</c:v>
                </c:pt>
                <c:pt idx="15">
                  <c:v>142.25260416666663</c:v>
                </c:pt>
                <c:pt idx="16">
                  <c:v>158.85416666666663</c:v>
                </c:pt>
                <c:pt idx="17">
                  <c:v>166.9921875</c:v>
                </c:pt>
                <c:pt idx="18">
                  <c:v>167.96875</c:v>
                </c:pt>
                <c:pt idx="19">
                  <c:v>164.0625</c:v>
                </c:pt>
                <c:pt idx="20">
                  <c:v>150.390625</c:v>
                </c:pt>
                <c:pt idx="21">
                  <c:v>146.80989583333337</c:v>
                </c:pt>
                <c:pt idx="22">
                  <c:v>146.484375</c:v>
                </c:pt>
                <c:pt idx="23">
                  <c:v>151.69270833333337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5-479E-B69A-E950A0263F8E}"/>
            </c:ext>
          </c:extLst>
        </c:ser>
        <c:ser>
          <c:idx val="5"/>
          <c:order val="5"/>
          <c:tx>
            <c:strRef>
              <c:f>'XFMR Data'!$AR$3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Data'!$AR$25:$AR$162</c:f>
              <c:numCache>
                <c:formatCode>0</c:formatCode>
                <c:ptCount val="138"/>
                <c:pt idx="0">
                  <c:v>91.583999999999989</c:v>
                </c:pt>
                <c:pt idx="1">
                  <c:v>85.536000000000001</c:v>
                </c:pt>
                <c:pt idx="2">
                  <c:v>84.671999999999983</c:v>
                </c:pt>
                <c:pt idx="3">
                  <c:v>83.375999999999991</c:v>
                </c:pt>
                <c:pt idx="4">
                  <c:v>85.708799999999982</c:v>
                </c:pt>
                <c:pt idx="5">
                  <c:v>84.383999999999986</c:v>
                </c:pt>
                <c:pt idx="6">
                  <c:v>83.231999999999999</c:v>
                </c:pt>
                <c:pt idx="7">
                  <c:v>82.943999999999988</c:v>
                </c:pt>
                <c:pt idx="8">
                  <c:v>82.943999999999988</c:v>
                </c:pt>
                <c:pt idx="9">
                  <c:v>82.079999999999984</c:v>
                </c:pt>
                <c:pt idx="10">
                  <c:v>78.335999999999999</c:v>
                </c:pt>
                <c:pt idx="11">
                  <c:v>80.063999999999993</c:v>
                </c:pt>
                <c:pt idx="12">
                  <c:v>84.383999999999986</c:v>
                </c:pt>
                <c:pt idx="13">
                  <c:v>93.023999999999987</c:v>
                </c:pt>
                <c:pt idx="14">
                  <c:v>109.72799999999999</c:v>
                </c:pt>
                <c:pt idx="15">
                  <c:v>125.85599999999997</c:v>
                </c:pt>
                <c:pt idx="16">
                  <c:v>140.54399999999998</c:v>
                </c:pt>
                <c:pt idx="17">
                  <c:v>147.74399999999997</c:v>
                </c:pt>
                <c:pt idx="18">
                  <c:v>148.608</c:v>
                </c:pt>
                <c:pt idx="19">
                  <c:v>145.15199999999999</c:v>
                </c:pt>
                <c:pt idx="20">
                  <c:v>133.05599999999998</c:v>
                </c:pt>
                <c:pt idx="21">
                  <c:v>129.88799999999998</c:v>
                </c:pt>
                <c:pt idx="22">
                  <c:v>129.6</c:v>
                </c:pt>
                <c:pt idx="23">
                  <c:v>134.208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E5-479E-B69A-E950A0263F8E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E5-479E-B69A-E950A026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'XFMR Data'!$A$5:$A$162</c15:sqref>
                        </c15:formulaRef>
                      </c:ext>
                    </c:extLst>
                    <c:numCache>
                      <c:formatCode>m/d/yyyy</c:formatCode>
                      <c:ptCount val="15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  <c:pt idx="48">
                        <c:v>44617</c:v>
                      </c:pt>
                      <c:pt idx="49">
                        <c:v>44650</c:v>
                      </c:pt>
                      <c:pt idx="50">
                        <c:v>44691</c:v>
                      </c:pt>
                      <c:pt idx="51">
                        <c:v>44714</c:v>
                      </c:pt>
                      <c:pt idx="52">
                        <c:v>44753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44838</c:v>
                      </c:pt>
                      <c:pt idx="56">
                        <c:v>44868</c:v>
                      </c:pt>
                      <c:pt idx="57">
                        <c:v>44908</c:v>
                      </c:pt>
                      <c:pt idx="58">
                        <c:v>44965</c:v>
                      </c:pt>
                      <c:pt idx="59">
                        <c:v>44992</c:v>
                      </c:pt>
                      <c:pt idx="60">
                        <c:v>45020</c:v>
                      </c:pt>
                      <c:pt idx="61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1E5-479E-B69A-E950A0263F8E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645 - Bench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'XFMR Data'!$D$3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Data'!$D$25:$D$162</c:f>
              <c:numCache>
                <c:formatCode>0</c:formatCode>
                <c:ptCount val="138"/>
                <c:pt idx="0">
                  <c:v>73</c:v>
                </c:pt>
                <c:pt idx="1">
                  <c:v>60</c:v>
                </c:pt>
                <c:pt idx="2">
                  <c:v>66</c:v>
                </c:pt>
                <c:pt idx="3">
                  <c:v>63</c:v>
                </c:pt>
                <c:pt idx="4">
                  <c:v>72</c:v>
                </c:pt>
                <c:pt idx="5">
                  <c:v>63</c:v>
                </c:pt>
                <c:pt idx="6">
                  <c:v>69</c:v>
                </c:pt>
                <c:pt idx="7">
                  <c:v>66</c:v>
                </c:pt>
                <c:pt idx="8">
                  <c:v>60</c:v>
                </c:pt>
                <c:pt idx="9">
                  <c:v>61</c:v>
                </c:pt>
                <c:pt idx="10">
                  <c:v>65</c:v>
                </c:pt>
                <c:pt idx="11">
                  <c:v>69</c:v>
                </c:pt>
                <c:pt idx="12">
                  <c:v>77</c:v>
                </c:pt>
                <c:pt idx="13">
                  <c:v>96</c:v>
                </c:pt>
                <c:pt idx="14">
                  <c:v>137</c:v>
                </c:pt>
                <c:pt idx="15">
                  <c:v>129</c:v>
                </c:pt>
                <c:pt idx="16">
                  <c:v>126</c:v>
                </c:pt>
                <c:pt idx="17">
                  <c:v>96</c:v>
                </c:pt>
                <c:pt idx="18">
                  <c:v>89</c:v>
                </c:pt>
                <c:pt idx="19">
                  <c:v>96</c:v>
                </c:pt>
                <c:pt idx="20">
                  <c:v>102</c:v>
                </c:pt>
                <c:pt idx="21">
                  <c:v>110</c:v>
                </c:pt>
                <c:pt idx="22">
                  <c:v>56</c:v>
                </c:pt>
                <c:pt idx="23">
                  <c:v>49</c:v>
                </c:pt>
                <c:pt idx="24">
                  <c:v>42</c:v>
                </c:pt>
                <c:pt idx="25">
                  <c:v>45</c:v>
                </c:pt>
                <c:pt idx="26">
                  <c:v>71</c:v>
                </c:pt>
                <c:pt idx="27">
                  <c:v>59</c:v>
                </c:pt>
                <c:pt idx="28">
                  <c:v>57</c:v>
                </c:pt>
                <c:pt idx="29">
                  <c:v>52</c:v>
                </c:pt>
                <c:pt idx="30">
                  <c:v>49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33</c:v>
                </c:pt>
                <c:pt idx="35">
                  <c:v>37</c:v>
                </c:pt>
                <c:pt idx="36">
                  <c:v>28</c:v>
                </c:pt>
                <c:pt idx="37">
                  <c:v>27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  <c:pt idx="4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4-496A-9075-D46F32476B68}"/>
            </c:ext>
          </c:extLst>
        </c:ser>
        <c:ser>
          <c:idx val="2"/>
          <c:order val="2"/>
          <c:tx>
            <c:strRef>
              <c:f>'XFMR Data'!$AU$3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Data'!$AU$25:$AU$162</c:f>
              <c:numCache>
                <c:formatCode>0</c:formatCode>
                <c:ptCount val="138"/>
                <c:pt idx="0">
                  <c:v>66</c:v>
                </c:pt>
                <c:pt idx="1">
                  <c:v>68.399999999999991</c:v>
                </c:pt>
                <c:pt idx="2">
                  <c:v>43.199999999999996</c:v>
                </c:pt>
                <c:pt idx="3">
                  <c:v>79.2</c:v>
                </c:pt>
                <c:pt idx="4">
                  <c:v>51.6</c:v>
                </c:pt>
                <c:pt idx="5">
                  <c:v>60</c:v>
                </c:pt>
                <c:pt idx="6">
                  <c:v>56.4</c:v>
                </c:pt>
                <c:pt idx="7">
                  <c:v>44.4</c:v>
                </c:pt>
                <c:pt idx="8">
                  <c:v>64.8</c:v>
                </c:pt>
                <c:pt idx="9">
                  <c:v>66</c:v>
                </c:pt>
                <c:pt idx="10">
                  <c:v>76.8</c:v>
                </c:pt>
                <c:pt idx="11">
                  <c:v>98.399999999999991</c:v>
                </c:pt>
                <c:pt idx="12">
                  <c:v>96</c:v>
                </c:pt>
                <c:pt idx="13">
                  <c:v>99.6</c:v>
                </c:pt>
                <c:pt idx="14">
                  <c:v>69.599999999999994</c:v>
                </c:pt>
                <c:pt idx="15">
                  <c:v>81.599999999999994</c:v>
                </c:pt>
                <c:pt idx="16">
                  <c:v>57.599999999999994</c:v>
                </c:pt>
                <c:pt idx="17">
                  <c:v>68.399999999999991</c:v>
                </c:pt>
                <c:pt idx="18">
                  <c:v>67.2</c:v>
                </c:pt>
                <c:pt idx="19">
                  <c:v>96</c:v>
                </c:pt>
                <c:pt idx="20">
                  <c:v>171.6</c:v>
                </c:pt>
                <c:pt idx="21">
                  <c:v>96</c:v>
                </c:pt>
                <c:pt idx="22">
                  <c:v>43.199999999999996</c:v>
                </c:pt>
                <c:pt idx="23">
                  <c:v>42</c:v>
                </c:pt>
                <c:pt idx="24">
                  <c:v>42</c:v>
                </c:pt>
                <c:pt idx="25">
                  <c:v>51.6</c:v>
                </c:pt>
                <c:pt idx="26">
                  <c:v>45.6</c:v>
                </c:pt>
                <c:pt idx="27">
                  <c:v>51.6</c:v>
                </c:pt>
                <c:pt idx="28">
                  <c:v>34.799999999999997</c:v>
                </c:pt>
                <c:pt idx="29">
                  <c:v>57.599999999999994</c:v>
                </c:pt>
                <c:pt idx="30">
                  <c:v>63.599999999999994</c:v>
                </c:pt>
                <c:pt idx="31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4-496A-9075-D46F32476B68}"/>
            </c:ext>
          </c:extLst>
        </c:ser>
        <c:ser>
          <c:idx val="3"/>
          <c:order val="3"/>
          <c:tx>
            <c:strRef>
              <c:f>'XFMR Data'!$AV$3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Data'!$AV$25:$AV$162</c:f>
              <c:numCache>
                <c:formatCode>0</c:formatCode>
                <c:ptCount val="138"/>
                <c:pt idx="0">
                  <c:v>113.94540799999997</c:v>
                </c:pt>
                <c:pt idx="1">
                  <c:v>103.799584</c:v>
                </c:pt>
                <c:pt idx="2">
                  <c:v>103.53943466666664</c:v>
                </c:pt>
                <c:pt idx="3">
                  <c:v>102.23868799999997</c:v>
                </c:pt>
                <c:pt idx="4">
                  <c:v>104.26785279999997</c:v>
                </c:pt>
                <c:pt idx="5">
                  <c:v>103.27928533333331</c:v>
                </c:pt>
                <c:pt idx="6">
                  <c:v>102.23868799999997</c:v>
                </c:pt>
                <c:pt idx="7">
                  <c:v>103.799584</c:v>
                </c:pt>
                <c:pt idx="8">
                  <c:v>102.23868799999997</c:v>
                </c:pt>
                <c:pt idx="9">
                  <c:v>101.71838933333332</c:v>
                </c:pt>
                <c:pt idx="10">
                  <c:v>99.89734399999999</c:v>
                </c:pt>
                <c:pt idx="11">
                  <c:v>101.45823999999998</c:v>
                </c:pt>
                <c:pt idx="12">
                  <c:v>103.53943466666664</c:v>
                </c:pt>
                <c:pt idx="13">
                  <c:v>111.34391466666663</c:v>
                </c:pt>
                <c:pt idx="14">
                  <c:v>131.37541333333331</c:v>
                </c:pt>
                <c:pt idx="15">
                  <c:v>149.06556799999998</c:v>
                </c:pt>
                <c:pt idx="16">
                  <c:v>164.9346773333333</c:v>
                </c:pt>
                <c:pt idx="17">
                  <c:v>171.9587093333333</c:v>
                </c:pt>
                <c:pt idx="18">
                  <c:v>175.08050133333333</c:v>
                </c:pt>
                <c:pt idx="19">
                  <c:v>175.08050133333333</c:v>
                </c:pt>
                <c:pt idx="20">
                  <c:v>165.97527466666662</c:v>
                </c:pt>
                <c:pt idx="21">
                  <c:v>161.03243733333332</c:v>
                </c:pt>
                <c:pt idx="22">
                  <c:v>142.82198399999996</c:v>
                </c:pt>
                <c:pt idx="23">
                  <c:v>130.59496533333331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4-496A-9075-D46F32476B68}"/>
            </c:ext>
          </c:extLst>
        </c:ser>
        <c:ser>
          <c:idx val="4"/>
          <c:order val="4"/>
          <c:tx>
            <c:strRef>
              <c:f>'XFMR Data'!$AW$3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Data'!$AW$25:$AW$162</c:f>
              <c:numCache>
                <c:formatCode>0</c:formatCode>
                <c:ptCount val="138"/>
                <c:pt idx="0">
                  <c:v>142.578125</c:v>
                </c:pt>
                <c:pt idx="1">
                  <c:v>129.8828125</c:v>
                </c:pt>
                <c:pt idx="2">
                  <c:v>129.55729166666663</c:v>
                </c:pt>
                <c:pt idx="3">
                  <c:v>127.9296875</c:v>
                </c:pt>
                <c:pt idx="4">
                  <c:v>130.46875</c:v>
                </c:pt>
                <c:pt idx="5">
                  <c:v>129.23177083333337</c:v>
                </c:pt>
                <c:pt idx="6">
                  <c:v>127.9296875</c:v>
                </c:pt>
                <c:pt idx="7">
                  <c:v>129.8828125</c:v>
                </c:pt>
                <c:pt idx="8">
                  <c:v>127.9296875</c:v>
                </c:pt>
                <c:pt idx="9">
                  <c:v>127.27864583333336</c:v>
                </c:pt>
                <c:pt idx="10">
                  <c:v>125</c:v>
                </c:pt>
                <c:pt idx="11">
                  <c:v>126.953125</c:v>
                </c:pt>
                <c:pt idx="12">
                  <c:v>129.55729166666663</c:v>
                </c:pt>
                <c:pt idx="13">
                  <c:v>139.32291666666663</c:v>
                </c:pt>
                <c:pt idx="14">
                  <c:v>164.38802083333337</c:v>
                </c:pt>
                <c:pt idx="15">
                  <c:v>186.5234375</c:v>
                </c:pt>
                <c:pt idx="16">
                  <c:v>206.38020833333337</c:v>
                </c:pt>
                <c:pt idx="17">
                  <c:v>215.16927083333337</c:v>
                </c:pt>
                <c:pt idx="18">
                  <c:v>219.07552083333337</c:v>
                </c:pt>
                <c:pt idx="19">
                  <c:v>219.07552083333337</c:v>
                </c:pt>
                <c:pt idx="20">
                  <c:v>207.68229166666663</c:v>
                </c:pt>
                <c:pt idx="21">
                  <c:v>201.49739583333337</c:v>
                </c:pt>
                <c:pt idx="22">
                  <c:v>178.7109375</c:v>
                </c:pt>
                <c:pt idx="23">
                  <c:v>163.41145833333337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4-496A-9075-D46F32476B68}"/>
            </c:ext>
          </c:extLst>
        </c:ser>
        <c:ser>
          <c:idx val="5"/>
          <c:order val="5"/>
          <c:tx>
            <c:strRef>
              <c:f>'XFMR Data'!$AX$3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Data'!$AX$25:$AX$162</c:f>
              <c:numCache>
                <c:formatCode>0</c:formatCode>
                <c:ptCount val="138"/>
                <c:pt idx="0">
                  <c:v>126.14399999999998</c:v>
                </c:pt>
                <c:pt idx="1">
                  <c:v>114.91199999999999</c:v>
                </c:pt>
                <c:pt idx="2">
                  <c:v>114.624</c:v>
                </c:pt>
                <c:pt idx="3">
                  <c:v>113.18399999999998</c:v>
                </c:pt>
                <c:pt idx="4">
                  <c:v>115.43039999999999</c:v>
                </c:pt>
                <c:pt idx="5">
                  <c:v>114.336</c:v>
                </c:pt>
                <c:pt idx="6">
                  <c:v>113.18399999999998</c:v>
                </c:pt>
                <c:pt idx="7">
                  <c:v>114.91199999999999</c:v>
                </c:pt>
                <c:pt idx="8">
                  <c:v>113.18399999999998</c:v>
                </c:pt>
                <c:pt idx="9">
                  <c:v>112.608</c:v>
                </c:pt>
                <c:pt idx="10">
                  <c:v>110.592</c:v>
                </c:pt>
                <c:pt idx="11">
                  <c:v>112.32</c:v>
                </c:pt>
                <c:pt idx="12">
                  <c:v>114.624</c:v>
                </c:pt>
                <c:pt idx="13">
                  <c:v>123.26399999999998</c:v>
                </c:pt>
                <c:pt idx="14">
                  <c:v>145.43999999999997</c:v>
                </c:pt>
                <c:pt idx="15">
                  <c:v>165.02399999999997</c:v>
                </c:pt>
                <c:pt idx="16">
                  <c:v>182.59199999999998</c:v>
                </c:pt>
                <c:pt idx="17">
                  <c:v>190.36799999999997</c:v>
                </c:pt>
                <c:pt idx="18">
                  <c:v>193.82399999999998</c:v>
                </c:pt>
                <c:pt idx="19">
                  <c:v>193.82399999999998</c:v>
                </c:pt>
                <c:pt idx="20">
                  <c:v>183.74399999999997</c:v>
                </c:pt>
                <c:pt idx="21">
                  <c:v>178.27199999999999</c:v>
                </c:pt>
                <c:pt idx="22">
                  <c:v>158.11199999999999</c:v>
                </c:pt>
                <c:pt idx="23">
                  <c:v>144.57599999999999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4-496A-9075-D46F32476B68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4-496A-9075-D46F32476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'XFMR Data'!$A$5:$A$162</c15:sqref>
                        </c15:formulaRef>
                      </c:ext>
                    </c:extLst>
                    <c:numCache>
                      <c:formatCode>m/d/yyyy</c:formatCode>
                      <c:ptCount val="15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  <c:pt idx="48">
                        <c:v>44617</c:v>
                      </c:pt>
                      <c:pt idx="49">
                        <c:v>44650</c:v>
                      </c:pt>
                      <c:pt idx="50">
                        <c:v>44691</c:v>
                      </c:pt>
                      <c:pt idx="51">
                        <c:v>44714</c:v>
                      </c:pt>
                      <c:pt idx="52">
                        <c:v>44753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44838</c:v>
                      </c:pt>
                      <c:pt idx="56">
                        <c:v>44868</c:v>
                      </c:pt>
                      <c:pt idx="57">
                        <c:v>44908</c:v>
                      </c:pt>
                      <c:pt idx="58">
                        <c:v>44965</c:v>
                      </c:pt>
                      <c:pt idx="59">
                        <c:v>44992</c:v>
                      </c:pt>
                      <c:pt idx="60">
                        <c:v>45020</c:v>
                      </c:pt>
                      <c:pt idx="61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B54-496A-9075-D46F32476B68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650 - Pouring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'XFMR Data'!$E$3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Data'!$E$25:$E$162</c:f>
              <c:numCache>
                <c:formatCode>0</c:formatCode>
                <c:ptCount val="138"/>
                <c:pt idx="0">
                  <c:v>42</c:v>
                </c:pt>
                <c:pt idx="1">
                  <c:v>36</c:v>
                </c:pt>
                <c:pt idx="2">
                  <c:v>38</c:v>
                </c:pt>
                <c:pt idx="3">
                  <c:v>37</c:v>
                </c:pt>
                <c:pt idx="4">
                  <c:v>43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34</c:v>
                </c:pt>
                <c:pt idx="9">
                  <c:v>36</c:v>
                </c:pt>
                <c:pt idx="10">
                  <c:v>41</c:v>
                </c:pt>
                <c:pt idx="11">
                  <c:v>41</c:v>
                </c:pt>
                <c:pt idx="12">
                  <c:v>46</c:v>
                </c:pt>
                <c:pt idx="13">
                  <c:v>57</c:v>
                </c:pt>
                <c:pt idx="14">
                  <c:v>79</c:v>
                </c:pt>
                <c:pt idx="15">
                  <c:v>74</c:v>
                </c:pt>
                <c:pt idx="16">
                  <c:v>73</c:v>
                </c:pt>
                <c:pt idx="17">
                  <c:v>58</c:v>
                </c:pt>
                <c:pt idx="18">
                  <c:v>54</c:v>
                </c:pt>
                <c:pt idx="19">
                  <c:v>57</c:v>
                </c:pt>
                <c:pt idx="20">
                  <c:v>63</c:v>
                </c:pt>
                <c:pt idx="21">
                  <c:v>73</c:v>
                </c:pt>
                <c:pt idx="22">
                  <c:v>65</c:v>
                </c:pt>
                <c:pt idx="23">
                  <c:v>71</c:v>
                </c:pt>
                <c:pt idx="24">
                  <c:v>59</c:v>
                </c:pt>
                <c:pt idx="25">
                  <c:v>63</c:v>
                </c:pt>
                <c:pt idx="26">
                  <c:v>43</c:v>
                </c:pt>
                <c:pt idx="27">
                  <c:v>36</c:v>
                </c:pt>
                <c:pt idx="28">
                  <c:v>36</c:v>
                </c:pt>
                <c:pt idx="29">
                  <c:v>33</c:v>
                </c:pt>
                <c:pt idx="30">
                  <c:v>32</c:v>
                </c:pt>
                <c:pt idx="31">
                  <c:v>29</c:v>
                </c:pt>
                <c:pt idx="32">
                  <c:v>25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16</c:v>
                </c:pt>
                <c:pt idx="37">
                  <c:v>14</c:v>
                </c:pt>
                <c:pt idx="38">
                  <c:v>17</c:v>
                </c:pt>
                <c:pt idx="39">
                  <c:v>18</c:v>
                </c:pt>
                <c:pt idx="40">
                  <c:v>26</c:v>
                </c:pt>
                <c:pt idx="4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4-475F-802E-9C189541D9E7}"/>
            </c:ext>
          </c:extLst>
        </c:ser>
        <c:ser>
          <c:idx val="2"/>
          <c:order val="2"/>
          <c:tx>
            <c:strRef>
              <c:f>'XFMR Data'!$BA$3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Data'!$BA$25:$BA$162</c:f>
              <c:numCache>
                <c:formatCode>0</c:formatCode>
                <c:ptCount val="138"/>
                <c:pt idx="0">
                  <c:v>40.799999999999997</c:v>
                </c:pt>
                <c:pt idx="1">
                  <c:v>40.799999999999997</c:v>
                </c:pt>
                <c:pt idx="2">
                  <c:v>25.2</c:v>
                </c:pt>
                <c:pt idx="3">
                  <c:v>45.6</c:v>
                </c:pt>
                <c:pt idx="4">
                  <c:v>32.4</c:v>
                </c:pt>
                <c:pt idx="5">
                  <c:v>37.199999999999996</c:v>
                </c:pt>
                <c:pt idx="6">
                  <c:v>34.799999999999997</c:v>
                </c:pt>
                <c:pt idx="7">
                  <c:v>26.4</c:v>
                </c:pt>
                <c:pt idx="8">
                  <c:v>37.199999999999996</c:v>
                </c:pt>
                <c:pt idx="9">
                  <c:v>38.4</c:v>
                </c:pt>
                <c:pt idx="10">
                  <c:v>45.6</c:v>
                </c:pt>
                <c:pt idx="11">
                  <c:v>56.4</c:v>
                </c:pt>
                <c:pt idx="12">
                  <c:v>56.4</c:v>
                </c:pt>
                <c:pt idx="13">
                  <c:v>57.599999999999994</c:v>
                </c:pt>
                <c:pt idx="14">
                  <c:v>42</c:v>
                </c:pt>
                <c:pt idx="15">
                  <c:v>46.8</c:v>
                </c:pt>
                <c:pt idx="16">
                  <c:v>33.6</c:v>
                </c:pt>
                <c:pt idx="17">
                  <c:v>39.6</c:v>
                </c:pt>
                <c:pt idx="18">
                  <c:v>39.6</c:v>
                </c:pt>
                <c:pt idx="19">
                  <c:v>57.599999999999994</c:v>
                </c:pt>
                <c:pt idx="20">
                  <c:v>93.6</c:v>
                </c:pt>
                <c:pt idx="21">
                  <c:v>63.599999999999994</c:v>
                </c:pt>
                <c:pt idx="22">
                  <c:v>50.4</c:v>
                </c:pt>
                <c:pt idx="23">
                  <c:v>61.199999999999996</c:v>
                </c:pt>
                <c:pt idx="24">
                  <c:v>62.4</c:v>
                </c:pt>
                <c:pt idx="25">
                  <c:v>74.399999999999991</c:v>
                </c:pt>
                <c:pt idx="26">
                  <c:v>30</c:v>
                </c:pt>
                <c:pt idx="27">
                  <c:v>33.6</c:v>
                </c:pt>
                <c:pt idx="28">
                  <c:v>20.399999999999999</c:v>
                </c:pt>
                <c:pt idx="29">
                  <c:v>38.4</c:v>
                </c:pt>
                <c:pt idx="30">
                  <c:v>40.799999999999997</c:v>
                </c:pt>
                <c:pt idx="3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4-475F-802E-9C189541D9E7}"/>
            </c:ext>
          </c:extLst>
        </c:ser>
        <c:ser>
          <c:idx val="3"/>
          <c:order val="3"/>
          <c:tx>
            <c:strRef>
              <c:f>'XFMR Data'!$BB$3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Data'!$BB$25:$BB$162</c:f>
              <c:numCache>
                <c:formatCode>0</c:formatCode>
                <c:ptCount val="138"/>
                <c:pt idx="0">
                  <c:v>65.557631999999984</c:v>
                </c:pt>
                <c:pt idx="1">
                  <c:v>60.874943999999985</c:v>
                </c:pt>
                <c:pt idx="2">
                  <c:v>60.354645333333316</c:v>
                </c:pt>
                <c:pt idx="3">
                  <c:v>59.704271999999989</c:v>
                </c:pt>
                <c:pt idx="4">
                  <c:v>61.187123199999988</c:v>
                </c:pt>
                <c:pt idx="5">
                  <c:v>61.135093333333323</c:v>
                </c:pt>
                <c:pt idx="6">
                  <c:v>60.354645333333316</c:v>
                </c:pt>
                <c:pt idx="7">
                  <c:v>60.874943999999985</c:v>
                </c:pt>
                <c:pt idx="8">
                  <c:v>59.834346666666661</c:v>
                </c:pt>
                <c:pt idx="9">
                  <c:v>59.574197333333316</c:v>
                </c:pt>
                <c:pt idx="10">
                  <c:v>59.053898666666655</c:v>
                </c:pt>
                <c:pt idx="11">
                  <c:v>59.574197333333316</c:v>
                </c:pt>
                <c:pt idx="12">
                  <c:v>61.395242666666661</c:v>
                </c:pt>
                <c:pt idx="13">
                  <c:v>66.338079999999991</c:v>
                </c:pt>
                <c:pt idx="14">
                  <c:v>78.044799999999981</c:v>
                </c:pt>
                <c:pt idx="15">
                  <c:v>87.930474666666655</c:v>
                </c:pt>
                <c:pt idx="16">
                  <c:v>96.255253333333314</c:v>
                </c:pt>
                <c:pt idx="17">
                  <c:v>100.67779199999998</c:v>
                </c:pt>
                <c:pt idx="18">
                  <c:v>102.75898666666664</c:v>
                </c:pt>
                <c:pt idx="19">
                  <c:v>102.75898666666664</c:v>
                </c:pt>
                <c:pt idx="20">
                  <c:v>98.596597333333307</c:v>
                </c:pt>
                <c:pt idx="21">
                  <c:v>98.336447999999976</c:v>
                </c:pt>
                <c:pt idx="22">
                  <c:v>96.255253333333314</c:v>
                </c:pt>
                <c:pt idx="23">
                  <c:v>99.637194666666659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4-475F-802E-9C189541D9E7}"/>
            </c:ext>
          </c:extLst>
        </c:ser>
        <c:ser>
          <c:idx val="4"/>
          <c:order val="4"/>
          <c:tx>
            <c:strRef>
              <c:f>'XFMR Data'!$BC$3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Data'!$BC$25:$BC$162</c:f>
              <c:numCache>
                <c:formatCode>0</c:formatCode>
                <c:ptCount val="138"/>
                <c:pt idx="0">
                  <c:v>82.03125</c:v>
                </c:pt>
                <c:pt idx="1">
                  <c:v>76.171875</c:v>
                </c:pt>
                <c:pt idx="2">
                  <c:v>75.520833333333314</c:v>
                </c:pt>
                <c:pt idx="3">
                  <c:v>74.70703125</c:v>
                </c:pt>
                <c:pt idx="4">
                  <c:v>76.5625</c:v>
                </c:pt>
                <c:pt idx="5">
                  <c:v>76.497395833333314</c:v>
                </c:pt>
                <c:pt idx="6">
                  <c:v>75.520833333333314</c:v>
                </c:pt>
                <c:pt idx="7">
                  <c:v>76.171875</c:v>
                </c:pt>
                <c:pt idx="8">
                  <c:v>74.869791666666686</c:v>
                </c:pt>
                <c:pt idx="9">
                  <c:v>74.544270833333314</c:v>
                </c:pt>
                <c:pt idx="10">
                  <c:v>73.893229166666686</c:v>
                </c:pt>
                <c:pt idx="11">
                  <c:v>74.544270833333314</c:v>
                </c:pt>
                <c:pt idx="12">
                  <c:v>76.822916666666686</c:v>
                </c:pt>
                <c:pt idx="13">
                  <c:v>83.0078125</c:v>
                </c:pt>
                <c:pt idx="14">
                  <c:v>97.65625</c:v>
                </c:pt>
                <c:pt idx="15">
                  <c:v>110.02604166666669</c:v>
                </c:pt>
                <c:pt idx="16">
                  <c:v>120.44270833333331</c:v>
                </c:pt>
                <c:pt idx="17">
                  <c:v>125.9765625</c:v>
                </c:pt>
                <c:pt idx="18">
                  <c:v>128.58072916666663</c:v>
                </c:pt>
                <c:pt idx="19">
                  <c:v>128.58072916666663</c:v>
                </c:pt>
                <c:pt idx="20">
                  <c:v>123.37239583333331</c:v>
                </c:pt>
                <c:pt idx="21">
                  <c:v>123.046875</c:v>
                </c:pt>
                <c:pt idx="22">
                  <c:v>120.44270833333331</c:v>
                </c:pt>
                <c:pt idx="23">
                  <c:v>124.67447916666669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4-475F-802E-9C189541D9E7}"/>
            </c:ext>
          </c:extLst>
        </c:ser>
        <c:ser>
          <c:idx val="5"/>
          <c:order val="5"/>
          <c:tx>
            <c:strRef>
              <c:f>'XFMR Data'!$BD$3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Data'!$BD$25:$BD$162</c:f>
              <c:numCache>
                <c:formatCode>0</c:formatCode>
                <c:ptCount val="138"/>
                <c:pt idx="0">
                  <c:v>72.575999999999993</c:v>
                </c:pt>
                <c:pt idx="1">
                  <c:v>67.391999999999996</c:v>
                </c:pt>
                <c:pt idx="2">
                  <c:v>66.816000000000003</c:v>
                </c:pt>
                <c:pt idx="3">
                  <c:v>66.095999999999989</c:v>
                </c:pt>
                <c:pt idx="4">
                  <c:v>67.7376</c:v>
                </c:pt>
                <c:pt idx="5">
                  <c:v>67.679999999999993</c:v>
                </c:pt>
                <c:pt idx="6">
                  <c:v>66.816000000000003</c:v>
                </c:pt>
                <c:pt idx="7">
                  <c:v>67.391999999999996</c:v>
                </c:pt>
                <c:pt idx="8">
                  <c:v>66.239999999999995</c:v>
                </c:pt>
                <c:pt idx="9">
                  <c:v>65.951999999999984</c:v>
                </c:pt>
                <c:pt idx="10">
                  <c:v>65.375999999999991</c:v>
                </c:pt>
                <c:pt idx="11">
                  <c:v>65.951999999999984</c:v>
                </c:pt>
                <c:pt idx="12">
                  <c:v>67.968000000000004</c:v>
                </c:pt>
                <c:pt idx="13">
                  <c:v>73.44</c:v>
                </c:pt>
                <c:pt idx="14">
                  <c:v>86.399999999999991</c:v>
                </c:pt>
                <c:pt idx="15">
                  <c:v>97.34399999999998</c:v>
                </c:pt>
                <c:pt idx="16">
                  <c:v>106.55999999999999</c:v>
                </c:pt>
                <c:pt idx="17">
                  <c:v>111.45599999999997</c:v>
                </c:pt>
                <c:pt idx="18">
                  <c:v>113.75999999999998</c:v>
                </c:pt>
                <c:pt idx="19">
                  <c:v>113.75999999999998</c:v>
                </c:pt>
                <c:pt idx="20">
                  <c:v>109.15199999999999</c:v>
                </c:pt>
                <c:pt idx="21">
                  <c:v>108.86399999999998</c:v>
                </c:pt>
                <c:pt idx="22">
                  <c:v>106.55999999999999</c:v>
                </c:pt>
                <c:pt idx="23">
                  <c:v>110.30399999999999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4-475F-802E-9C189541D9E7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A4-475F-802E-9C189541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'XFMR Data'!$A$5:$A$162</c15:sqref>
                        </c15:formulaRef>
                      </c:ext>
                    </c:extLst>
                    <c:numCache>
                      <c:formatCode>m/d/yyyy</c:formatCode>
                      <c:ptCount val="15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  <c:pt idx="48">
                        <c:v>44617</c:v>
                      </c:pt>
                      <c:pt idx="49">
                        <c:v>44650</c:v>
                      </c:pt>
                      <c:pt idx="50">
                        <c:v>44691</c:v>
                      </c:pt>
                      <c:pt idx="51">
                        <c:v>44714</c:v>
                      </c:pt>
                      <c:pt idx="52">
                        <c:v>44753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44838</c:v>
                      </c:pt>
                      <c:pt idx="56">
                        <c:v>44868</c:v>
                      </c:pt>
                      <c:pt idx="57">
                        <c:v>44908</c:v>
                      </c:pt>
                      <c:pt idx="58">
                        <c:v>44965</c:v>
                      </c:pt>
                      <c:pt idx="59">
                        <c:v>44992</c:v>
                      </c:pt>
                      <c:pt idx="60">
                        <c:v>45020</c:v>
                      </c:pt>
                      <c:pt idx="61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A4-475F-802E-9C189541D9E7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660 - HV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'XFMR Data'!$F$3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Data'!$F$25:$F$162</c:f>
              <c:numCache>
                <c:formatCode>0</c:formatCode>
                <c:ptCount val="138"/>
                <c:pt idx="0">
                  <c:v>59</c:v>
                </c:pt>
                <c:pt idx="1">
                  <c:v>51</c:v>
                </c:pt>
                <c:pt idx="2">
                  <c:v>55</c:v>
                </c:pt>
                <c:pt idx="3">
                  <c:v>49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50</c:v>
                </c:pt>
                <c:pt idx="10">
                  <c:v>51</c:v>
                </c:pt>
                <c:pt idx="11">
                  <c:v>60</c:v>
                </c:pt>
                <c:pt idx="12">
                  <c:v>72</c:v>
                </c:pt>
                <c:pt idx="13">
                  <c:v>79</c:v>
                </c:pt>
                <c:pt idx="14">
                  <c:v>112</c:v>
                </c:pt>
                <c:pt idx="15">
                  <c:v>108</c:v>
                </c:pt>
                <c:pt idx="16">
                  <c:v>107</c:v>
                </c:pt>
                <c:pt idx="17">
                  <c:v>79</c:v>
                </c:pt>
                <c:pt idx="18">
                  <c:v>72</c:v>
                </c:pt>
                <c:pt idx="19">
                  <c:v>75</c:v>
                </c:pt>
                <c:pt idx="20">
                  <c:v>79</c:v>
                </c:pt>
                <c:pt idx="21">
                  <c:v>99</c:v>
                </c:pt>
                <c:pt idx="22">
                  <c:v>102</c:v>
                </c:pt>
                <c:pt idx="23">
                  <c:v>106</c:v>
                </c:pt>
                <c:pt idx="24">
                  <c:v>90</c:v>
                </c:pt>
                <c:pt idx="25">
                  <c:v>88</c:v>
                </c:pt>
                <c:pt idx="26">
                  <c:v>62</c:v>
                </c:pt>
                <c:pt idx="27">
                  <c:v>48</c:v>
                </c:pt>
                <c:pt idx="28">
                  <c:v>43</c:v>
                </c:pt>
                <c:pt idx="29">
                  <c:v>37</c:v>
                </c:pt>
                <c:pt idx="30">
                  <c:v>33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25</c:v>
                </c:pt>
                <c:pt idx="35">
                  <c:v>38</c:v>
                </c:pt>
                <c:pt idx="36">
                  <c:v>23</c:v>
                </c:pt>
                <c:pt idx="37">
                  <c:v>22</c:v>
                </c:pt>
                <c:pt idx="38">
                  <c:v>47</c:v>
                </c:pt>
                <c:pt idx="39">
                  <c:v>60</c:v>
                </c:pt>
                <c:pt idx="40">
                  <c:v>77</c:v>
                </c:pt>
                <c:pt idx="4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C-4398-BE35-12B3F984CF39}"/>
            </c:ext>
          </c:extLst>
        </c:ser>
        <c:ser>
          <c:idx val="2"/>
          <c:order val="2"/>
          <c:tx>
            <c:strRef>
              <c:f>'XFMR Data'!$BG$3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Data'!$BG$25:$BG$162</c:f>
              <c:numCache>
                <c:formatCode>0</c:formatCode>
                <c:ptCount val="138"/>
                <c:pt idx="0">
                  <c:v>62.4</c:v>
                </c:pt>
                <c:pt idx="1">
                  <c:v>57.599999999999994</c:v>
                </c:pt>
                <c:pt idx="2">
                  <c:v>44.4</c:v>
                </c:pt>
                <c:pt idx="3">
                  <c:v>64.8</c:v>
                </c:pt>
                <c:pt idx="4">
                  <c:v>42</c:v>
                </c:pt>
                <c:pt idx="5">
                  <c:v>50.4</c:v>
                </c:pt>
                <c:pt idx="6">
                  <c:v>43.199999999999996</c:v>
                </c:pt>
                <c:pt idx="7">
                  <c:v>36</c:v>
                </c:pt>
                <c:pt idx="8">
                  <c:v>48</c:v>
                </c:pt>
                <c:pt idx="9">
                  <c:v>55.199999999999996</c:v>
                </c:pt>
                <c:pt idx="10">
                  <c:v>64.8</c:v>
                </c:pt>
                <c:pt idx="11">
                  <c:v>86.399999999999991</c:v>
                </c:pt>
                <c:pt idx="12">
                  <c:v>81.599999999999994</c:v>
                </c:pt>
                <c:pt idx="13">
                  <c:v>87.6</c:v>
                </c:pt>
                <c:pt idx="14">
                  <c:v>61.199999999999996</c:v>
                </c:pt>
                <c:pt idx="15">
                  <c:v>62.4</c:v>
                </c:pt>
                <c:pt idx="16">
                  <c:v>49.199999999999996</c:v>
                </c:pt>
                <c:pt idx="17">
                  <c:v>56.4</c:v>
                </c:pt>
                <c:pt idx="18">
                  <c:v>50.4</c:v>
                </c:pt>
                <c:pt idx="19">
                  <c:v>66</c:v>
                </c:pt>
                <c:pt idx="20">
                  <c:v>138</c:v>
                </c:pt>
                <c:pt idx="21">
                  <c:v>93.6</c:v>
                </c:pt>
                <c:pt idx="22">
                  <c:v>69.599999999999994</c:v>
                </c:pt>
                <c:pt idx="23">
                  <c:v>92.399999999999991</c:v>
                </c:pt>
                <c:pt idx="24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C-4398-BE35-12B3F984CF39}"/>
            </c:ext>
          </c:extLst>
        </c:ser>
        <c:ser>
          <c:idx val="3"/>
          <c:order val="3"/>
          <c:tx>
            <c:strRef>
              <c:f>'XFMR Data'!$BH$3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Data'!$BH$25:$BH$162</c:f>
              <c:numCache>
                <c:formatCode>0</c:formatCode>
                <c:ptCount val="138"/>
                <c:pt idx="0">
                  <c:v>92.092863999999977</c:v>
                </c:pt>
                <c:pt idx="1">
                  <c:v>85.849279999999993</c:v>
                </c:pt>
                <c:pt idx="2">
                  <c:v>85.849279999999993</c:v>
                </c:pt>
                <c:pt idx="3">
                  <c:v>83.507935999999987</c:v>
                </c:pt>
                <c:pt idx="4">
                  <c:v>86.47363839999997</c:v>
                </c:pt>
                <c:pt idx="5">
                  <c:v>85.589130666666648</c:v>
                </c:pt>
                <c:pt idx="6">
                  <c:v>84.028234666666648</c:v>
                </c:pt>
                <c:pt idx="7">
                  <c:v>84.54853333333331</c:v>
                </c:pt>
                <c:pt idx="8">
                  <c:v>83.768085333333303</c:v>
                </c:pt>
                <c:pt idx="9">
                  <c:v>84.028234666666648</c:v>
                </c:pt>
                <c:pt idx="10">
                  <c:v>80.906442666666663</c:v>
                </c:pt>
                <c:pt idx="11">
                  <c:v>82.987637333333311</c:v>
                </c:pt>
                <c:pt idx="12">
                  <c:v>87.930474666666655</c:v>
                </c:pt>
                <c:pt idx="13">
                  <c:v>94.694357333333315</c:v>
                </c:pt>
                <c:pt idx="14">
                  <c:v>110.30331733333331</c:v>
                </c:pt>
                <c:pt idx="15">
                  <c:v>125.39197866666663</c:v>
                </c:pt>
                <c:pt idx="16">
                  <c:v>139.9603413333333</c:v>
                </c:pt>
                <c:pt idx="17">
                  <c:v>144.90317866666663</c:v>
                </c:pt>
                <c:pt idx="18">
                  <c:v>144.90317866666663</c:v>
                </c:pt>
                <c:pt idx="19">
                  <c:v>143.86258133333331</c:v>
                </c:pt>
                <c:pt idx="20">
                  <c:v>135.27765333333332</c:v>
                </c:pt>
                <c:pt idx="21">
                  <c:v>132.9363093333333</c:v>
                </c:pt>
                <c:pt idx="22">
                  <c:v>131.63556266666663</c:v>
                </c:pt>
                <c:pt idx="23">
                  <c:v>138.65959466666664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C-4398-BE35-12B3F984CF39}"/>
            </c:ext>
          </c:extLst>
        </c:ser>
        <c:ser>
          <c:idx val="4"/>
          <c:order val="4"/>
          <c:tx>
            <c:strRef>
              <c:f>'XFMR Data'!$BI$3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Data'!$BI$25:$BI$162</c:f>
              <c:numCache>
                <c:formatCode>0</c:formatCode>
                <c:ptCount val="138"/>
                <c:pt idx="0">
                  <c:v>115.234375</c:v>
                </c:pt>
                <c:pt idx="1">
                  <c:v>107.421875</c:v>
                </c:pt>
                <c:pt idx="2">
                  <c:v>107.421875</c:v>
                </c:pt>
                <c:pt idx="3">
                  <c:v>104.4921875</c:v>
                </c:pt>
                <c:pt idx="4">
                  <c:v>108.203125</c:v>
                </c:pt>
                <c:pt idx="5">
                  <c:v>107.09635416666669</c:v>
                </c:pt>
                <c:pt idx="6">
                  <c:v>105.14322916666669</c:v>
                </c:pt>
                <c:pt idx="7">
                  <c:v>105.79427083333331</c:v>
                </c:pt>
                <c:pt idx="8">
                  <c:v>104.81770833333331</c:v>
                </c:pt>
                <c:pt idx="9">
                  <c:v>105.14322916666669</c:v>
                </c:pt>
                <c:pt idx="10">
                  <c:v>101.23697916666669</c:v>
                </c:pt>
                <c:pt idx="11">
                  <c:v>103.84114583333331</c:v>
                </c:pt>
                <c:pt idx="12">
                  <c:v>110.02604166666669</c:v>
                </c:pt>
                <c:pt idx="13">
                  <c:v>118.48958333333331</c:v>
                </c:pt>
                <c:pt idx="14">
                  <c:v>138.02083333333337</c:v>
                </c:pt>
                <c:pt idx="15">
                  <c:v>156.90104166666663</c:v>
                </c:pt>
                <c:pt idx="16">
                  <c:v>175.13020833333337</c:v>
                </c:pt>
                <c:pt idx="17">
                  <c:v>181.31510416666663</c:v>
                </c:pt>
                <c:pt idx="18">
                  <c:v>181.31510416666663</c:v>
                </c:pt>
                <c:pt idx="19">
                  <c:v>180.01302083333337</c:v>
                </c:pt>
                <c:pt idx="20">
                  <c:v>169.27083333333337</c:v>
                </c:pt>
                <c:pt idx="21">
                  <c:v>166.34114583333337</c:v>
                </c:pt>
                <c:pt idx="22">
                  <c:v>164.71354166666663</c:v>
                </c:pt>
                <c:pt idx="23">
                  <c:v>173.50260416666663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C-4398-BE35-12B3F984CF39}"/>
            </c:ext>
          </c:extLst>
        </c:ser>
        <c:ser>
          <c:idx val="5"/>
          <c:order val="5"/>
          <c:tx>
            <c:strRef>
              <c:f>'XFMR Data'!$BJ$3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'XFMR Data'!$BJ$25:$BJ$162</c:f>
              <c:numCache>
                <c:formatCode>0</c:formatCode>
                <c:ptCount val="138"/>
                <c:pt idx="0">
                  <c:v>101.95199999999998</c:v>
                </c:pt>
                <c:pt idx="1">
                  <c:v>95.04</c:v>
                </c:pt>
                <c:pt idx="2">
                  <c:v>95.04</c:v>
                </c:pt>
                <c:pt idx="3">
                  <c:v>92.448000000000008</c:v>
                </c:pt>
                <c:pt idx="4">
                  <c:v>95.731199999999973</c:v>
                </c:pt>
                <c:pt idx="5">
                  <c:v>94.751999999999995</c:v>
                </c:pt>
                <c:pt idx="6">
                  <c:v>93.023999999999987</c:v>
                </c:pt>
                <c:pt idx="7">
                  <c:v>93.6</c:v>
                </c:pt>
                <c:pt idx="8">
                  <c:v>92.735999999999976</c:v>
                </c:pt>
                <c:pt idx="9">
                  <c:v>93.023999999999987</c:v>
                </c:pt>
                <c:pt idx="10">
                  <c:v>89.567999999999998</c:v>
                </c:pt>
                <c:pt idx="11">
                  <c:v>91.871999999999986</c:v>
                </c:pt>
                <c:pt idx="12">
                  <c:v>97.34399999999998</c:v>
                </c:pt>
                <c:pt idx="13">
                  <c:v>104.83199999999999</c:v>
                </c:pt>
                <c:pt idx="14">
                  <c:v>122.11199999999998</c:v>
                </c:pt>
                <c:pt idx="15">
                  <c:v>138.81599999999997</c:v>
                </c:pt>
                <c:pt idx="16">
                  <c:v>154.94399999999999</c:v>
                </c:pt>
                <c:pt idx="17">
                  <c:v>160.41599999999997</c:v>
                </c:pt>
                <c:pt idx="18">
                  <c:v>160.41599999999997</c:v>
                </c:pt>
                <c:pt idx="19">
                  <c:v>159.26399999999998</c:v>
                </c:pt>
                <c:pt idx="20">
                  <c:v>149.76</c:v>
                </c:pt>
                <c:pt idx="21">
                  <c:v>147.16800000000001</c:v>
                </c:pt>
                <c:pt idx="22">
                  <c:v>145.72799999999998</c:v>
                </c:pt>
                <c:pt idx="23">
                  <c:v>153.50399999999999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C-4398-BE35-12B3F984CF39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'XFMR Data'!$A$5:$A$162</c:f>
              <c:numCache>
                <c:formatCode>m/d/yyyy</c:formatCode>
                <c:ptCount val="15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  <c:pt idx="48">
                  <c:v>44617</c:v>
                </c:pt>
                <c:pt idx="49">
                  <c:v>44650</c:v>
                </c:pt>
                <c:pt idx="50">
                  <c:v>44691</c:v>
                </c:pt>
                <c:pt idx="51">
                  <c:v>44714</c:v>
                </c:pt>
                <c:pt idx="52">
                  <c:v>44753</c:v>
                </c:pt>
                <c:pt idx="53">
                  <c:v>44774</c:v>
                </c:pt>
                <c:pt idx="54">
                  <c:v>44805</c:v>
                </c:pt>
                <c:pt idx="55">
                  <c:v>44838</c:v>
                </c:pt>
                <c:pt idx="56">
                  <c:v>44868</c:v>
                </c:pt>
                <c:pt idx="57">
                  <c:v>44908</c:v>
                </c:pt>
                <c:pt idx="58">
                  <c:v>44965</c:v>
                </c:pt>
                <c:pt idx="59">
                  <c:v>44992</c:v>
                </c:pt>
                <c:pt idx="60">
                  <c:v>45020</c:v>
                </c:pt>
                <c:pt idx="61">
                  <c:v>45047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BC-4398-BE35-12B3F984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'XFMR Data'!$A$5:$A$162</c15:sqref>
                        </c15:formulaRef>
                      </c:ext>
                    </c:extLst>
                    <c:numCache>
                      <c:formatCode>m/d/yyyy</c:formatCode>
                      <c:ptCount val="15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  <c:pt idx="48">
                        <c:v>44617</c:v>
                      </c:pt>
                      <c:pt idx="49">
                        <c:v>44650</c:v>
                      </c:pt>
                      <c:pt idx="50">
                        <c:v>44691</c:v>
                      </c:pt>
                      <c:pt idx="51">
                        <c:v>44714</c:v>
                      </c:pt>
                      <c:pt idx="52">
                        <c:v>44753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44838</c:v>
                      </c:pt>
                      <c:pt idx="56">
                        <c:v>44868</c:v>
                      </c:pt>
                      <c:pt idx="57">
                        <c:v>44908</c:v>
                      </c:pt>
                      <c:pt idx="58">
                        <c:v>44965</c:v>
                      </c:pt>
                      <c:pt idx="59">
                        <c:v>44992</c:v>
                      </c:pt>
                      <c:pt idx="60">
                        <c:v>45020</c:v>
                      </c:pt>
                      <c:pt idx="61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ABC-4398-BE35-12B3F984CF39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982/983/984 Bench Loadings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 Benches Data'!$EM$3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Data'!$ET$5:$ET$52</c:f>
              <c:numCache>
                <c:formatCode>0</c:formatCode>
                <c:ptCount val="48"/>
                <c:pt idx="0">
                  <c:v>61</c:v>
                </c:pt>
                <c:pt idx="1">
                  <c:v>65.25</c:v>
                </c:pt>
                <c:pt idx="2">
                  <c:v>65.75</c:v>
                </c:pt>
                <c:pt idx="3">
                  <c:v>65.75</c:v>
                </c:pt>
                <c:pt idx="4">
                  <c:v>72</c:v>
                </c:pt>
                <c:pt idx="5">
                  <c:v>71.25</c:v>
                </c:pt>
                <c:pt idx="6">
                  <c:v>71.75</c:v>
                </c:pt>
                <c:pt idx="7">
                  <c:v>71.75</c:v>
                </c:pt>
                <c:pt idx="8">
                  <c:v>73.5</c:v>
                </c:pt>
                <c:pt idx="9">
                  <c:v>64.25</c:v>
                </c:pt>
                <c:pt idx="10">
                  <c:v>48.5</c:v>
                </c:pt>
                <c:pt idx="11">
                  <c:v>50</c:v>
                </c:pt>
                <c:pt idx="12">
                  <c:v>48</c:v>
                </c:pt>
                <c:pt idx="13">
                  <c:v>44</c:v>
                </c:pt>
                <c:pt idx="14">
                  <c:v>40</c:v>
                </c:pt>
                <c:pt idx="15">
                  <c:v>39.5</c:v>
                </c:pt>
                <c:pt idx="16">
                  <c:v>42.5</c:v>
                </c:pt>
                <c:pt idx="17">
                  <c:v>50.75</c:v>
                </c:pt>
                <c:pt idx="18">
                  <c:v>49.5</c:v>
                </c:pt>
                <c:pt idx="19">
                  <c:v>45.5</c:v>
                </c:pt>
                <c:pt idx="20">
                  <c:v>48</c:v>
                </c:pt>
                <c:pt idx="21" formatCode="General">
                  <c:v>46</c:v>
                </c:pt>
                <c:pt idx="22">
                  <c:v>44.5</c:v>
                </c:pt>
                <c:pt idx="23">
                  <c:v>52</c:v>
                </c:pt>
                <c:pt idx="24">
                  <c:v>48</c:v>
                </c:pt>
                <c:pt idx="25">
                  <c:v>51.75</c:v>
                </c:pt>
                <c:pt idx="26">
                  <c:v>49</c:v>
                </c:pt>
                <c:pt idx="27">
                  <c:v>40</c:v>
                </c:pt>
                <c:pt idx="28">
                  <c:v>35</c:v>
                </c:pt>
                <c:pt idx="29">
                  <c:v>40.75</c:v>
                </c:pt>
                <c:pt idx="30">
                  <c:v>48.25</c:v>
                </c:pt>
                <c:pt idx="31">
                  <c:v>50</c:v>
                </c:pt>
                <c:pt idx="32">
                  <c:v>39</c:v>
                </c:pt>
                <c:pt idx="33">
                  <c:v>32.25</c:v>
                </c:pt>
                <c:pt idx="34">
                  <c:v>27</c:v>
                </c:pt>
                <c:pt idx="35">
                  <c:v>29.25</c:v>
                </c:pt>
                <c:pt idx="36">
                  <c:v>30</c:v>
                </c:pt>
                <c:pt idx="37">
                  <c:v>24</c:v>
                </c:pt>
                <c:pt idx="38">
                  <c:v>27.75</c:v>
                </c:pt>
                <c:pt idx="39">
                  <c:v>28.25</c:v>
                </c:pt>
                <c:pt idx="40">
                  <c:v>52</c:v>
                </c:pt>
                <c:pt idx="41">
                  <c:v>74.5</c:v>
                </c:pt>
                <c:pt idx="42">
                  <c:v>82.5</c:v>
                </c:pt>
                <c:pt idx="43">
                  <c:v>72.25</c:v>
                </c:pt>
                <c:pt idx="44">
                  <c:v>78.75</c:v>
                </c:pt>
                <c:pt idx="45">
                  <c:v>93.75</c:v>
                </c:pt>
                <c:pt idx="46">
                  <c:v>92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C-4A16-AE98-A4D4465491C0}"/>
            </c:ext>
          </c:extLst>
        </c:ser>
        <c:ser>
          <c:idx val="1"/>
          <c:order val="1"/>
          <c:tx>
            <c:strRef>
              <c:f>'SEC Benches Data'!$EN$3</c:f>
              <c:strCache>
                <c:ptCount val="1"/>
                <c:pt idx="0">
                  <c:v>14 - 26 Wks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  <c:extLst xmlns:c15="http://schemas.microsoft.com/office/drawing/2012/chart"/>
            </c:numRef>
          </c:cat>
          <c:val>
            <c:numRef>
              <c:f>'SEC Benches Data'!$EN$5:$EN$26</c:f>
              <c:numCache>
                <c:formatCode>0</c:formatCode>
                <c:ptCount val="22"/>
                <c:pt idx="19">
                  <c:v>46</c:v>
                </c:pt>
                <c:pt idx="20">
                  <c:v>46.375</c:v>
                </c:pt>
                <c:pt idx="21">
                  <c:v>51.25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4FC-4A16-AE98-A4D4465491C0}"/>
            </c:ext>
          </c:extLst>
        </c:ser>
        <c:ser>
          <c:idx val="2"/>
          <c:order val="2"/>
          <c:tx>
            <c:strRef>
              <c:f>'SEC Benches Data'!$EO$3</c:f>
              <c:strCache>
                <c:ptCount val="1"/>
                <c:pt idx="0">
                  <c:v>14 - 26 Wks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Data'!$EV$5:$EV$52</c:f>
              <c:numCache>
                <c:formatCode>0</c:formatCode>
                <c:ptCount val="48"/>
                <c:pt idx="19">
                  <c:v>50</c:v>
                </c:pt>
                <c:pt idx="20">
                  <c:v>52</c:v>
                </c:pt>
                <c:pt idx="21">
                  <c:v>59.25</c:v>
                </c:pt>
                <c:pt idx="22">
                  <c:v>47</c:v>
                </c:pt>
                <c:pt idx="23">
                  <c:v>48.75</c:v>
                </c:pt>
                <c:pt idx="24">
                  <c:v>39.5</c:v>
                </c:pt>
                <c:pt idx="25">
                  <c:v>43.25</c:v>
                </c:pt>
                <c:pt idx="26">
                  <c:v>35</c:v>
                </c:pt>
                <c:pt idx="27">
                  <c:v>35.5</c:v>
                </c:pt>
                <c:pt idx="28">
                  <c:v>31.75</c:v>
                </c:pt>
                <c:pt idx="29">
                  <c:v>41</c:v>
                </c:pt>
                <c:pt idx="30">
                  <c:v>47.25</c:v>
                </c:pt>
                <c:pt idx="31">
                  <c:v>36.75</c:v>
                </c:pt>
                <c:pt idx="32">
                  <c:v>51.6</c:v>
                </c:pt>
                <c:pt idx="33">
                  <c:v>37.799999999999997</c:v>
                </c:pt>
                <c:pt idx="34">
                  <c:v>46.199999999999996</c:v>
                </c:pt>
                <c:pt idx="35">
                  <c:v>36.6</c:v>
                </c:pt>
                <c:pt idx="36">
                  <c:v>31.799999999999997</c:v>
                </c:pt>
                <c:pt idx="37">
                  <c:v>30</c:v>
                </c:pt>
                <c:pt idx="38">
                  <c:v>30.299999999999997</c:v>
                </c:pt>
                <c:pt idx="39">
                  <c:v>39</c:v>
                </c:pt>
                <c:pt idx="40">
                  <c:v>57.9</c:v>
                </c:pt>
                <c:pt idx="41">
                  <c:v>68.399999999999991</c:v>
                </c:pt>
                <c:pt idx="42">
                  <c:v>60</c:v>
                </c:pt>
                <c:pt idx="43">
                  <c:v>74.099999999999994</c:v>
                </c:pt>
                <c:pt idx="44">
                  <c:v>84.3</c:v>
                </c:pt>
                <c:pt idx="45">
                  <c:v>90.899999999999991</c:v>
                </c:pt>
                <c:pt idx="46">
                  <c:v>62.4</c:v>
                </c:pt>
                <c:pt idx="47">
                  <c:v>68.399999999999991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C-4A16-AE98-A4D4465491C0}"/>
            </c:ext>
          </c:extLst>
        </c:ser>
        <c:ser>
          <c:idx val="3"/>
          <c:order val="3"/>
          <c:tx>
            <c:strRef>
              <c:f>'SEC Benches Data'!$EP$3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Data'!$EW$5:$EW$52</c:f>
              <c:numCache>
                <c:formatCode>0</c:formatCode>
                <c:ptCount val="48"/>
                <c:pt idx="0">
                  <c:v>95.214655999999977</c:v>
                </c:pt>
                <c:pt idx="1">
                  <c:v>101.84846399999999</c:v>
                </c:pt>
                <c:pt idx="2">
                  <c:v>102.62891199999999</c:v>
                </c:pt>
                <c:pt idx="3">
                  <c:v>102.62891199999999</c:v>
                </c:pt>
                <c:pt idx="4">
                  <c:v>112.38451199999997</c:v>
                </c:pt>
                <c:pt idx="5">
                  <c:v>104.31988266666664</c:v>
                </c:pt>
                <c:pt idx="6">
                  <c:v>107.11648799999996</c:v>
                </c:pt>
                <c:pt idx="7">
                  <c:v>108.80745866666663</c:v>
                </c:pt>
                <c:pt idx="8">
                  <c:v>110.82361599999999</c:v>
                </c:pt>
                <c:pt idx="9">
                  <c:v>110.43339199999997</c:v>
                </c:pt>
                <c:pt idx="10">
                  <c:v>104.31988266666664</c:v>
                </c:pt>
                <c:pt idx="11">
                  <c:v>98.791709333333316</c:v>
                </c:pt>
                <c:pt idx="12">
                  <c:v>92.613162666666653</c:v>
                </c:pt>
                <c:pt idx="13">
                  <c:v>85.394018666666653</c:v>
                </c:pt>
                <c:pt idx="14">
                  <c:v>76.67901599999999</c:v>
                </c:pt>
                <c:pt idx="15">
                  <c:v>70.240319999999983</c:v>
                </c:pt>
                <c:pt idx="16">
                  <c:v>68.679423999999983</c:v>
                </c:pt>
                <c:pt idx="17">
                  <c:v>68.874535999999992</c:v>
                </c:pt>
                <c:pt idx="18">
                  <c:v>69.264759999999981</c:v>
                </c:pt>
                <c:pt idx="19">
                  <c:v>69.654983999999985</c:v>
                </c:pt>
                <c:pt idx="20">
                  <c:v>71.73617866666666</c:v>
                </c:pt>
                <c:pt idx="21">
                  <c:v>73.427149333333318</c:v>
                </c:pt>
                <c:pt idx="22">
                  <c:v>73.94744799999998</c:v>
                </c:pt>
                <c:pt idx="23">
                  <c:v>74.272634666666661</c:v>
                </c:pt>
                <c:pt idx="24">
                  <c:v>73.882410666666658</c:v>
                </c:pt>
                <c:pt idx="25">
                  <c:v>75.50834399999998</c:v>
                </c:pt>
                <c:pt idx="26">
                  <c:v>75.768493333333311</c:v>
                </c:pt>
                <c:pt idx="27">
                  <c:v>74.207597333333311</c:v>
                </c:pt>
                <c:pt idx="28">
                  <c:v>71.73617866666666</c:v>
                </c:pt>
                <c:pt idx="29">
                  <c:v>68.809498666666656</c:v>
                </c:pt>
                <c:pt idx="30">
                  <c:v>68.874535999999992</c:v>
                </c:pt>
                <c:pt idx="31">
                  <c:v>68.419274666666652</c:v>
                </c:pt>
                <c:pt idx="32">
                  <c:v>65.817781333333315</c:v>
                </c:pt>
                <c:pt idx="33">
                  <c:v>63.80162399999999</c:v>
                </c:pt>
                <c:pt idx="34">
                  <c:v>61.720429333333314</c:v>
                </c:pt>
                <c:pt idx="35">
                  <c:v>58.728711999999987</c:v>
                </c:pt>
                <c:pt idx="36">
                  <c:v>53.980986666666666</c:v>
                </c:pt>
                <c:pt idx="37">
                  <c:v>47.217103999999985</c:v>
                </c:pt>
                <c:pt idx="38">
                  <c:v>44.290423999999994</c:v>
                </c:pt>
                <c:pt idx="39">
                  <c:v>43.249826666666657</c:v>
                </c:pt>
                <c:pt idx="40">
                  <c:v>49.753559999999986</c:v>
                </c:pt>
                <c:pt idx="41">
                  <c:v>61.525317333333319</c:v>
                </c:pt>
                <c:pt idx="42">
                  <c:v>75.183157333333313</c:v>
                </c:pt>
                <c:pt idx="43">
                  <c:v>87.73536266666666</c:v>
                </c:pt>
                <c:pt idx="44">
                  <c:v>101.00297866666664</c:v>
                </c:pt>
                <c:pt idx="45">
                  <c:v>118.04275999999997</c:v>
                </c:pt>
                <c:pt idx="46">
                  <c:v>128.44873333333331</c:v>
                </c:pt>
                <c:pt idx="47">
                  <c:v>131.9607493333333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C-4A16-AE98-A4D4465491C0}"/>
            </c:ext>
          </c:extLst>
        </c:ser>
        <c:ser>
          <c:idx val="4"/>
          <c:order val="4"/>
          <c:tx>
            <c:strRef>
              <c:f>'SEC Benches Data'!$EQ$3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Data'!$EX$5:$EX$52</c:f>
              <c:numCache>
                <c:formatCode>0</c:formatCode>
                <c:ptCount val="48"/>
                <c:pt idx="0">
                  <c:v>119.140625</c:v>
                </c:pt>
                <c:pt idx="1">
                  <c:v>127.44140625</c:v>
                </c:pt>
                <c:pt idx="2">
                  <c:v>128.41796875</c:v>
                </c:pt>
                <c:pt idx="3">
                  <c:v>128.41796875</c:v>
                </c:pt>
                <c:pt idx="4">
                  <c:v>140.625</c:v>
                </c:pt>
                <c:pt idx="5">
                  <c:v>130.53385416666663</c:v>
                </c:pt>
                <c:pt idx="6">
                  <c:v>134.033203125</c:v>
                </c:pt>
                <c:pt idx="7">
                  <c:v>136.14908854166663</c:v>
                </c:pt>
                <c:pt idx="8">
                  <c:v>138.671875</c:v>
                </c:pt>
                <c:pt idx="9">
                  <c:v>138.18359375</c:v>
                </c:pt>
                <c:pt idx="10">
                  <c:v>130.53385416666663</c:v>
                </c:pt>
                <c:pt idx="11">
                  <c:v>123.61653645833331</c:v>
                </c:pt>
                <c:pt idx="12">
                  <c:v>115.88541666666669</c:v>
                </c:pt>
                <c:pt idx="13">
                  <c:v>106.85221354166669</c:v>
                </c:pt>
                <c:pt idx="14">
                  <c:v>95.947265625</c:v>
                </c:pt>
                <c:pt idx="15">
                  <c:v>87.890625</c:v>
                </c:pt>
                <c:pt idx="16">
                  <c:v>85.9375</c:v>
                </c:pt>
                <c:pt idx="17">
                  <c:v>86.181640625</c:v>
                </c:pt>
                <c:pt idx="18">
                  <c:v>86.669921875</c:v>
                </c:pt>
                <c:pt idx="19">
                  <c:v>87.158203125</c:v>
                </c:pt>
                <c:pt idx="20">
                  <c:v>89.762369791666686</c:v>
                </c:pt>
                <c:pt idx="21">
                  <c:v>91.878255208333314</c:v>
                </c:pt>
                <c:pt idx="22">
                  <c:v>92.529296875</c:v>
                </c:pt>
                <c:pt idx="23">
                  <c:v>92.936197916666686</c:v>
                </c:pt>
                <c:pt idx="24">
                  <c:v>92.447916666666686</c:v>
                </c:pt>
                <c:pt idx="25">
                  <c:v>94.482421875</c:v>
                </c:pt>
                <c:pt idx="26">
                  <c:v>94.807942708333314</c:v>
                </c:pt>
                <c:pt idx="27">
                  <c:v>92.854817708333314</c:v>
                </c:pt>
                <c:pt idx="28">
                  <c:v>89.762369791666686</c:v>
                </c:pt>
                <c:pt idx="29">
                  <c:v>86.100260416666686</c:v>
                </c:pt>
                <c:pt idx="30">
                  <c:v>86.181640625</c:v>
                </c:pt>
                <c:pt idx="31">
                  <c:v>85.611979166666686</c:v>
                </c:pt>
                <c:pt idx="32">
                  <c:v>82.356770833333314</c:v>
                </c:pt>
                <c:pt idx="33">
                  <c:v>79.833984375</c:v>
                </c:pt>
                <c:pt idx="34">
                  <c:v>77.229817708333314</c:v>
                </c:pt>
                <c:pt idx="35">
                  <c:v>73.486328125</c:v>
                </c:pt>
                <c:pt idx="36">
                  <c:v>67.545572916666686</c:v>
                </c:pt>
                <c:pt idx="37">
                  <c:v>59.08203125</c:v>
                </c:pt>
                <c:pt idx="38">
                  <c:v>55.419921875</c:v>
                </c:pt>
                <c:pt idx="39">
                  <c:v>54.117838541666657</c:v>
                </c:pt>
                <c:pt idx="40">
                  <c:v>62.255859375</c:v>
                </c:pt>
                <c:pt idx="41">
                  <c:v>76.985677083333314</c:v>
                </c:pt>
                <c:pt idx="42">
                  <c:v>94.075520833333314</c:v>
                </c:pt>
                <c:pt idx="43">
                  <c:v>109.78190104166669</c:v>
                </c:pt>
                <c:pt idx="44">
                  <c:v>126.38346354166664</c:v>
                </c:pt>
                <c:pt idx="45">
                  <c:v>147.705078125</c:v>
                </c:pt>
                <c:pt idx="46">
                  <c:v>160.72591145833337</c:v>
                </c:pt>
                <c:pt idx="47">
                  <c:v>165.12044270833337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C-4A16-AE98-A4D4465491C0}"/>
            </c:ext>
          </c:extLst>
        </c:ser>
        <c:ser>
          <c:idx val="5"/>
          <c:order val="5"/>
          <c:tx>
            <c:strRef>
              <c:f>'SEC Benches Data'!$ER$3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Data'!$EY$5:$EY$52</c:f>
              <c:numCache>
                <c:formatCode>0</c:formatCode>
                <c:ptCount val="48"/>
                <c:pt idx="0">
                  <c:v>105.408</c:v>
                </c:pt>
                <c:pt idx="1">
                  <c:v>112.752</c:v>
                </c:pt>
                <c:pt idx="2">
                  <c:v>113.61599999999999</c:v>
                </c:pt>
                <c:pt idx="3">
                  <c:v>113.61599999999999</c:v>
                </c:pt>
                <c:pt idx="4">
                  <c:v>124.41599999999998</c:v>
                </c:pt>
                <c:pt idx="5">
                  <c:v>115.48799999999997</c:v>
                </c:pt>
                <c:pt idx="6">
                  <c:v>118.58399999999999</c:v>
                </c:pt>
                <c:pt idx="7">
                  <c:v>120.45599999999997</c:v>
                </c:pt>
                <c:pt idx="8">
                  <c:v>122.68799999999999</c:v>
                </c:pt>
                <c:pt idx="9">
                  <c:v>122.25599999999997</c:v>
                </c:pt>
                <c:pt idx="10">
                  <c:v>115.48799999999997</c:v>
                </c:pt>
                <c:pt idx="11">
                  <c:v>109.36799999999998</c:v>
                </c:pt>
                <c:pt idx="12">
                  <c:v>102.52799999999999</c:v>
                </c:pt>
                <c:pt idx="13">
                  <c:v>94.536000000000001</c:v>
                </c:pt>
                <c:pt idx="14">
                  <c:v>84.887999999999991</c:v>
                </c:pt>
                <c:pt idx="15">
                  <c:v>77.759999999999991</c:v>
                </c:pt>
                <c:pt idx="16">
                  <c:v>76.031999999999982</c:v>
                </c:pt>
                <c:pt idx="17">
                  <c:v>76.24799999999999</c:v>
                </c:pt>
                <c:pt idx="18">
                  <c:v>76.679999999999993</c:v>
                </c:pt>
                <c:pt idx="19">
                  <c:v>77.111999999999981</c:v>
                </c:pt>
                <c:pt idx="20">
                  <c:v>79.415999999999983</c:v>
                </c:pt>
                <c:pt idx="21">
                  <c:v>81.287999999999997</c:v>
                </c:pt>
                <c:pt idx="22">
                  <c:v>81.86399999999999</c:v>
                </c:pt>
                <c:pt idx="23">
                  <c:v>82.22399999999999</c:v>
                </c:pt>
                <c:pt idx="24">
                  <c:v>81.791999999999987</c:v>
                </c:pt>
                <c:pt idx="25">
                  <c:v>83.591999999999999</c:v>
                </c:pt>
                <c:pt idx="26">
                  <c:v>83.879999999999981</c:v>
                </c:pt>
                <c:pt idx="27">
                  <c:v>82.151999999999987</c:v>
                </c:pt>
                <c:pt idx="28">
                  <c:v>79.415999999999983</c:v>
                </c:pt>
                <c:pt idx="29">
                  <c:v>76.175999999999988</c:v>
                </c:pt>
                <c:pt idx="30">
                  <c:v>76.24799999999999</c:v>
                </c:pt>
                <c:pt idx="31">
                  <c:v>75.744</c:v>
                </c:pt>
                <c:pt idx="32">
                  <c:v>72.86399999999999</c:v>
                </c:pt>
                <c:pt idx="33">
                  <c:v>70.631999999999991</c:v>
                </c:pt>
                <c:pt idx="34">
                  <c:v>68.327999999999989</c:v>
                </c:pt>
                <c:pt idx="35">
                  <c:v>65.015999999999991</c:v>
                </c:pt>
                <c:pt idx="36">
                  <c:v>59.759999999999991</c:v>
                </c:pt>
                <c:pt idx="37">
                  <c:v>52.271999999999991</c:v>
                </c:pt>
                <c:pt idx="38">
                  <c:v>49.031999999999989</c:v>
                </c:pt>
                <c:pt idx="39">
                  <c:v>47.879999999999995</c:v>
                </c:pt>
                <c:pt idx="40">
                  <c:v>55.08</c:v>
                </c:pt>
                <c:pt idx="41">
                  <c:v>68.111999999999995</c:v>
                </c:pt>
                <c:pt idx="42">
                  <c:v>83.231999999999999</c:v>
                </c:pt>
                <c:pt idx="43">
                  <c:v>97.128</c:v>
                </c:pt>
                <c:pt idx="44">
                  <c:v>111.81599999999999</c:v>
                </c:pt>
                <c:pt idx="45">
                  <c:v>130.67999999999998</c:v>
                </c:pt>
                <c:pt idx="46">
                  <c:v>142.19999999999999</c:v>
                </c:pt>
                <c:pt idx="47">
                  <c:v>146.08799999999999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FC-4A16-AE98-A4D4465491C0}"/>
            </c:ext>
          </c:extLst>
        </c:ser>
        <c:ser>
          <c:idx val="6"/>
          <c:order val="6"/>
          <c:tx>
            <c:strRef>
              <c:f>'SEC Benches Data'!$ES$3</c:f>
              <c:strCache>
                <c:ptCount val="1"/>
                <c:pt idx="0">
                  <c:v>Ideal Capacity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Data'!$ES$5:$ES$52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C-4A16-AE98-A4D446549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330912"/>
        <c:axId val="566346368"/>
        <c:extLst/>
      </c:lineChart>
      <c:dateAx>
        <c:axId val="56833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6346368"/>
        <c:crosses val="autoZero"/>
        <c:auto val="1"/>
        <c:lblOffset val="100"/>
        <c:baseTimeUnit val="days"/>
      </c:dateAx>
      <c:valAx>
        <c:axId val="56634636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985/987/988</a:t>
            </a:r>
            <a:r>
              <a:rPr lang="en-US" baseline="0"/>
              <a:t> T</a:t>
            </a:r>
            <a:r>
              <a:rPr lang="en-US"/>
              <a:t>-Series Reader Bench Loadings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 Benches Data'!$EM$3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Data'!$EZ$5:$EZ$52</c:f>
              <c:numCache>
                <c:formatCode>0</c:formatCode>
                <c:ptCount val="48"/>
                <c:pt idx="0">
                  <c:v>95.5</c:v>
                </c:pt>
                <c:pt idx="1">
                  <c:v>99</c:v>
                </c:pt>
                <c:pt idx="2">
                  <c:v>105.5</c:v>
                </c:pt>
                <c:pt idx="3">
                  <c:v>104.5</c:v>
                </c:pt>
                <c:pt idx="4">
                  <c:v>113</c:v>
                </c:pt>
                <c:pt idx="5">
                  <c:v>117</c:v>
                </c:pt>
                <c:pt idx="6">
                  <c:v>121</c:v>
                </c:pt>
                <c:pt idx="7">
                  <c:v>121</c:v>
                </c:pt>
                <c:pt idx="8">
                  <c:v>125.5</c:v>
                </c:pt>
                <c:pt idx="9">
                  <c:v>109</c:v>
                </c:pt>
                <c:pt idx="10">
                  <c:v>63</c:v>
                </c:pt>
                <c:pt idx="11">
                  <c:v>51</c:v>
                </c:pt>
                <c:pt idx="12">
                  <c:v>45</c:v>
                </c:pt>
                <c:pt idx="13">
                  <c:v>46.5</c:v>
                </c:pt>
                <c:pt idx="14">
                  <c:v>57.5</c:v>
                </c:pt>
                <c:pt idx="15">
                  <c:v>51.5</c:v>
                </c:pt>
                <c:pt idx="16">
                  <c:v>54</c:v>
                </c:pt>
                <c:pt idx="17">
                  <c:v>57</c:v>
                </c:pt>
                <c:pt idx="18">
                  <c:v>58.5</c:v>
                </c:pt>
                <c:pt idx="19">
                  <c:v>49.5</c:v>
                </c:pt>
                <c:pt idx="20">
                  <c:v>49.5</c:v>
                </c:pt>
                <c:pt idx="21" formatCode="General">
                  <c:v>50.5</c:v>
                </c:pt>
                <c:pt idx="22">
                  <c:v>59</c:v>
                </c:pt>
                <c:pt idx="23">
                  <c:v>75</c:v>
                </c:pt>
                <c:pt idx="24">
                  <c:v>70</c:v>
                </c:pt>
                <c:pt idx="25">
                  <c:v>71</c:v>
                </c:pt>
                <c:pt idx="26">
                  <c:v>70.5</c:v>
                </c:pt>
                <c:pt idx="27">
                  <c:v>65.5</c:v>
                </c:pt>
                <c:pt idx="28">
                  <c:v>66</c:v>
                </c:pt>
                <c:pt idx="29">
                  <c:v>60</c:v>
                </c:pt>
                <c:pt idx="30">
                  <c:v>71</c:v>
                </c:pt>
                <c:pt idx="31">
                  <c:v>71.5</c:v>
                </c:pt>
                <c:pt idx="32">
                  <c:v>62.5</c:v>
                </c:pt>
                <c:pt idx="33">
                  <c:v>53.5</c:v>
                </c:pt>
                <c:pt idx="34">
                  <c:v>56</c:v>
                </c:pt>
                <c:pt idx="35">
                  <c:v>56.666666666666664</c:v>
                </c:pt>
                <c:pt idx="36">
                  <c:v>43</c:v>
                </c:pt>
                <c:pt idx="37">
                  <c:v>43</c:v>
                </c:pt>
                <c:pt idx="38">
                  <c:v>33.5</c:v>
                </c:pt>
                <c:pt idx="39">
                  <c:v>35.666666666666664</c:v>
                </c:pt>
                <c:pt idx="40">
                  <c:v>49.666666666666664</c:v>
                </c:pt>
                <c:pt idx="41">
                  <c:v>86</c:v>
                </c:pt>
                <c:pt idx="42">
                  <c:v>85.666666666666671</c:v>
                </c:pt>
                <c:pt idx="43">
                  <c:v>76.333333333333329</c:v>
                </c:pt>
                <c:pt idx="44">
                  <c:v>43.333333333333336</c:v>
                </c:pt>
                <c:pt idx="45">
                  <c:v>23.666666666666668</c:v>
                </c:pt>
                <c:pt idx="46">
                  <c:v>28.666666666666668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A-46BF-A9EF-141A215FBBEC}"/>
            </c:ext>
          </c:extLst>
        </c:ser>
        <c:ser>
          <c:idx val="1"/>
          <c:order val="1"/>
          <c:tx>
            <c:strRef>
              <c:f>'SEC Benches Data'!$EN$3</c:f>
              <c:strCache>
                <c:ptCount val="1"/>
                <c:pt idx="0">
                  <c:v>14 - 26 Wks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  <c:extLst xmlns:c15="http://schemas.microsoft.com/office/drawing/2012/chart"/>
            </c:numRef>
          </c:cat>
          <c:val>
            <c:numRef>
              <c:f>'SEC Benches Data'!$EN$5:$EN$26</c:f>
              <c:numCache>
                <c:formatCode>0</c:formatCode>
                <c:ptCount val="22"/>
                <c:pt idx="19">
                  <c:v>46</c:v>
                </c:pt>
                <c:pt idx="20">
                  <c:v>46.375</c:v>
                </c:pt>
                <c:pt idx="21">
                  <c:v>51.25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BFA-46BF-A9EF-141A215FBBEC}"/>
            </c:ext>
          </c:extLst>
        </c:ser>
        <c:ser>
          <c:idx val="2"/>
          <c:order val="2"/>
          <c:tx>
            <c:strRef>
              <c:f>'SEC Benches Data'!$EO$3</c:f>
              <c:strCache>
                <c:ptCount val="1"/>
                <c:pt idx="0">
                  <c:v>14 - 26 Wks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Data'!$FB$5:$FB$52</c:f>
              <c:numCache>
                <c:formatCode>0</c:formatCode>
                <c:ptCount val="48"/>
                <c:pt idx="19">
                  <c:v>62</c:v>
                </c:pt>
                <c:pt idx="20">
                  <c:v>62</c:v>
                </c:pt>
                <c:pt idx="21">
                  <c:v>59</c:v>
                </c:pt>
                <c:pt idx="22">
                  <c:v>53</c:v>
                </c:pt>
                <c:pt idx="23">
                  <c:v>58</c:v>
                </c:pt>
                <c:pt idx="24">
                  <c:v>59</c:v>
                </c:pt>
                <c:pt idx="25">
                  <c:v>55.5</c:v>
                </c:pt>
                <c:pt idx="26">
                  <c:v>53</c:v>
                </c:pt>
                <c:pt idx="27">
                  <c:v>45</c:v>
                </c:pt>
                <c:pt idx="28">
                  <c:v>45.5</c:v>
                </c:pt>
                <c:pt idx="29">
                  <c:v>72</c:v>
                </c:pt>
                <c:pt idx="30">
                  <c:v>69</c:v>
                </c:pt>
                <c:pt idx="31">
                  <c:v>56.5</c:v>
                </c:pt>
                <c:pt idx="32">
                  <c:v>81</c:v>
                </c:pt>
                <c:pt idx="33">
                  <c:v>64.2</c:v>
                </c:pt>
                <c:pt idx="34">
                  <c:v>52.4</c:v>
                </c:pt>
                <c:pt idx="35">
                  <c:v>47.599999999999994</c:v>
                </c:pt>
                <c:pt idx="36">
                  <c:v>53.2</c:v>
                </c:pt>
                <c:pt idx="37">
                  <c:v>39.6</c:v>
                </c:pt>
                <c:pt idx="38">
                  <c:v>42.199999999999996</c:v>
                </c:pt>
                <c:pt idx="39">
                  <c:v>39.799999999999997</c:v>
                </c:pt>
                <c:pt idx="40">
                  <c:v>75.199999999999989</c:v>
                </c:pt>
                <c:pt idx="41">
                  <c:v>77.199999999999989</c:v>
                </c:pt>
                <c:pt idx="42">
                  <c:v>60</c:v>
                </c:pt>
                <c:pt idx="43">
                  <c:v>61.999999999999993</c:v>
                </c:pt>
                <c:pt idx="44">
                  <c:v>44.800000000000004</c:v>
                </c:pt>
                <c:pt idx="45">
                  <c:v>23.6</c:v>
                </c:pt>
                <c:pt idx="46">
                  <c:v>18.399999999999999</c:v>
                </c:pt>
                <c:pt idx="47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A-46BF-A9EF-141A215FBBEC}"/>
            </c:ext>
          </c:extLst>
        </c:ser>
        <c:ser>
          <c:idx val="3"/>
          <c:order val="3"/>
          <c:tx>
            <c:strRef>
              <c:f>'SEC Benches Data'!$EP$3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Data'!$FC$5:$FC$52</c:f>
              <c:numCache>
                <c:formatCode>0</c:formatCode>
                <c:ptCount val="48"/>
                <c:pt idx="0">
                  <c:v>149.06556799999998</c:v>
                </c:pt>
                <c:pt idx="1">
                  <c:v>154.52870399999998</c:v>
                </c:pt>
                <c:pt idx="2">
                  <c:v>164.67452799999995</c:v>
                </c:pt>
                <c:pt idx="3">
                  <c:v>163.11363199999994</c:v>
                </c:pt>
                <c:pt idx="4">
                  <c:v>176.38124799999994</c:v>
                </c:pt>
                <c:pt idx="5">
                  <c:v>165.06475199999997</c:v>
                </c:pt>
                <c:pt idx="6">
                  <c:v>171.69855999999999</c:v>
                </c:pt>
                <c:pt idx="7">
                  <c:v>177.42184533333329</c:v>
                </c:pt>
                <c:pt idx="8">
                  <c:v>182.62483199999997</c:v>
                </c:pt>
                <c:pt idx="9">
                  <c:v>183.79550399999999</c:v>
                </c:pt>
                <c:pt idx="10">
                  <c:v>170.78803733333331</c:v>
                </c:pt>
                <c:pt idx="11">
                  <c:v>153.6181813333333</c:v>
                </c:pt>
                <c:pt idx="12">
                  <c:v>133.84683199999998</c:v>
                </c:pt>
                <c:pt idx="13">
                  <c:v>114.46570666666663</c:v>
                </c:pt>
                <c:pt idx="14">
                  <c:v>96.77555199999999</c:v>
                </c:pt>
                <c:pt idx="15">
                  <c:v>81.816965333333314</c:v>
                </c:pt>
                <c:pt idx="16">
                  <c:v>79.475621333333322</c:v>
                </c:pt>
                <c:pt idx="17">
                  <c:v>81.036517333333322</c:v>
                </c:pt>
                <c:pt idx="18">
                  <c:v>84.54853333333331</c:v>
                </c:pt>
                <c:pt idx="19">
                  <c:v>85.328981333333303</c:v>
                </c:pt>
                <c:pt idx="20">
                  <c:v>83.247786666666656</c:v>
                </c:pt>
                <c:pt idx="21">
                  <c:v>82.987637333333311</c:v>
                </c:pt>
                <c:pt idx="22">
                  <c:v>84.288383999999979</c:v>
                </c:pt>
                <c:pt idx="23">
                  <c:v>88.971071999999978</c:v>
                </c:pt>
                <c:pt idx="24">
                  <c:v>91.962789333333291</c:v>
                </c:pt>
                <c:pt idx="25">
                  <c:v>97.555999999999983</c:v>
                </c:pt>
                <c:pt idx="26">
                  <c:v>103.01913599999996</c:v>
                </c:pt>
                <c:pt idx="27">
                  <c:v>106.92137599999998</c:v>
                </c:pt>
                <c:pt idx="28">
                  <c:v>108.74242133333333</c:v>
                </c:pt>
                <c:pt idx="29">
                  <c:v>104.84018133333332</c:v>
                </c:pt>
                <c:pt idx="30">
                  <c:v>105.10033066666664</c:v>
                </c:pt>
                <c:pt idx="31">
                  <c:v>105.23040533333331</c:v>
                </c:pt>
                <c:pt idx="32">
                  <c:v>103.14921066666663</c:v>
                </c:pt>
                <c:pt idx="33">
                  <c:v>100.02741866666663</c:v>
                </c:pt>
                <c:pt idx="34">
                  <c:v>97.425925333333311</c:v>
                </c:pt>
                <c:pt idx="35">
                  <c:v>96.558760888888884</c:v>
                </c:pt>
                <c:pt idx="36">
                  <c:v>89.274579555555547</c:v>
                </c:pt>
                <c:pt idx="37">
                  <c:v>81.860323555555524</c:v>
                </c:pt>
                <c:pt idx="38">
                  <c:v>74.315992888888857</c:v>
                </c:pt>
                <c:pt idx="39">
                  <c:v>69.676663111111083</c:v>
                </c:pt>
                <c:pt idx="40">
                  <c:v>68.029050666666649</c:v>
                </c:pt>
                <c:pt idx="41">
                  <c:v>75.660097777777764</c:v>
                </c:pt>
                <c:pt idx="42">
                  <c:v>86.759802666666644</c:v>
                </c:pt>
                <c:pt idx="43">
                  <c:v>95.431447111111083</c:v>
                </c:pt>
                <c:pt idx="44">
                  <c:v>97.989582222222182</c:v>
                </c:pt>
                <c:pt idx="45">
                  <c:v>94.867790222222197</c:v>
                </c:pt>
                <c:pt idx="46">
                  <c:v>89.404654222222206</c:v>
                </c:pt>
                <c:pt idx="47">
                  <c:v>80.438173866666645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A-46BF-A9EF-141A215FBBEC}"/>
            </c:ext>
          </c:extLst>
        </c:ser>
        <c:ser>
          <c:idx val="4"/>
          <c:order val="4"/>
          <c:tx>
            <c:strRef>
              <c:f>'SEC Benches Data'!$EQ$3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Data'!$FD$5:$FD$52</c:f>
              <c:numCache>
                <c:formatCode>0</c:formatCode>
                <c:ptCount val="48"/>
                <c:pt idx="0">
                  <c:v>186.5234375</c:v>
                </c:pt>
                <c:pt idx="1">
                  <c:v>193.359375</c:v>
                </c:pt>
                <c:pt idx="2">
                  <c:v>206.0546875</c:v>
                </c:pt>
                <c:pt idx="3">
                  <c:v>204.1015625</c:v>
                </c:pt>
                <c:pt idx="4">
                  <c:v>220.703125</c:v>
                </c:pt>
                <c:pt idx="5">
                  <c:v>206.54296875</c:v>
                </c:pt>
                <c:pt idx="6">
                  <c:v>214.84375</c:v>
                </c:pt>
                <c:pt idx="7">
                  <c:v>222.00520833333337</c:v>
                </c:pt>
                <c:pt idx="8">
                  <c:v>228.515625</c:v>
                </c:pt>
                <c:pt idx="9">
                  <c:v>229.98046875</c:v>
                </c:pt>
                <c:pt idx="10">
                  <c:v>213.70442708333337</c:v>
                </c:pt>
                <c:pt idx="11">
                  <c:v>192.22005208333337</c:v>
                </c:pt>
                <c:pt idx="12">
                  <c:v>167.48046875</c:v>
                </c:pt>
                <c:pt idx="13">
                  <c:v>143.22916666666663</c:v>
                </c:pt>
                <c:pt idx="14">
                  <c:v>121.09375</c:v>
                </c:pt>
                <c:pt idx="15">
                  <c:v>102.37630208333331</c:v>
                </c:pt>
                <c:pt idx="16">
                  <c:v>99.446614583333314</c:v>
                </c:pt>
                <c:pt idx="17">
                  <c:v>101.39973958333331</c:v>
                </c:pt>
                <c:pt idx="18">
                  <c:v>105.79427083333331</c:v>
                </c:pt>
                <c:pt idx="19">
                  <c:v>106.77083333333331</c:v>
                </c:pt>
                <c:pt idx="20">
                  <c:v>104.16666666666669</c:v>
                </c:pt>
                <c:pt idx="21">
                  <c:v>103.84114583333331</c:v>
                </c:pt>
                <c:pt idx="22">
                  <c:v>105.46875</c:v>
                </c:pt>
                <c:pt idx="23">
                  <c:v>111.328125</c:v>
                </c:pt>
                <c:pt idx="24">
                  <c:v>115.07161458333331</c:v>
                </c:pt>
                <c:pt idx="25">
                  <c:v>122.0703125</c:v>
                </c:pt>
                <c:pt idx="26">
                  <c:v>128.90625</c:v>
                </c:pt>
                <c:pt idx="27">
                  <c:v>133.7890625</c:v>
                </c:pt>
                <c:pt idx="28">
                  <c:v>136.06770833333337</c:v>
                </c:pt>
                <c:pt idx="29">
                  <c:v>131.18489583333337</c:v>
                </c:pt>
                <c:pt idx="30">
                  <c:v>131.51041666666663</c:v>
                </c:pt>
                <c:pt idx="31">
                  <c:v>131.67317708333337</c:v>
                </c:pt>
                <c:pt idx="32">
                  <c:v>129.06901041666663</c:v>
                </c:pt>
                <c:pt idx="33">
                  <c:v>125.16276041666664</c:v>
                </c:pt>
                <c:pt idx="34">
                  <c:v>121.90755208333331</c:v>
                </c:pt>
                <c:pt idx="35">
                  <c:v>120.82248263888889</c:v>
                </c:pt>
                <c:pt idx="36">
                  <c:v>111.70789930555556</c:v>
                </c:pt>
                <c:pt idx="37">
                  <c:v>102.43055555555554</c:v>
                </c:pt>
                <c:pt idx="38">
                  <c:v>92.990451388888886</c:v>
                </c:pt>
                <c:pt idx="39">
                  <c:v>87.185329861111114</c:v>
                </c:pt>
                <c:pt idx="40">
                  <c:v>85.123697916666686</c:v>
                </c:pt>
                <c:pt idx="41">
                  <c:v>94.672309027777786</c:v>
                </c:pt>
                <c:pt idx="42">
                  <c:v>108.56119791666669</c:v>
                </c:pt>
                <c:pt idx="43">
                  <c:v>119.41189236111111</c:v>
                </c:pt>
                <c:pt idx="44">
                  <c:v>122.61284722222221</c:v>
                </c:pt>
                <c:pt idx="45">
                  <c:v>118.70659722222221</c:v>
                </c:pt>
                <c:pt idx="46">
                  <c:v>111.87065972222223</c:v>
                </c:pt>
                <c:pt idx="47">
                  <c:v>100.65104166666669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A-46BF-A9EF-141A215FBBEC}"/>
            </c:ext>
          </c:extLst>
        </c:ser>
        <c:ser>
          <c:idx val="5"/>
          <c:order val="5"/>
          <c:tx>
            <c:strRef>
              <c:f>'SEC Benches Data'!$ER$3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Data'!$FE$5:$FE$52</c:f>
              <c:numCache>
                <c:formatCode>0</c:formatCode>
                <c:ptCount val="48"/>
                <c:pt idx="0">
                  <c:v>165.02399999999997</c:v>
                </c:pt>
                <c:pt idx="1">
                  <c:v>171.072</c:v>
                </c:pt>
                <c:pt idx="2">
                  <c:v>182.30399999999997</c:v>
                </c:pt>
                <c:pt idx="3">
                  <c:v>180.57599999999999</c:v>
                </c:pt>
                <c:pt idx="4">
                  <c:v>195.26399999999998</c:v>
                </c:pt>
                <c:pt idx="5">
                  <c:v>182.73599999999996</c:v>
                </c:pt>
                <c:pt idx="6">
                  <c:v>190.08</c:v>
                </c:pt>
                <c:pt idx="7">
                  <c:v>196.416</c:v>
                </c:pt>
                <c:pt idx="8">
                  <c:v>202.17599999999999</c:v>
                </c:pt>
                <c:pt idx="9">
                  <c:v>203.47199999999995</c:v>
                </c:pt>
                <c:pt idx="10">
                  <c:v>189.072</c:v>
                </c:pt>
                <c:pt idx="11">
                  <c:v>170.06399999999999</c:v>
                </c:pt>
                <c:pt idx="12">
                  <c:v>148.17599999999999</c:v>
                </c:pt>
                <c:pt idx="13">
                  <c:v>126.71999999999997</c:v>
                </c:pt>
                <c:pt idx="14">
                  <c:v>107.13599999999998</c:v>
                </c:pt>
                <c:pt idx="15">
                  <c:v>90.575999999999979</c:v>
                </c:pt>
                <c:pt idx="16">
                  <c:v>87.983999999999995</c:v>
                </c:pt>
                <c:pt idx="17">
                  <c:v>89.711999999999989</c:v>
                </c:pt>
                <c:pt idx="18">
                  <c:v>93.6</c:v>
                </c:pt>
                <c:pt idx="19">
                  <c:v>94.463999999999984</c:v>
                </c:pt>
                <c:pt idx="20">
                  <c:v>92.16</c:v>
                </c:pt>
                <c:pt idx="21">
                  <c:v>91.871999999999986</c:v>
                </c:pt>
                <c:pt idx="22">
                  <c:v>93.311999999999983</c:v>
                </c:pt>
                <c:pt idx="23">
                  <c:v>98.495999999999981</c:v>
                </c:pt>
                <c:pt idx="24">
                  <c:v>101.80799999999998</c:v>
                </c:pt>
                <c:pt idx="25">
                  <c:v>108</c:v>
                </c:pt>
                <c:pt idx="26">
                  <c:v>114.048</c:v>
                </c:pt>
                <c:pt idx="27">
                  <c:v>118.36799999999999</c:v>
                </c:pt>
                <c:pt idx="28">
                  <c:v>120.384</c:v>
                </c:pt>
                <c:pt idx="29">
                  <c:v>116.06400000000001</c:v>
                </c:pt>
                <c:pt idx="30">
                  <c:v>116.35199999999999</c:v>
                </c:pt>
                <c:pt idx="31">
                  <c:v>116.496</c:v>
                </c:pt>
                <c:pt idx="32">
                  <c:v>114.19199999999999</c:v>
                </c:pt>
                <c:pt idx="33">
                  <c:v>110.73599999999998</c:v>
                </c:pt>
                <c:pt idx="34">
                  <c:v>107.85599999999998</c:v>
                </c:pt>
                <c:pt idx="35">
                  <c:v>106.896</c:v>
                </c:pt>
                <c:pt idx="36">
                  <c:v>98.831999999999994</c:v>
                </c:pt>
                <c:pt idx="37">
                  <c:v>90.623999999999981</c:v>
                </c:pt>
                <c:pt idx="38">
                  <c:v>82.271999999999977</c:v>
                </c:pt>
                <c:pt idx="39">
                  <c:v>77.135999999999981</c:v>
                </c:pt>
                <c:pt idx="40">
                  <c:v>75.311999999999998</c:v>
                </c:pt>
                <c:pt idx="41">
                  <c:v>83.759999999999991</c:v>
                </c:pt>
                <c:pt idx="42">
                  <c:v>96.048000000000002</c:v>
                </c:pt>
                <c:pt idx="43">
                  <c:v>105.64799999999998</c:v>
                </c:pt>
                <c:pt idx="44">
                  <c:v>108.47999999999999</c:v>
                </c:pt>
                <c:pt idx="45">
                  <c:v>105.02399999999997</c:v>
                </c:pt>
                <c:pt idx="46">
                  <c:v>98.975999999999999</c:v>
                </c:pt>
                <c:pt idx="47">
                  <c:v>89.049599999999998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A-46BF-A9EF-141A215FBBEC}"/>
            </c:ext>
          </c:extLst>
        </c:ser>
        <c:ser>
          <c:idx val="6"/>
          <c:order val="6"/>
          <c:tx>
            <c:strRef>
              <c:f>'SEC Benches Data'!$ES$3</c:f>
              <c:strCache>
                <c:ptCount val="1"/>
                <c:pt idx="0">
                  <c:v>Ideal Capacity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'SEC Benches Data'!$ES$5:$ES$52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FA-46BF-A9EF-141A215F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330912"/>
        <c:axId val="566346368"/>
        <c:extLst/>
      </c:lineChart>
      <c:dateAx>
        <c:axId val="56833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6346368"/>
        <c:crosses val="autoZero"/>
        <c:auto val="1"/>
        <c:lblOffset val="100"/>
        <c:baseTimeUnit val="days"/>
      </c:dateAx>
      <c:valAx>
        <c:axId val="56634636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2 Day Energizer</a:t>
            </a:r>
            <a:r>
              <a:rPr lang="en-NZ" baseline="0"/>
              <a:t> Bench Loadings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 Benches Data'!$K$3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Data'!$K$5:$K$52</c:f>
              <c:numCache>
                <c:formatCode>0</c:formatCode>
                <c:ptCount val="48"/>
                <c:pt idx="0">
                  <c:v>26.375</c:v>
                </c:pt>
                <c:pt idx="1">
                  <c:v>29.75</c:v>
                </c:pt>
                <c:pt idx="2">
                  <c:v>30</c:v>
                </c:pt>
                <c:pt idx="3">
                  <c:v>33.125</c:v>
                </c:pt>
                <c:pt idx="4">
                  <c:v>30.25</c:v>
                </c:pt>
                <c:pt idx="5">
                  <c:v>31</c:v>
                </c:pt>
                <c:pt idx="6">
                  <c:v>30.125</c:v>
                </c:pt>
                <c:pt idx="7">
                  <c:v>30.125</c:v>
                </c:pt>
                <c:pt idx="8">
                  <c:v>30.375</c:v>
                </c:pt>
                <c:pt idx="9">
                  <c:v>32.375</c:v>
                </c:pt>
                <c:pt idx="10">
                  <c:v>33</c:v>
                </c:pt>
                <c:pt idx="11">
                  <c:v>29.375</c:v>
                </c:pt>
                <c:pt idx="12">
                  <c:v>28.125</c:v>
                </c:pt>
                <c:pt idx="13">
                  <c:v>28.25</c:v>
                </c:pt>
                <c:pt idx="14">
                  <c:v>23.625</c:v>
                </c:pt>
                <c:pt idx="15">
                  <c:v>24</c:v>
                </c:pt>
                <c:pt idx="16">
                  <c:v>25.375</c:v>
                </c:pt>
                <c:pt idx="17">
                  <c:v>25.375</c:v>
                </c:pt>
                <c:pt idx="18">
                  <c:v>26.25</c:v>
                </c:pt>
                <c:pt idx="19">
                  <c:v>25.25</c:v>
                </c:pt>
                <c:pt idx="20">
                  <c:v>24</c:v>
                </c:pt>
                <c:pt idx="21" formatCode="General">
                  <c:v>49</c:v>
                </c:pt>
                <c:pt idx="22" formatCode="General">
                  <c:v>55</c:v>
                </c:pt>
                <c:pt idx="23" formatCode="General">
                  <c:v>52</c:v>
                </c:pt>
                <c:pt idx="24" formatCode="General">
                  <c:v>59</c:v>
                </c:pt>
                <c:pt idx="25" formatCode="General">
                  <c:v>56</c:v>
                </c:pt>
                <c:pt idx="26" formatCode="General">
                  <c:v>50</c:v>
                </c:pt>
                <c:pt idx="27" formatCode="General">
                  <c:v>48.5</c:v>
                </c:pt>
                <c:pt idx="28" formatCode="General">
                  <c:v>45</c:v>
                </c:pt>
                <c:pt idx="29" formatCode="General">
                  <c:v>42</c:v>
                </c:pt>
                <c:pt idx="30" formatCode="General">
                  <c:v>45</c:v>
                </c:pt>
                <c:pt idx="31" formatCode="General">
                  <c:v>51.5</c:v>
                </c:pt>
                <c:pt idx="32" formatCode="General">
                  <c:v>65</c:v>
                </c:pt>
                <c:pt idx="33" formatCode="General">
                  <c:v>68</c:v>
                </c:pt>
                <c:pt idx="34" formatCode="General">
                  <c:v>81.5</c:v>
                </c:pt>
                <c:pt idx="35" formatCode="General">
                  <c:v>100</c:v>
                </c:pt>
                <c:pt idx="36" formatCode="General">
                  <c:v>90</c:v>
                </c:pt>
                <c:pt idx="37" formatCode="General">
                  <c:v>76</c:v>
                </c:pt>
                <c:pt idx="38" formatCode="General">
                  <c:v>70</c:v>
                </c:pt>
                <c:pt idx="39" formatCode="General">
                  <c:v>69</c:v>
                </c:pt>
                <c:pt idx="40" formatCode="General">
                  <c:v>73.5</c:v>
                </c:pt>
                <c:pt idx="41" formatCode="General">
                  <c:v>79</c:v>
                </c:pt>
                <c:pt idx="42" formatCode="General">
                  <c:v>97</c:v>
                </c:pt>
                <c:pt idx="43" formatCode="General">
                  <c:v>109</c:v>
                </c:pt>
                <c:pt idx="44" formatCode="General">
                  <c:v>98</c:v>
                </c:pt>
                <c:pt idx="45" formatCode="General">
                  <c:v>66</c:v>
                </c:pt>
                <c:pt idx="46" formatCode="General">
                  <c:v>60</c:v>
                </c:pt>
                <c:pt idx="47" formatCode="General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6-456E-8C04-703BB7612F2B}"/>
            </c:ext>
          </c:extLst>
        </c:ser>
        <c:ser>
          <c:idx val="2"/>
          <c:order val="2"/>
          <c:tx>
            <c:strRef>
              <c:f>'AM Benches Data'!$AN$3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Data'!$AN$5:$AN$52</c:f>
              <c:numCache>
                <c:formatCode>0</c:formatCode>
                <c:ptCount val="48"/>
                <c:pt idx="19">
                  <c:v>20.399999999999999</c:v>
                </c:pt>
                <c:pt idx="20">
                  <c:v>19.349999999999998</c:v>
                </c:pt>
                <c:pt idx="21">
                  <c:v>49.8</c:v>
                </c:pt>
                <c:pt idx="22">
                  <c:v>43.199999999999996</c:v>
                </c:pt>
                <c:pt idx="23">
                  <c:v>52.8</c:v>
                </c:pt>
                <c:pt idx="24">
                  <c:v>40.799999999999997</c:v>
                </c:pt>
                <c:pt idx="25">
                  <c:v>48</c:v>
                </c:pt>
                <c:pt idx="26">
                  <c:v>44.4</c:v>
                </c:pt>
                <c:pt idx="27">
                  <c:v>36</c:v>
                </c:pt>
                <c:pt idx="28">
                  <c:v>38.4</c:v>
                </c:pt>
                <c:pt idx="29">
                  <c:v>56.4</c:v>
                </c:pt>
                <c:pt idx="30">
                  <c:v>56.4</c:v>
                </c:pt>
                <c:pt idx="31">
                  <c:v>56.4</c:v>
                </c:pt>
                <c:pt idx="32">
                  <c:v>75.599999999999994</c:v>
                </c:pt>
                <c:pt idx="33">
                  <c:v>80.399999999999991</c:v>
                </c:pt>
                <c:pt idx="34">
                  <c:v>78</c:v>
                </c:pt>
                <c:pt idx="35">
                  <c:v>63.599999999999994</c:v>
                </c:pt>
                <c:pt idx="36">
                  <c:v>57.599999999999994</c:v>
                </c:pt>
                <c:pt idx="37">
                  <c:v>64.8</c:v>
                </c:pt>
                <c:pt idx="38">
                  <c:v>55.199999999999996</c:v>
                </c:pt>
                <c:pt idx="39">
                  <c:v>58.8</c:v>
                </c:pt>
                <c:pt idx="40">
                  <c:v>115.19999999999999</c:v>
                </c:pt>
                <c:pt idx="41">
                  <c:v>105.6</c:v>
                </c:pt>
                <c:pt idx="42">
                  <c:v>73.2</c:v>
                </c:pt>
                <c:pt idx="43">
                  <c:v>66</c:v>
                </c:pt>
                <c:pt idx="44">
                  <c:v>81.599999999999994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6-456E-8C04-703BB7612F2B}"/>
            </c:ext>
          </c:extLst>
        </c:ser>
        <c:ser>
          <c:idx val="3"/>
          <c:order val="3"/>
          <c:tx>
            <c:strRef>
              <c:f>'AM Benches Data'!$AO$3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Data'!$AO$5:$AO$52</c:f>
              <c:numCache>
                <c:formatCode>0</c:formatCode>
                <c:ptCount val="48"/>
                <c:pt idx="0">
                  <c:v>41.168631999999988</c:v>
                </c:pt>
                <c:pt idx="1">
                  <c:v>46.436655999999992</c:v>
                </c:pt>
                <c:pt idx="2">
                  <c:v>46.826879999999989</c:v>
                </c:pt>
                <c:pt idx="3">
                  <c:v>51.704679999999989</c:v>
                </c:pt>
                <c:pt idx="4">
                  <c:v>47.217103999999985</c:v>
                </c:pt>
                <c:pt idx="5">
                  <c:v>48.387775999999995</c:v>
                </c:pt>
                <c:pt idx="6">
                  <c:v>47.932514666666656</c:v>
                </c:pt>
                <c:pt idx="7">
                  <c:v>48.030070666666646</c:v>
                </c:pt>
                <c:pt idx="8">
                  <c:v>48.127626666666657</c:v>
                </c:pt>
                <c:pt idx="9">
                  <c:v>47.932514666666656</c:v>
                </c:pt>
                <c:pt idx="10">
                  <c:v>48.647925333333319</c:v>
                </c:pt>
                <c:pt idx="11">
                  <c:v>48.225182666666655</c:v>
                </c:pt>
                <c:pt idx="12">
                  <c:v>47.704883999999993</c:v>
                </c:pt>
                <c:pt idx="13">
                  <c:v>47.217103999999985</c:v>
                </c:pt>
                <c:pt idx="14">
                  <c:v>45.461095999999991</c:v>
                </c:pt>
                <c:pt idx="15">
                  <c:v>43.282345333333325</c:v>
                </c:pt>
                <c:pt idx="16">
                  <c:v>41.298706666666654</c:v>
                </c:pt>
                <c:pt idx="17">
                  <c:v>40.25810933333333</c:v>
                </c:pt>
                <c:pt idx="18">
                  <c:v>39.770329333333329</c:v>
                </c:pt>
                <c:pt idx="19">
                  <c:v>38.989881333333329</c:v>
                </c:pt>
                <c:pt idx="20">
                  <c:v>39.08743733333332</c:v>
                </c:pt>
                <c:pt idx="21">
                  <c:v>45.591170666666649</c:v>
                </c:pt>
                <c:pt idx="22">
                  <c:v>53.298094666666657</c:v>
                </c:pt>
                <c:pt idx="23">
                  <c:v>60.224570666666658</c:v>
                </c:pt>
                <c:pt idx="24">
                  <c:v>68.744461333333319</c:v>
                </c:pt>
                <c:pt idx="25">
                  <c:v>76.744053333333312</c:v>
                </c:pt>
                <c:pt idx="26">
                  <c:v>83.507935999999987</c:v>
                </c:pt>
                <c:pt idx="27">
                  <c:v>83.377861333333314</c:v>
                </c:pt>
                <c:pt idx="28">
                  <c:v>80.776367999999977</c:v>
                </c:pt>
                <c:pt idx="29">
                  <c:v>78.174874666666639</c:v>
                </c:pt>
                <c:pt idx="30">
                  <c:v>74.532783999999992</c:v>
                </c:pt>
                <c:pt idx="31">
                  <c:v>73.362111999999982</c:v>
                </c:pt>
                <c:pt idx="32">
                  <c:v>77.264351999999988</c:v>
                </c:pt>
                <c:pt idx="33">
                  <c:v>82.337263999999976</c:v>
                </c:pt>
                <c:pt idx="34">
                  <c:v>91.832714666666661</c:v>
                </c:pt>
                <c:pt idx="35">
                  <c:v>106.92137599999998</c:v>
                </c:pt>
                <c:pt idx="36">
                  <c:v>118.62809599999999</c:v>
                </c:pt>
                <c:pt idx="37">
                  <c:v>125.00175466666664</c:v>
                </c:pt>
                <c:pt idx="38">
                  <c:v>126.30250133333331</c:v>
                </c:pt>
                <c:pt idx="39">
                  <c:v>126.56265066666664</c:v>
                </c:pt>
                <c:pt idx="40">
                  <c:v>124.48145599999998</c:v>
                </c:pt>
                <c:pt idx="41">
                  <c:v>119.01831999999996</c:v>
                </c:pt>
                <c:pt idx="42">
                  <c:v>120.83936533333332</c:v>
                </c:pt>
                <c:pt idx="43">
                  <c:v>129.42429333333331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6-456E-8C04-703BB7612F2B}"/>
            </c:ext>
          </c:extLst>
        </c:ser>
        <c:ser>
          <c:idx val="4"/>
          <c:order val="4"/>
          <c:tx>
            <c:strRef>
              <c:f>'AM Benches Data'!$AP$3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Data'!$AP$5:$AP$52</c:f>
              <c:numCache>
                <c:formatCode>0</c:formatCode>
                <c:ptCount val="48"/>
                <c:pt idx="0">
                  <c:v>51.513671875</c:v>
                </c:pt>
                <c:pt idx="1">
                  <c:v>58.10546875</c:v>
                </c:pt>
                <c:pt idx="2">
                  <c:v>58.59375</c:v>
                </c:pt>
                <c:pt idx="3">
                  <c:v>64.697265625</c:v>
                </c:pt>
                <c:pt idx="4">
                  <c:v>59.08203125</c:v>
                </c:pt>
                <c:pt idx="5">
                  <c:v>60.546875</c:v>
                </c:pt>
                <c:pt idx="6">
                  <c:v>59.977213541666657</c:v>
                </c:pt>
                <c:pt idx="7">
                  <c:v>60.099283854166657</c:v>
                </c:pt>
                <c:pt idx="8">
                  <c:v>60.221354166666657</c:v>
                </c:pt>
                <c:pt idx="9">
                  <c:v>59.977213541666657</c:v>
                </c:pt>
                <c:pt idx="10">
                  <c:v>60.872395833333343</c:v>
                </c:pt>
                <c:pt idx="11">
                  <c:v>60.343424479166657</c:v>
                </c:pt>
                <c:pt idx="12">
                  <c:v>59.6923828125</c:v>
                </c:pt>
                <c:pt idx="13">
                  <c:v>59.08203125</c:v>
                </c:pt>
                <c:pt idx="14">
                  <c:v>56.884765625</c:v>
                </c:pt>
                <c:pt idx="15">
                  <c:v>54.158528645833343</c:v>
                </c:pt>
                <c:pt idx="16">
                  <c:v>51.676432291666657</c:v>
                </c:pt>
                <c:pt idx="17">
                  <c:v>50.374348958333343</c:v>
                </c:pt>
                <c:pt idx="18">
                  <c:v>49.763997395833343</c:v>
                </c:pt>
                <c:pt idx="19">
                  <c:v>48.787434895833343</c:v>
                </c:pt>
                <c:pt idx="20">
                  <c:v>48.909505208333343</c:v>
                </c:pt>
                <c:pt idx="21">
                  <c:v>57.047526041666657</c:v>
                </c:pt>
                <c:pt idx="22">
                  <c:v>66.691080729166686</c:v>
                </c:pt>
                <c:pt idx="23">
                  <c:v>75.358072916666686</c:v>
                </c:pt>
                <c:pt idx="24">
                  <c:v>86.018880208333314</c:v>
                </c:pt>
                <c:pt idx="25">
                  <c:v>96.028645833333314</c:v>
                </c:pt>
                <c:pt idx="26">
                  <c:v>104.4921875</c:v>
                </c:pt>
                <c:pt idx="27">
                  <c:v>104.32942708333331</c:v>
                </c:pt>
                <c:pt idx="28">
                  <c:v>101.07421875</c:v>
                </c:pt>
                <c:pt idx="29">
                  <c:v>97.819010416666686</c:v>
                </c:pt>
                <c:pt idx="30">
                  <c:v>93.26171875</c:v>
                </c:pt>
                <c:pt idx="31">
                  <c:v>91.796875</c:v>
                </c:pt>
                <c:pt idx="32">
                  <c:v>96.6796875</c:v>
                </c:pt>
                <c:pt idx="33">
                  <c:v>103.02734375</c:v>
                </c:pt>
                <c:pt idx="34">
                  <c:v>114.90885416666669</c:v>
                </c:pt>
                <c:pt idx="35">
                  <c:v>133.7890625</c:v>
                </c:pt>
                <c:pt idx="36">
                  <c:v>148.4375</c:v>
                </c:pt>
                <c:pt idx="37">
                  <c:v>156.41276041666663</c:v>
                </c:pt>
                <c:pt idx="38">
                  <c:v>158.04036458333337</c:v>
                </c:pt>
                <c:pt idx="39">
                  <c:v>158.36588541666663</c:v>
                </c:pt>
                <c:pt idx="40">
                  <c:v>155.76171875</c:v>
                </c:pt>
                <c:pt idx="41">
                  <c:v>148.92578125</c:v>
                </c:pt>
                <c:pt idx="42">
                  <c:v>151.20442708333337</c:v>
                </c:pt>
                <c:pt idx="43">
                  <c:v>161.94661458333337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6-456E-8C04-703BB7612F2B}"/>
            </c:ext>
          </c:extLst>
        </c:ser>
        <c:ser>
          <c:idx val="5"/>
          <c:order val="5"/>
          <c:tx>
            <c:strRef>
              <c:f>'AM Benches Data'!$AQ$3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Data'!$AQ$5:$AQ$52</c:f>
              <c:numCache>
                <c:formatCode>0</c:formatCode>
                <c:ptCount val="48"/>
                <c:pt idx="0">
                  <c:v>45.575999999999993</c:v>
                </c:pt>
                <c:pt idx="1">
                  <c:v>51.407999999999994</c:v>
                </c:pt>
                <c:pt idx="2">
                  <c:v>51.839999999999996</c:v>
                </c:pt>
                <c:pt idx="3">
                  <c:v>57.239999999999995</c:v>
                </c:pt>
                <c:pt idx="4">
                  <c:v>52.271999999999991</c:v>
                </c:pt>
                <c:pt idx="5">
                  <c:v>53.567999999999991</c:v>
                </c:pt>
                <c:pt idx="6">
                  <c:v>53.063999999999986</c:v>
                </c:pt>
                <c:pt idx="7">
                  <c:v>53.17199999999999</c:v>
                </c:pt>
                <c:pt idx="8">
                  <c:v>53.279999999999994</c:v>
                </c:pt>
                <c:pt idx="9">
                  <c:v>53.063999999999986</c:v>
                </c:pt>
                <c:pt idx="10">
                  <c:v>53.855999999999995</c:v>
                </c:pt>
                <c:pt idx="11">
                  <c:v>53.387999999999991</c:v>
                </c:pt>
                <c:pt idx="12">
                  <c:v>52.811999999999998</c:v>
                </c:pt>
                <c:pt idx="13">
                  <c:v>52.271999999999991</c:v>
                </c:pt>
                <c:pt idx="14">
                  <c:v>50.327999999999989</c:v>
                </c:pt>
                <c:pt idx="15">
                  <c:v>47.915999999999997</c:v>
                </c:pt>
                <c:pt idx="16">
                  <c:v>45.719999999999992</c:v>
                </c:pt>
                <c:pt idx="17">
                  <c:v>44.567999999999998</c:v>
                </c:pt>
                <c:pt idx="18">
                  <c:v>44.027999999999999</c:v>
                </c:pt>
                <c:pt idx="19">
                  <c:v>43.163999999999994</c:v>
                </c:pt>
                <c:pt idx="20">
                  <c:v>43.271999999999998</c:v>
                </c:pt>
                <c:pt idx="21">
                  <c:v>50.471999999999994</c:v>
                </c:pt>
                <c:pt idx="22">
                  <c:v>59.003999999999998</c:v>
                </c:pt>
                <c:pt idx="23">
                  <c:v>66.671999999999997</c:v>
                </c:pt>
                <c:pt idx="24">
                  <c:v>76.103999999999985</c:v>
                </c:pt>
                <c:pt idx="25">
                  <c:v>84.95999999999998</c:v>
                </c:pt>
                <c:pt idx="26">
                  <c:v>92.448000000000008</c:v>
                </c:pt>
                <c:pt idx="27">
                  <c:v>92.303999999999988</c:v>
                </c:pt>
                <c:pt idx="28">
                  <c:v>89.423999999999992</c:v>
                </c:pt>
                <c:pt idx="29">
                  <c:v>86.543999999999997</c:v>
                </c:pt>
                <c:pt idx="30">
                  <c:v>82.511999999999986</c:v>
                </c:pt>
                <c:pt idx="31">
                  <c:v>81.215999999999994</c:v>
                </c:pt>
                <c:pt idx="32">
                  <c:v>85.536000000000001</c:v>
                </c:pt>
                <c:pt idx="33">
                  <c:v>91.151999999999987</c:v>
                </c:pt>
                <c:pt idx="34">
                  <c:v>101.66399999999997</c:v>
                </c:pt>
                <c:pt idx="35">
                  <c:v>118.36799999999999</c:v>
                </c:pt>
                <c:pt idx="36">
                  <c:v>131.328</c:v>
                </c:pt>
                <c:pt idx="37">
                  <c:v>138.38399999999999</c:v>
                </c:pt>
                <c:pt idx="38">
                  <c:v>139.82400000000001</c:v>
                </c:pt>
                <c:pt idx="39">
                  <c:v>140.11199999999999</c:v>
                </c:pt>
                <c:pt idx="40">
                  <c:v>137.80799999999999</c:v>
                </c:pt>
                <c:pt idx="41">
                  <c:v>131.76</c:v>
                </c:pt>
                <c:pt idx="42">
                  <c:v>133.77600000000001</c:v>
                </c:pt>
                <c:pt idx="43">
                  <c:v>143.27999999999997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6-456E-8C04-703BB7612F2B}"/>
            </c:ext>
          </c:extLst>
        </c:ser>
        <c:ser>
          <c:idx val="6"/>
          <c:order val="6"/>
          <c:tx>
            <c:strRef>
              <c:f>'AM Benches Data'!$AR$3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Data'!$AR$5:$AR$52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96-456E-8C04-703BB761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31232"/>
        <c:axId val="921510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'AM Benches Data'!$U$3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'AM Benches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'AM Benches Data'!$U$5:$U$25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17</c:v>
                      </c:pt>
                      <c:pt idx="20">
                        <c:v>16.125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E96-456E-8C04-703BB7612F2B}"/>
                  </c:ext>
                </c:extLst>
              </c15:ser>
            </c15:filteredLineSeries>
          </c:ext>
        </c:extLst>
      </c:lineChart>
      <c:dateAx>
        <c:axId val="114293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0064"/>
        <c:crosses val="autoZero"/>
        <c:auto val="1"/>
        <c:lblOffset val="100"/>
        <c:baseTimeUnit val="days"/>
      </c:dateAx>
      <c:valAx>
        <c:axId val="921510064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AM Pooled Labour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 Benches Data'!$K$3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Data'!$AD$5:$AD$52</c:f>
              <c:numCache>
                <c:formatCode>General</c:formatCode>
                <c:ptCount val="48"/>
                <c:pt idx="19">
                  <c:v>78</c:v>
                </c:pt>
                <c:pt idx="20">
                  <c:v>78</c:v>
                </c:pt>
                <c:pt idx="21">
                  <c:v>81</c:v>
                </c:pt>
                <c:pt idx="22">
                  <c:v>89</c:v>
                </c:pt>
                <c:pt idx="23">
                  <c:v>99</c:v>
                </c:pt>
                <c:pt idx="24">
                  <c:v>116</c:v>
                </c:pt>
                <c:pt idx="25">
                  <c:v>110</c:v>
                </c:pt>
                <c:pt idx="26">
                  <c:v>110</c:v>
                </c:pt>
                <c:pt idx="27">
                  <c:v>102</c:v>
                </c:pt>
                <c:pt idx="28">
                  <c:v>98</c:v>
                </c:pt>
                <c:pt idx="29">
                  <c:v>104</c:v>
                </c:pt>
                <c:pt idx="30">
                  <c:v>115</c:v>
                </c:pt>
                <c:pt idx="31">
                  <c:v>113</c:v>
                </c:pt>
                <c:pt idx="32">
                  <c:v>106</c:v>
                </c:pt>
                <c:pt idx="33">
                  <c:v>101</c:v>
                </c:pt>
                <c:pt idx="34">
                  <c:v>134</c:v>
                </c:pt>
                <c:pt idx="35">
                  <c:v>153</c:v>
                </c:pt>
                <c:pt idx="36">
                  <c:v>126</c:v>
                </c:pt>
                <c:pt idx="37">
                  <c:v>103</c:v>
                </c:pt>
                <c:pt idx="38">
                  <c:v>104</c:v>
                </c:pt>
                <c:pt idx="39">
                  <c:v>95</c:v>
                </c:pt>
                <c:pt idx="40">
                  <c:v>107</c:v>
                </c:pt>
                <c:pt idx="41">
                  <c:v>94</c:v>
                </c:pt>
                <c:pt idx="42">
                  <c:v>112</c:v>
                </c:pt>
                <c:pt idx="43">
                  <c:v>125</c:v>
                </c:pt>
                <c:pt idx="44">
                  <c:v>113</c:v>
                </c:pt>
                <c:pt idx="45">
                  <c:v>113</c:v>
                </c:pt>
                <c:pt idx="4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B-4FBF-B8F5-5689BC5B5C9B}"/>
            </c:ext>
          </c:extLst>
        </c:ser>
        <c:ser>
          <c:idx val="2"/>
          <c:order val="2"/>
          <c:tx>
            <c:strRef>
              <c:f>'AM Benches Data'!$AN$3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Data'!$EM$5:$EM$52</c:f>
              <c:numCache>
                <c:formatCode>General</c:formatCode>
                <c:ptCount val="48"/>
                <c:pt idx="19">
                  <c:v>75.599999999999994</c:v>
                </c:pt>
                <c:pt idx="20">
                  <c:v>75.599999999999994</c:v>
                </c:pt>
                <c:pt idx="21">
                  <c:v>88.8</c:v>
                </c:pt>
                <c:pt idx="22">
                  <c:v>74.399999999999991</c:v>
                </c:pt>
                <c:pt idx="23">
                  <c:v>112.8</c:v>
                </c:pt>
                <c:pt idx="24">
                  <c:v>87.6</c:v>
                </c:pt>
                <c:pt idx="25">
                  <c:v>99.6</c:v>
                </c:pt>
                <c:pt idx="26">
                  <c:v>92.399999999999991</c:v>
                </c:pt>
                <c:pt idx="27">
                  <c:v>67.2</c:v>
                </c:pt>
                <c:pt idx="28">
                  <c:v>73.2</c:v>
                </c:pt>
                <c:pt idx="29">
                  <c:v>96</c:v>
                </c:pt>
                <c:pt idx="30">
                  <c:v>109.2</c:v>
                </c:pt>
                <c:pt idx="31">
                  <c:v>104.39999999999999</c:v>
                </c:pt>
                <c:pt idx="32">
                  <c:v>112.8</c:v>
                </c:pt>
                <c:pt idx="33">
                  <c:v>114</c:v>
                </c:pt>
                <c:pt idx="34">
                  <c:v>128.4</c:v>
                </c:pt>
                <c:pt idx="35">
                  <c:v>108</c:v>
                </c:pt>
                <c:pt idx="36">
                  <c:v>92.399999999999991</c:v>
                </c:pt>
                <c:pt idx="37">
                  <c:v>102</c:v>
                </c:pt>
                <c:pt idx="38">
                  <c:v>84</c:v>
                </c:pt>
                <c:pt idx="39">
                  <c:v>96</c:v>
                </c:pt>
                <c:pt idx="40">
                  <c:v>122.39999999999999</c:v>
                </c:pt>
                <c:pt idx="41">
                  <c:v>116.39999999999999</c:v>
                </c:pt>
                <c:pt idx="42">
                  <c:v>102</c:v>
                </c:pt>
                <c:pt idx="43">
                  <c:v>105.6</c:v>
                </c:pt>
                <c:pt idx="44">
                  <c:v>88.8</c:v>
                </c:pt>
                <c:pt idx="45">
                  <c:v>74.399999999999991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FBF-B8F5-5689BC5B5C9B}"/>
            </c:ext>
          </c:extLst>
        </c:ser>
        <c:ser>
          <c:idx val="3"/>
          <c:order val="3"/>
          <c:tx>
            <c:strRef>
              <c:f>'AM Benches Data'!$AO$3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Data'!$EN$5:$EN$52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121.74988799999997</c:v>
                </c:pt>
                <c:pt idx="20">
                  <c:v>121.74988799999997</c:v>
                </c:pt>
                <c:pt idx="21">
                  <c:v>123.31078399999998</c:v>
                </c:pt>
                <c:pt idx="22">
                  <c:v>127.21302399999998</c:v>
                </c:pt>
                <c:pt idx="23">
                  <c:v>132.67615999999998</c:v>
                </c:pt>
                <c:pt idx="24">
                  <c:v>140.74078933333331</c:v>
                </c:pt>
                <c:pt idx="25">
                  <c:v>149.06556799999998</c:v>
                </c:pt>
                <c:pt idx="26">
                  <c:v>157.3903466666666</c:v>
                </c:pt>
                <c:pt idx="27">
                  <c:v>162.85348266666665</c:v>
                </c:pt>
                <c:pt idx="28">
                  <c:v>165.19482666666661</c:v>
                </c:pt>
                <c:pt idx="29">
                  <c:v>166.49557333333331</c:v>
                </c:pt>
                <c:pt idx="30">
                  <c:v>166.23542399999994</c:v>
                </c:pt>
                <c:pt idx="31">
                  <c:v>167.01587199999997</c:v>
                </c:pt>
                <c:pt idx="32">
                  <c:v>165.97527466666662</c:v>
                </c:pt>
                <c:pt idx="33">
                  <c:v>165.71512533333333</c:v>
                </c:pt>
                <c:pt idx="34">
                  <c:v>175.08050133333333</c:v>
                </c:pt>
                <c:pt idx="35">
                  <c:v>187.82781866666662</c:v>
                </c:pt>
                <c:pt idx="36">
                  <c:v>190.6894613333333</c:v>
                </c:pt>
                <c:pt idx="37">
                  <c:v>188.08796799999999</c:v>
                </c:pt>
                <c:pt idx="38">
                  <c:v>187.5676693333333</c:v>
                </c:pt>
                <c:pt idx="39">
                  <c:v>186.00677333333329</c:v>
                </c:pt>
                <c:pt idx="40">
                  <c:v>178.98274133333328</c:v>
                </c:pt>
                <c:pt idx="41">
                  <c:v>163.63393066666663</c:v>
                </c:pt>
                <c:pt idx="42">
                  <c:v>159.99183999999997</c:v>
                </c:pt>
                <c:pt idx="43">
                  <c:v>165.71512533333333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B-4FBF-B8F5-5689BC5B5C9B}"/>
            </c:ext>
          </c:extLst>
        </c:ser>
        <c:ser>
          <c:idx val="4"/>
          <c:order val="4"/>
          <c:tx>
            <c:strRef>
              <c:f>'AM Benches Data'!$AP$3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Data'!$EO$5:$EO$52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152.34375</c:v>
                </c:pt>
                <c:pt idx="20">
                  <c:v>152.34375</c:v>
                </c:pt>
                <c:pt idx="21">
                  <c:v>154.296875</c:v>
                </c:pt>
                <c:pt idx="22">
                  <c:v>159.1796875</c:v>
                </c:pt>
                <c:pt idx="23">
                  <c:v>166.015625</c:v>
                </c:pt>
                <c:pt idx="24">
                  <c:v>176.10677083333337</c:v>
                </c:pt>
                <c:pt idx="25">
                  <c:v>186.5234375</c:v>
                </c:pt>
                <c:pt idx="26">
                  <c:v>196.94010416666663</c:v>
                </c:pt>
                <c:pt idx="27">
                  <c:v>203.77604166666663</c:v>
                </c:pt>
                <c:pt idx="28">
                  <c:v>206.70572916666663</c:v>
                </c:pt>
                <c:pt idx="29">
                  <c:v>208.33333333333337</c:v>
                </c:pt>
                <c:pt idx="30">
                  <c:v>208.0078125</c:v>
                </c:pt>
                <c:pt idx="31">
                  <c:v>208.984375</c:v>
                </c:pt>
                <c:pt idx="32">
                  <c:v>207.68229166666663</c:v>
                </c:pt>
                <c:pt idx="33">
                  <c:v>207.35677083333337</c:v>
                </c:pt>
                <c:pt idx="34">
                  <c:v>219.07552083333337</c:v>
                </c:pt>
                <c:pt idx="35">
                  <c:v>235.02604166666663</c:v>
                </c:pt>
                <c:pt idx="36">
                  <c:v>238.60677083333337</c:v>
                </c:pt>
                <c:pt idx="37">
                  <c:v>235.3515625</c:v>
                </c:pt>
                <c:pt idx="38">
                  <c:v>234.70052083333337</c:v>
                </c:pt>
                <c:pt idx="39">
                  <c:v>232.74739583333337</c:v>
                </c:pt>
                <c:pt idx="40">
                  <c:v>223.95833333333337</c:v>
                </c:pt>
                <c:pt idx="41">
                  <c:v>204.75260416666663</c:v>
                </c:pt>
                <c:pt idx="42">
                  <c:v>200.1953125</c:v>
                </c:pt>
                <c:pt idx="43">
                  <c:v>207.35677083333337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B-4FBF-B8F5-5689BC5B5C9B}"/>
            </c:ext>
          </c:extLst>
        </c:ser>
        <c:ser>
          <c:idx val="5"/>
          <c:order val="5"/>
          <c:tx>
            <c:strRef>
              <c:f>'AM Benches Data'!$AQ$3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Data'!$EP$5:$EP$52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134.78399999999999</c:v>
                </c:pt>
                <c:pt idx="20">
                  <c:v>134.78399999999999</c:v>
                </c:pt>
                <c:pt idx="21">
                  <c:v>136.51199999999997</c:v>
                </c:pt>
                <c:pt idx="22">
                  <c:v>140.83199999999997</c:v>
                </c:pt>
                <c:pt idx="23">
                  <c:v>146.88</c:v>
                </c:pt>
                <c:pt idx="24">
                  <c:v>155.80799999999999</c:v>
                </c:pt>
                <c:pt idx="25">
                  <c:v>165.02399999999997</c:v>
                </c:pt>
                <c:pt idx="26">
                  <c:v>174.23999999999998</c:v>
                </c:pt>
                <c:pt idx="27">
                  <c:v>180.28799999999998</c:v>
                </c:pt>
                <c:pt idx="28">
                  <c:v>182.87999999999997</c:v>
                </c:pt>
                <c:pt idx="29">
                  <c:v>184.32</c:v>
                </c:pt>
                <c:pt idx="30">
                  <c:v>184.03199999999998</c:v>
                </c:pt>
                <c:pt idx="31">
                  <c:v>184.89600000000002</c:v>
                </c:pt>
                <c:pt idx="32">
                  <c:v>183.74399999999997</c:v>
                </c:pt>
                <c:pt idx="33">
                  <c:v>183.45599999999999</c:v>
                </c:pt>
                <c:pt idx="34">
                  <c:v>193.82399999999998</c:v>
                </c:pt>
                <c:pt idx="35">
                  <c:v>207.93599999999995</c:v>
                </c:pt>
                <c:pt idx="36">
                  <c:v>211.10399999999998</c:v>
                </c:pt>
                <c:pt idx="37">
                  <c:v>208.22399999999996</c:v>
                </c:pt>
                <c:pt idx="38">
                  <c:v>207.648</c:v>
                </c:pt>
                <c:pt idx="39">
                  <c:v>205.92</c:v>
                </c:pt>
                <c:pt idx="40">
                  <c:v>198.14399999999998</c:v>
                </c:pt>
                <c:pt idx="41">
                  <c:v>181.15199999999996</c:v>
                </c:pt>
                <c:pt idx="42">
                  <c:v>177.11999999999998</c:v>
                </c:pt>
                <c:pt idx="43">
                  <c:v>183.45599999999999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B-4FBF-B8F5-5689BC5B5C9B}"/>
            </c:ext>
          </c:extLst>
        </c:ser>
        <c:ser>
          <c:idx val="6"/>
          <c:order val="6"/>
          <c:tx>
            <c:strRef>
              <c:f>'AM Benches Data'!$EQ$3</c:f>
              <c:strCache>
                <c:ptCount val="1"/>
                <c:pt idx="0">
                  <c:v>Ideal 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Data'!$EQ$5:$EQ$52</c:f>
              <c:numCache>
                <c:formatCode>0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9-4C8D-8ECE-B3E382AD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31232"/>
        <c:axId val="921510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'AM Benches Data'!$U$3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'AM Benches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'AM Benches Data'!$U$5:$U$25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17</c:v>
                      </c:pt>
                      <c:pt idx="20">
                        <c:v>16.125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0BB-4FBF-B8F5-5689BC5B5C9B}"/>
                  </c:ext>
                </c:extLst>
              </c15:ser>
            </c15:filteredLineSeries>
          </c:ext>
        </c:extLst>
      </c:lineChart>
      <c:dateAx>
        <c:axId val="114293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0064"/>
        <c:crosses val="autoZero"/>
        <c:auto val="1"/>
        <c:lblOffset val="100"/>
        <c:baseTimeUnit val="days"/>
      </c:dateAx>
      <c:valAx>
        <c:axId val="921510064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Single Day</a:t>
            </a:r>
            <a:r>
              <a:rPr lang="en-NZ" baseline="0"/>
              <a:t> Solar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 Benches Data'!$K$3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Data'!$B$5:$B$52</c:f>
              <c:numCache>
                <c:formatCode>General</c:formatCode>
                <c:ptCount val="48"/>
                <c:pt idx="0">
                  <c:v>77</c:v>
                </c:pt>
                <c:pt idx="1">
                  <c:v>79</c:v>
                </c:pt>
                <c:pt idx="2">
                  <c:v>87</c:v>
                </c:pt>
                <c:pt idx="3">
                  <c:v>92</c:v>
                </c:pt>
                <c:pt idx="4">
                  <c:v>85</c:v>
                </c:pt>
                <c:pt idx="5">
                  <c:v>85</c:v>
                </c:pt>
                <c:pt idx="6">
                  <c:v>81</c:v>
                </c:pt>
                <c:pt idx="7">
                  <c:v>81</c:v>
                </c:pt>
                <c:pt idx="8">
                  <c:v>77</c:v>
                </c:pt>
                <c:pt idx="9">
                  <c:v>76</c:v>
                </c:pt>
                <c:pt idx="10">
                  <c:v>78</c:v>
                </c:pt>
                <c:pt idx="11">
                  <c:v>73</c:v>
                </c:pt>
                <c:pt idx="12">
                  <c:v>68</c:v>
                </c:pt>
                <c:pt idx="13">
                  <c:v>76</c:v>
                </c:pt>
                <c:pt idx="14">
                  <c:v>67</c:v>
                </c:pt>
                <c:pt idx="15">
                  <c:v>61</c:v>
                </c:pt>
                <c:pt idx="16">
                  <c:v>66</c:v>
                </c:pt>
                <c:pt idx="17">
                  <c:v>67</c:v>
                </c:pt>
                <c:pt idx="18">
                  <c:v>72</c:v>
                </c:pt>
                <c:pt idx="19">
                  <c:v>66</c:v>
                </c:pt>
                <c:pt idx="20">
                  <c:v>57</c:v>
                </c:pt>
                <c:pt idx="21">
                  <c:v>56</c:v>
                </c:pt>
                <c:pt idx="22">
                  <c:v>63</c:v>
                </c:pt>
                <c:pt idx="23">
                  <c:v>61</c:v>
                </c:pt>
                <c:pt idx="24">
                  <c:v>71</c:v>
                </c:pt>
                <c:pt idx="25">
                  <c:v>75</c:v>
                </c:pt>
                <c:pt idx="26">
                  <c:v>76</c:v>
                </c:pt>
                <c:pt idx="27">
                  <c:v>74</c:v>
                </c:pt>
                <c:pt idx="28">
                  <c:v>75</c:v>
                </c:pt>
                <c:pt idx="29">
                  <c:v>90</c:v>
                </c:pt>
                <c:pt idx="30">
                  <c:v>93</c:v>
                </c:pt>
                <c:pt idx="31">
                  <c:v>55</c:v>
                </c:pt>
                <c:pt idx="32">
                  <c:v>64</c:v>
                </c:pt>
                <c:pt idx="33">
                  <c:v>86</c:v>
                </c:pt>
                <c:pt idx="34">
                  <c:v>115</c:v>
                </c:pt>
                <c:pt idx="35">
                  <c:v>138</c:v>
                </c:pt>
                <c:pt idx="36">
                  <c:v>128</c:v>
                </c:pt>
                <c:pt idx="37">
                  <c:v>123</c:v>
                </c:pt>
                <c:pt idx="38">
                  <c:v>134</c:v>
                </c:pt>
                <c:pt idx="39">
                  <c:v>110</c:v>
                </c:pt>
                <c:pt idx="40">
                  <c:v>122</c:v>
                </c:pt>
                <c:pt idx="41">
                  <c:v>108</c:v>
                </c:pt>
                <c:pt idx="42">
                  <c:v>100</c:v>
                </c:pt>
                <c:pt idx="43">
                  <c:v>125</c:v>
                </c:pt>
                <c:pt idx="44">
                  <c:v>125</c:v>
                </c:pt>
                <c:pt idx="45">
                  <c:v>158</c:v>
                </c:pt>
                <c:pt idx="46">
                  <c:v>156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5-42D8-9F40-EAC5C2533740}"/>
            </c:ext>
          </c:extLst>
        </c:ser>
        <c:ser>
          <c:idx val="2"/>
          <c:order val="2"/>
          <c:tx>
            <c:strRef>
              <c:f>'AM Benches Data'!$AN$3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Data'!$BA$5:$BA$52</c:f>
              <c:numCache>
                <c:formatCode>General</c:formatCode>
                <c:ptCount val="48"/>
                <c:pt idx="19">
                  <c:v>72</c:v>
                </c:pt>
                <c:pt idx="20">
                  <c:v>61.199999999999996</c:v>
                </c:pt>
                <c:pt idx="21">
                  <c:v>55.199999999999996</c:v>
                </c:pt>
                <c:pt idx="22">
                  <c:v>57.599999999999994</c:v>
                </c:pt>
                <c:pt idx="23">
                  <c:v>80.399999999999991</c:v>
                </c:pt>
                <c:pt idx="24">
                  <c:v>63.599999999999994</c:v>
                </c:pt>
                <c:pt idx="25">
                  <c:v>66</c:v>
                </c:pt>
                <c:pt idx="26">
                  <c:v>58.8</c:v>
                </c:pt>
                <c:pt idx="27">
                  <c:v>40.799999999999997</c:v>
                </c:pt>
                <c:pt idx="28">
                  <c:v>45.6</c:v>
                </c:pt>
                <c:pt idx="29">
                  <c:v>60</c:v>
                </c:pt>
                <c:pt idx="30">
                  <c:v>61.199999999999996</c:v>
                </c:pt>
                <c:pt idx="31">
                  <c:v>84</c:v>
                </c:pt>
                <c:pt idx="32">
                  <c:v>99.6</c:v>
                </c:pt>
                <c:pt idx="33">
                  <c:v>102</c:v>
                </c:pt>
                <c:pt idx="34">
                  <c:v>123.6</c:v>
                </c:pt>
                <c:pt idx="35">
                  <c:v>99.6</c:v>
                </c:pt>
                <c:pt idx="36">
                  <c:v>120</c:v>
                </c:pt>
                <c:pt idx="37">
                  <c:v>118.8</c:v>
                </c:pt>
                <c:pt idx="38">
                  <c:v>88.8</c:v>
                </c:pt>
                <c:pt idx="39">
                  <c:v>124.8</c:v>
                </c:pt>
                <c:pt idx="40">
                  <c:v>157.19999999999999</c:v>
                </c:pt>
                <c:pt idx="41">
                  <c:v>114</c:v>
                </c:pt>
                <c:pt idx="42">
                  <c:v>130.79999999999998</c:v>
                </c:pt>
                <c:pt idx="43">
                  <c:v>108</c:v>
                </c:pt>
                <c:pt idx="44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5-42D8-9F40-EAC5C2533740}"/>
            </c:ext>
          </c:extLst>
        </c:ser>
        <c:ser>
          <c:idx val="3"/>
          <c:order val="3"/>
          <c:tx>
            <c:strRef>
              <c:f>'AM Benches Data'!$AO$3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Data'!$BB$5:$BB$52</c:f>
              <c:numCache>
                <c:formatCode>0</c:formatCode>
                <c:ptCount val="48"/>
                <c:pt idx="0">
                  <c:v>120.18899199999997</c:v>
                </c:pt>
                <c:pt idx="1">
                  <c:v>123.31078399999998</c:v>
                </c:pt>
                <c:pt idx="2">
                  <c:v>135.79795199999995</c:v>
                </c:pt>
                <c:pt idx="3">
                  <c:v>143.60243199999999</c:v>
                </c:pt>
                <c:pt idx="4">
                  <c:v>132.67615999999998</c:v>
                </c:pt>
                <c:pt idx="5">
                  <c:v>132.67615999999998</c:v>
                </c:pt>
                <c:pt idx="6">
                  <c:v>132.41601066666664</c:v>
                </c:pt>
                <c:pt idx="7">
                  <c:v>132.9363093333333</c:v>
                </c:pt>
                <c:pt idx="8">
                  <c:v>130.33481599999999</c:v>
                </c:pt>
                <c:pt idx="9">
                  <c:v>126.17242666666662</c:v>
                </c:pt>
                <c:pt idx="10">
                  <c:v>124.35138133333331</c:v>
                </c:pt>
                <c:pt idx="11">
                  <c:v>121.22958933333331</c:v>
                </c:pt>
                <c:pt idx="12">
                  <c:v>117.84764799999999</c:v>
                </c:pt>
                <c:pt idx="13">
                  <c:v>116.54690133333331</c:v>
                </c:pt>
                <c:pt idx="14">
                  <c:v>113.94540799999997</c:v>
                </c:pt>
                <c:pt idx="15">
                  <c:v>110.04316799999998</c:v>
                </c:pt>
                <c:pt idx="16">
                  <c:v>106.92137599999998</c:v>
                </c:pt>
                <c:pt idx="17">
                  <c:v>105.36047999999998</c:v>
                </c:pt>
                <c:pt idx="18">
                  <c:v>106.40107733333332</c:v>
                </c:pt>
                <c:pt idx="19">
                  <c:v>103.799584</c:v>
                </c:pt>
                <c:pt idx="20">
                  <c:v>101.19809066666663</c:v>
                </c:pt>
                <c:pt idx="21">
                  <c:v>99.89734399999999</c:v>
                </c:pt>
                <c:pt idx="22">
                  <c:v>99.116895999999969</c:v>
                </c:pt>
                <c:pt idx="23">
                  <c:v>97.555999999999983</c:v>
                </c:pt>
                <c:pt idx="24">
                  <c:v>97.295850666666638</c:v>
                </c:pt>
                <c:pt idx="25">
                  <c:v>99.637194666666659</c:v>
                </c:pt>
                <c:pt idx="26">
                  <c:v>104.58003199999999</c:v>
                </c:pt>
                <c:pt idx="27">
                  <c:v>109.26271999999997</c:v>
                </c:pt>
                <c:pt idx="28">
                  <c:v>112.38451199999997</c:v>
                </c:pt>
                <c:pt idx="29">
                  <c:v>119.92884266666663</c:v>
                </c:pt>
                <c:pt idx="30">
                  <c:v>125.65212799999998</c:v>
                </c:pt>
                <c:pt idx="31">
                  <c:v>120.44914133333332</c:v>
                </c:pt>
                <c:pt idx="32">
                  <c:v>117.3273493333333</c:v>
                </c:pt>
                <c:pt idx="33">
                  <c:v>120.44914133333332</c:v>
                </c:pt>
                <c:pt idx="34">
                  <c:v>130.85511466666662</c:v>
                </c:pt>
                <c:pt idx="35">
                  <c:v>143.34228266666665</c:v>
                </c:pt>
                <c:pt idx="36">
                  <c:v>152.44750933333333</c:v>
                </c:pt>
                <c:pt idx="37">
                  <c:v>170.137664</c:v>
                </c:pt>
                <c:pt idx="38">
                  <c:v>188.34811733333328</c:v>
                </c:pt>
                <c:pt idx="39">
                  <c:v>194.59170133333328</c:v>
                </c:pt>
                <c:pt idx="40">
                  <c:v>196.41274666666661</c:v>
                </c:pt>
                <c:pt idx="41">
                  <c:v>188.60826666666662</c:v>
                </c:pt>
                <c:pt idx="42">
                  <c:v>181.3240853333333</c:v>
                </c:pt>
                <c:pt idx="43">
                  <c:v>181.84438399999996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5-42D8-9F40-EAC5C2533740}"/>
            </c:ext>
          </c:extLst>
        </c:ser>
        <c:ser>
          <c:idx val="4"/>
          <c:order val="4"/>
          <c:tx>
            <c:strRef>
              <c:f>'AM Benches Data'!$AP$3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Data'!$BC$5:$BC$52</c:f>
              <c:numCache>
                <c:formatCode>0</c:formatCode>
                <c:ptCount val="48"/>
                <c:pt idx="0">
                  <c:v>150.390625</c:v>
                </c:pt>
                <c:pt idx="1">
                  <c:v>154.296875</c:v>
                </c:pt>
                <c:pt idx="2">
                  <c:v>169.921875</c:v>
                </c:pt>
                <c:pt idx="3">
                  <c:v>179.6875</c:v>
                </c:pt>
                <c:pt idx="4">
                  <c:v>166.015625</c:v>
                </c:pt>
                <c:pt idx="5">
                  <c:v>166.015625</c:v>
                </c:pt>
                <c:pt idx="6">
                  <c:v>165.69010416666663</c:v>
                </c:pt>
                <c:pt idx="7">
                  <c:v>166.34114583333337</c:v>
                </c:pt>
                <c:pt idx="8">
                  <c:v>163.0859375</c:v>
                </c:pt>
                <c:pt idx="9">
                  <c:v>157.87760416666663</c:v>
                </c:pt>
                <c:pt idx="10">
                  <c:v>155.59895833333337</c:v>
                </c:pt>
                <c:pt idx="11">
                  <c:v>151.69270833333337</c:v>
                </c:pt>
                <c:pt idx="12">
                  <c:v>147.4609375</c:v>
                </c:pt>
                <c:pt idx="13">
                  <c:v>145.83333333333337</c:v>
                </c:pt>
                <c:pt idx="14">
                  <c:v>142.578125</c:v>
                </c:pt>
                <c:pt idx="15">
                  <c:v>137.6953125</c:v>
                </c:pt>
                <c:pt idx="16">
                  <c:v>133.7890625</c:v>
                </c:pt>
                <c:pt idx="17">
                  <c:v>131.8359375</c:v>
                </c:pt>
                <c:pt idx="18">
                  <c:v>133.13802083333337</c:v>
                </c:pt>
                <c:pt idx="19">
                  <c:v>129.8828125</c:v>
                </c:pt>
                <c:pt idx="20">
                  <c:v>126.62760416666664</c:v>
                </c:pt>
                <c:pt idx="21">
                  <c:v>125</c:v>
                </c:pt>
                <c:pt idx="22">
                  <c:v>124.0234375</c:v>
                </c:pt>
                <c:pt idx="23">
                  <c:v>122.0703125</c:v>
                </c:pt>
                <c:pt idx="24">
                  <c:v>121.74479166666669</c:v>
                </c:pt>
                <c:pt idx="25">
                  <c:v>124.67447916666669</c:v>
                </c:pt>
                <c:pt idx="26">
                  <c:v>130.859375</c:v>
                </c:pt>
                <c:pt idx="27">
                  <c:v>136.71875</c:v>
                </c:pt>
                <c:pt idx="28">
                  <c:v>140.625</c:v>
                </c:pt>
                <c:pt idx="29">
                  <c:v>150.06510416666663</c:v>
                </c:pt>
                <c:pt idx="30">
                  <c:v>157.2265625</c:v>
                </c:pt>
                <c:pt idx="31">
                  <c:v>150.71614583333337</c:v>
                </c:pt>
                <c:pt idx="32">
                  <c:v>146.80989583333337</c:v>
                </c:pt>
                <c:pt idx="33">
                  <c:v>150.71614583333337</c:v>
                </c:pt>
                <c:pt idx="34">
                  <c:v>163.73697916666663</c:v>
                </c:pt>
                <c:pt idx="35">
                  <c:v>179.36197916666663</c:v>
                </c:pt>
                <c:pt idx="36">
                  <c:v>190.75520833333337</c:v>
                </c:pt>
                <c:pt idx="37">
                  <c:v>212.890625</c:v>
                </c:pt>
                <c:pt idx="38">
                  <c:v>235.67708333333337</c:v>
                </c:pt>
                <c:pt idx="39">
                  <c:v>243.48958333333337</c:v>
                </c:pt>
                <c:pt idx="40">
                  <c:v>245.76822916666663</c:v>
                </c:pt>
                <c:pt idx="41">
                  <c:v>236.00260416666663</c:v>
                </c:pt>
                <c:pt idx="42">
                  <c:v>226.88802083333337</c:v>
                </c:pt>
                <c:pt idx="43">
                  <c:v>227.5390625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5-42D8-9F40-EAC5C2533740}"/>
            </c:ext>
          </c:extLst>
        </c:ser>
        <c:ser>
          <c:idx val="5"/>
          <c:order val="5"/>
          <c:tx>
            <c:strRef>
              <c:f>'AM Benches Data'!$AQ$3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Data'!$BD$5:$BD$52</c:f>
              <c:numCache>
                <c:formatCode>0</c:formatCode>
                <c:ptCount val="48"/>
                <c:pt idx="0">
                  <c:v>133.05599999999998</c:v>
                </c:pt>
                <c:pt idx="1">
                  <c:v>136.51199999999997</c:v>
                </c:pt>
                <c:pt idx="2">
                  <c:v>150.33599999999998</c:v>
                </c:pt>
                <c:pt idx="3">
                  <c:v>158.97599999999997</c:v>
                </c:pt>
                <c:pt idx="4">
                  <c:v>146.88</c:v>
                </c:pt>
                <c:pt idx="5">
                  <c:v>146.88</c:v>
                </c:pt>
                <c:pt idx="6">
                  <c:v>146.59199999999998</c:v>
                </c:pt>
                <c:pt idx="7">
                  <c:v>147.16800000000001</c:v>
                </c:pt>
                <c:pt idx="8">
                  <c:v>144.28799999999998</c:v>
                </c:pt>
                <c:pt idx="9">
                  <c:v>139.67999999999998</c:v>
                </c:pt>
                <c:pt idx="10">
                  <c:v>137.66400000000002</c:v>
                </c:pt>
                <c:pt idx="11">
                  <c:v>134.208</c:v>
                </c:pt>
                <c:pt idx="12">
                  <c:v>130.46399999999997</c:v>
                </c:pt>
                <c:pt idx="13">
                  <c:v>129.024</c:v>
                </c:pt>
                <c:pt idx="14">
                  <c:v>126.14399999999998</c:v>
                </c:pt>
                <c:pt idx="15">
                  <c:v>121.82399999999998</c:v>
                </c:pt>
                <c:pt idx="16">
                  <c:v>118.36799999999999</c:v>
                </c:pt>
                <c:pt idx="17">
                  <c:v>116.64</c:v>
                </c:pt>
                <c:pt idx="18">
                  <c:v>117.79199999999999</c:v>
                </c:pt>
                <c:pt idx="19">
                  <c:v>114.91199999999999</c:v>
                </c:pt>
                <c:pt idx="20">
                  <c:v>112.032</c:v>
                </c:pt>
                <c:pt idx="21">
                  <c:v>110.592</c:v>
                </c:pt>
                <c:pt idx="22">
                  <c:v>109.72799999999999</c:v>
                </c:pt>
                <c:pt idx="23">
                  <c:v>108</c:v>
                </c:pt>
                <c:pt idx="24">
                  <c:v>107.71199999999999</c:v>
                </c:pt>
                <c:pt idx="25">
                  <c:v>110.30399999999999</c:v>
                </c:pt>
                <c:pt idx="26">
                  <c:v>115.77599999999998</c:v>
                </c:pt>
                <c:pt idx="27">
                  <c:v>120.96</c:v>
                </c:pt>
                <c:pt idx="28">
                  <c:v>124.41599999999998</c:v>
                </c:pt>
                <c:pt idx="29">
                  <c:v>132.76799999999997</c:v>
                </c:pt>
                <c:pt idx="30">
                  <c:v>139.10399999999998</c:v>
                </c:pt>
                <c:pt idx="31">
                  <c:v>133.34399999999999</c:v>
                </c:pt>
                <c:pt idx="32">
                  <c:v>129.88799999999998</c:v>
                </c:pt>
                <c:pt idx="33">
                  <c:v>133.34399999999999</c:v>
                </c:pt>
                <c:pt idx="34">
                  <c:v>144.86399999999998</c:v>
                </c:pt>
                <c:pt idx="35">
                  <c:v>158.68799999999996</c:v>
                </c:pt>
                <c:pt idx="36">
                  <c:v>168.76799999999997</c:v>
                </c:pt>
                <c:pt idx="37">
                  <c:v>188.35199999999998</c:v>
                </c:pt>
                <c:pt idx="38">
                  <c:v>208.51200000000003</c:v>
                </c:pt>
                <c:pt idx="39">
                  <c:v>215.42399999999998</c:v>
                </c:pt>
                <c:pt idx="40">
                  <c:v>217.43999999999997</c:v>
                </c:pt>
                <c:pt idx="41">
                  <c:v>208.79999999999998</c:v>
                </c:pt>
                <c:pt idx="42">
                  <c:v>200.73599999999999</c:v>
                </c:pt>
                <c:pt idx="43">
                  <c:v>201.31199999999995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5-42D8-9F40-EAC5C2533740}"/>
            </c:ext>
          </c:extLst>
        </c:ser>
        <c:ser>
          <c:idx val="6"/>
          <c:order val="6"/>
          <c:tx>
            <c:strRef>
              <c:f>'AM Benches Data'!$AR$3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Data'!$AR$5:$AR$52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5-42D8-9F40-EAC5C253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31232"/>
        <c:axId val="921510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'AM Benches Data'!$U$3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'AM Benches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'AM Benches Data'!$U$5:$U$25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17</c:v>
                      </c:pt>
                      <c:pt idx="20">
                        <c:v>16.125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7E5-42D8-9F40-EAC5C2533740}"/>
                  </c:ext>
                </c:extLst>
              </c15:ser>
            </c15:filteredLineSeries>
          </c:ext>
        </c:extLst>
      </c:lineChart>
      <c:dateAx>
        <c:axId val="114293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21510064"/>
        <c:crosses val="autoZero"/>
        <c:auto val="1"/>
        <c:lblOffset val="100"/>
        <c:baseTimeUnit val="days"/>
      </c:dateAx>
      <c:valAx>
        <c:axId val="921510064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Single Day and Weighscale Family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 Benches Data'!$K$3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Data'!$AS$5:$AS$52</c:f>
              <c:numCache>
                <c:formatCode>0</c:formatCode>
                <c:ptCount val="48"/>
                <c:pt idx="0">
                  <c:v>44.666666666666664</c:v>
                </c:pt>
                <c:pt idx="1">
                  <c:v>42.666666666666664</c:v>
                </c:pt>
                <c:pt idx="2">
                  <c:v>37.333333333333336</c:v>
                </c:pt>
                <c:pt idx="3">
                  <c:v>37</c:v>
                </c:pt>
                <c:pt idx="4">
                  <c:v>30.333333333333332</c:v>
                </c:pt>
                <c:pt idx="5">
                  <c:v>33.666666666666664</c:v>
                </c:pt>
                <c:pt idx="6">
                  <c:v>30.666666666666668</c:v>
                </c:pt>
                <c:pt idx="7">
                  <c:v>30.666666666666668</c:v>
                </c:pt>
                <c:pt idx="8">
                  <c:v>34.666666666666664</c:v>
                </c:pt>
                <c:pt idx="9">
                  <c:v>39.333333333333336</c:v>
                </c:pt>
                <c:pt idx="10">
                  <c:v>40</c:v>
                </c:pt>
                <c:pt idx="11">
                  <c:v>38.333333333333336</c:v>
                </c:pt>
                <c:pt idx="12">
                  <c:v>36</c:v>
                </c:pt>
                <c:pt idx="13">
                  <c:v>35.333333333333336</c:v>
                </c:pt>
                <c:pt idx="14">
                  <c:v>31</c:v>
                </c:pt>
                <c:pt idx="15">
                  <c:v>31</c:v>
                </c:pt>
                <c:pt idx="16">
                  <c:v>34.333333333333336</c:v>
                </c:pt>
                <c:pt idx="17">
                  <c:v>38.666666666666664</c:v>
                </c:pt>
                <c:pt idx="18">
                  <c:v>37</c:v>
                </c:pt>
                <c:pt idx="19">
                  <c:v>33.333333333333336</c:v>
                </c:pt>
                <c:pt idx="20">
                  <c:v>34.666666666666664</c:v>
                </c:pt>
                <c:pt idx="21">
                  <c:v>26.666666666666668</c:v>
                </c:pt>
                <c:pt idx="22">
                  <c:v>28</c:v>
                </c:pt>
                <c:pt idx="23">
                  <c:v>32</c:v>
                </c:pt>
                <c:pt idx="24">
                  <c:v>36</c:v>
                </c:pt>
                <c:pt idx="25">
                  <c:v>47</c:v>
                </c:pt>
                <c:pt idx="26">
                  <c:v>56</c:v>
                </c:pt>
                <c:pt idx="27">
                  <c:v>54.5</c:v>
                </c:pt>
                <c:pt idx="28">
                  <c:v>52.5</c:v>
                </c:pt>
                <c:pt idx="29">
                  <c:v>58.5</c:v>
                </c:pt>
                <c:pt idx="30">
                  <c:v>56.5</c:v>
                </c:pt>
                <c:pt idx="31">
                  <c:v>79.5</c:v>
                </c:pt>
                <c:pt idx="32">
                  <c:v>74.5</c:v>
                </c:pt>
                <c:pt idx="33">
                  <c:v>55.5</c:v>
                </c:pt>
                <c:pt idx="34">
                  <c:v>63</c:v>
                </c:pt>
                <c:pt idx="35">
                  <c:v>55.5</c:v>
                </c:pt>
                <c:pt idx="36">
                  <c:v>60</c:v>
                </c:pt>
                <c:pt idx="37">
                  <c:v>47.5</c:v>
                </c:pt>
                <c:pt idx="38">
                  <c:v>51.5</c:v>
                </c:pt>
                <c:pt idx="39">
                  <c:v>66.5</c:v>
                </c:pt>
                <c:pt idx="40">
                  <c:v>76.5</c:v>
                </c:pt>
                <c:pt idx="41">
                  <c:v>50</c:v>
                </c:pt>
                <c:pt idx="42">
                  <c:v>40</c:v>
                </c:pt>
                <c:pt idx="43">
                  <c:v>37.5</c:v>
                </c:pt>
                <c:pt idx="44">
                  <c:v>62.5</c:v>
                </c:pt>
                <c:pt idx="4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E-48A6-82C9-345E8B792ACA}"/>
            </c:ext>
          </c:extLst>
        </c:ser>
        <c:ser>
          <c:idx val="2"/>
          <c:order val="2"/>
          <c:tx>
            <c:strRef>
              <c:f>'AM Benches Data'!$AN$3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Data'!$AU$5:$AU$52</c:f>
              <c:numCache>
                <c:formatCode>0</c:formatCode>
                <c:ptCount val="48"/>
                <c:pt idx="19">
                  <c:v>26.4</c:v>
                </c:pt>
                <c:pt idx="20">
                  <c:v>29.199999999999996</c:v>
                </c:pt>
                <c:pt idx="21">
                  <c:v>33.6</c:v>
                </c:pt>
                <c:pt idx="22">
                  <c:v>27.2</c:v>
                </c:pt>
                <c:pt idx="23">
                  <c:v>38</c:v>
                </c:pt>
                <c:pt idx="24">
                  <c:v>27.2</c:v>
                </c:pt>
                <c:pt idx="25">
                  <c:v>53.4</c:v>
                </c:pt>
                <c:pt idx="26">
                  <c:v>49.199999999999996</c:v>
                </c:pt>
                <c:pt idx="27">
                  <c:v>39</c:v>
                </c:pt>
                <c:pt idx="28">
                  <c:v>42</c:v>
                </c:pt>
                <c:pt idx="29">
                  <c:v>43.199999999999996</c:v>
                </c:pt>
                <c:pt idx="30">
                  <c:v>45.6</c:v>
                </c:pt>
                <c:pt idx="31">
                  <c:v>39.6</c:v>
                </c:pt>
                <c:pt idx="32">
                  <c:v>41.4</c:v>
                </c:pt>
                <c:pt idx="33">
                  <c:v>64.2</c:v>
                </c:pt>
                <c:pt idx="34">
                  <c:v>57.599999999999994</c:v>
                </c:pt>
                <c:pt idx="35">
                  <c:v>57</c:v>
                </c:pt>
                <c:pt idx="36">
                  <c:v>65.399999999999991</c:v>
                </c:pt>
                <c:pt idx="37">
                  <c:v>70.8</c:v>
                </c:pt>
                <c:pt idx="38">
                  <c:v>66</c:v>
                </c:pt>
                <c:pt idx="39">
                  <c:v>70.8</c:v>
                </c:pt>
                <c:pt idx="40">
                  <c:v>60.599999999999994</c:v>
                </c:pt>
                <c:pt idx="41">
                  <c:v>60.599999999999994</c:v>
                </c:pt>
                <c:pt idx="42">
                  <c:v>53.4</c:v>
                </c:pt>
                <c:pt idx="43">
                  <c:v>63.599999999999994</c:v>
                </c:pt>
                <c:pt idx="44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E-48A6-82C9-345E8B792ACA}"/>
            </c:ext>
          </c:extLst>
        </c:ser>
        <c:ser>
          <c:idx val="3"/>
          <c:order val="3"/>
          <c:tx>
            <c:strRef>
              <c:f>'AM Benches Data'!$AO$3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Data'!$AV$5:$AV$52</c:f>
              <c:numCache>
                <c:formatCode>0</c:formatCode>
                <c:ptCount val="48"/>
                <c:pt idx="0">
                  <c:v>69.720021333333321</c:v>
                </c:pt>
                <c:pt idx="1">
                  <c:v>66.598229333333308</c:v>
                </c:pt>
                <c:pt idx="2">
                  <c:v>58.273450666666655</c:v>
                </c:pt>
                <c:pt idx="3">
                  <c:v>57.753151999999986</c:v>
                </c:pt>
                <c:pt idx="4">
                  <c:v>47.347178666666657</c:v>
                </c:pt>
                <c:pt idx="5">
                  <c:v>52.550165333333318</c:v>
                </c:pt>
                <c:pt idx="6">
                  <c:v>47.867477333333326</c:v>
                </c:pt>
                <c:pt idx="7">
                  <c:v>47.867477333333326</c:v>
                </c:pt>
                <c:pt idx="8">
                  <c:v>54.111061333333318</c:v>
                </c:pt>
                <c:pt idx="9">
                  <c:v>61.395242666666661</c:v>
                </c:pt>
                <c:pt idx="10">
                  <c:v>62.435839999999992</c:v>
                </c:pt>
                <c:pt idx="11">
                  <c:v>57.146136888888869</c:v>
                </c:pt>
                <c:pt idx="12">
                  <c:v>56.018823111111097</c:v>
                </c:pt>
                <c:pt idx="13">
                  <c:v>55.064942222222193</c:v>
                </c:pt>
                <c:pt idx="14">
                  <c:v>54.241135999999976</c:v>
                </c:pt>
                <c:pt idx="15">
                  <c:v>53.46068799999999</c:v>
                </c:pt>
                <c:pt idx="16">
                  <c:v>53.980986666666666</c:v>
                </c:pt>
                <c:pt idx="17">
                  <c:v>54.631359999999987</c:v>
                </c:pt>
                <c:pt idx="18">
                  <c:v>55.455166222222218</c:v>
                </c:pt>
                <c:pt idx="19">
                  <c:v>54.679387569230748</c:v>
                </c:pt>
                <c:pt idx="20">
                  <c:v>54.029300114285704</c:v>
                </c:pt>
                <c:pt idx="21">
                  <c:v>52.60566385777777</c:v>
                </c:pt>
                <c:pt idx="22">
                  <c:v>50.800661066666663</c:v>
                </c:pt>
                <c:pt idx="23">
                  <c:v>50.719938258823525</c:v>
                </c:pt>
                <c:pt idx="24">
                  <c:v>50.260851200000012</c:v>
                </c:pt>
                <c:pt idx="25">
                  <c:v>52.960927438596485</c:v>
                </c:pt>
                <c:pt idx="26">
                  <c:v>56.103805226666658</c:v>
                </c:pt>
                <c:pt idx="27">
                  <c:v>58.077719263492064</c:v>
                </c:pt>
                <c:pt idx="28">
                  <c:v>59.706636993939391</c:v>
                </c:pt>
                <c:pt idx="29">
                  <c:v>61.388456162318839</c:v>
                </c:pt>
                <c:pt idx="30">
                  <c:v>63.064534222222235</c:v>
                </c:pt>
                <c:pt idx="31">
                  <c:v>66.925583911111104</c:v>
                </c:pt>
                <c:pt idx="32">
                  <c:v>70.309693155555564</c:v>
                </c:pt>
                <c:pt idx="33">
                  <c:v>74.175078666666664</c:v>
                </c:pt>
                <c:pt idx="34">
                  <c:v>78.428520266666666</c:v>
                </c:pt>
                <c:pt idx="35">
                  <c:v>81.192606933333337</c:v>
                </c:pt>
                <c:pt idx="36">
                  <c:v>85.237929066666666</c:v>
                </c:pt>
                <c:pt idx="37">
                  <c:v>86.402097333333316</c:v>
                </c:pt>
                <c:pt idx="38">
                  <c:v>87.202056533333305</c:v>
                </c:pt>
                <c:pt idx="39">
                  <c:v>90.050691733333309</c:v>
                </c:pt>
                <c:pt idx="40">
                  <c:v>92.821282133333298</c:v>
                </c:pt>
                <c:pt idx="41">
                  <c:v>93.400114399999964</c:v>
                </c:pt>
                <c:pt idx="42">
                  <c:v>92.834289599999963</c:v>
                </c:pt>
                <c:pt idx="43">
                  <c:v>91.663617599999967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E-48A6-82C9-345E8B792ACA}"/>
            </c:ext>
          </c:extLst>
        </c:ser>
        <c:ser>
          <c:idx val="4"/>
          <c:order val="4"/>
          <c:tx>
            <c:strRef>
              <c:f>'AM Benches Data'!$AP$3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Data'!$AW$5:$AW$52</c:f>
              <c:numCache>
                <c:formatCode>0</c:formatCode>
                <c:ptCount val="48"/>
                <c:pt idx="0">
                  <c:v>87.239583333333314</c:v>
                </c:pt>
                <c:pt idx="1">
                  <c:v>83.333333333333314</c:v>
                </c:pt>
                <c:pt idx="2">
                  <c:v>72.916666666666686</c:v>
                </c:pt>
                <c:pt idx="3">
                  <c:v>72.265625</c:v>
                </c:pt>
                <c:pt idx="4">
                  <c:v>59.244791666666657</c:v>
                </c:pt>
                <c:pt idx="5">
                  <c:v>65.755208333333314</c:v>
                </c:pt>
                <c:pt idx="6">
                  <c:v>59.895833333333343</c:v>
                </c:pt>
                <c:pt idx="7">
                  <c:v>59.895833333333343</c:v>
                </c:pt>
                <c:pt idx="8">
                  <c:v>67.708333333333314</c:v>
                </c:pt>
                <c:pt idx="9">
                  <c:v>76.822916666666686</c:v>
                </c:pt>
                <c:pt idx="10">
                  <c:v>78.125</c:v>
                </c:pt>
                <c:pt idx="11">
                  <c:v>71.506076388888886</c:v>
                </c:pt>
                <c:pt idx="12">
                  <c:v>70.095486111111114</c:v>
                </c:pt>
                <c:pt idx="13">
                  <c:v>68.901909722222214</c:v>
                </c:pt>
                <c:pt idx="14">
                  <c:v>67.871093749999986</c:v>
                </c:pt>
                <c:pt idx="15">
                  <c:v>66.89453125</c:v>
                </c:pt>
                <c:pt idx="16">
                  <c:v>67.545572916666686</c:v>
                </c:pt>
                <c:pt idx="17">
                  <c:v>68.359375</c:v>
                </c:pt>
                <c:pt idx="18">
                  <c:v>69.390190972222229</c:v>
                </c:pt>
                <c:pt idx="19">
                  <c:v>68.41947115384616</c:v>
                </c:pt>
                <c:pt idx="20">
                  <c:v>67.606026785714278</c:v>
                </c:pt>
                <c:pt idx="21">
                  <c:v>65.824652777777786</c:v>
                </c:pt>
                <c:pt idx="22">
                  <c:v>63.566080729166679</c:v>
                </c:pt>
                <c:pt idx="23">
                  <c:v>63.465073529411775</c:v>
                </c:pt>
                <c:pt idx="24">
                  <c:v>62.890625000000014</c:v>
                </c:pt>
                <c:pt idx="25">
                  <c:v>66.269188596491233</c:v>
                </c:pt>
                <c:pt idx="26">
                  <c:v>70.201822916666671</c:v>
                </c:pt>
                <c:pt idx="27">
                  <c:v>72.671750992063522</c:v>
                </c:pt>
                <c:pt idx="28">
                  <c:v>74.709990530303031</c:v>
                </c:pt>
                <c:pt idx="29">
                  <c:v>76.814424818840607</c:v>
                </c:pt>
                <c:pt idx="30">
                  <c:v>78.911675347222257</c:v>
                </c:pt>
                <c:pt idx="31">
                  <c:v>83.742947048611128</c:v>
                </c:pt>
                <c:pt idx="32">
                  <c:v>87.977430555555571</c:v>
                </c:pt>
                <c:pt idx="33">
                  <c:v>92.814127604166686</c:v>
                </c:pt>
                <c:pt idx="34">
                  <c:v>98.136393229166686</c:v>
                </c:pt>
                <c:pt idx="35">
                  <c:v>101.59505208333336</c:v>
                </c:pt>
                <c:pt idx="36">
                  <c:v>106.65690104166669</c:v>
                </c:pt>
                <c:pt idx="37">
                  <c:v>108.11360677083331</c:v>
                </c:pt>
                <c:pt idx="38">
                  <c:v>109.11458333333331</c:v>
                </c:pt>
                <c:pt idx="39">
                  <c:v>112.67903645833336</c:v>
                </c:pt>
                <c:pt idx="40">
                  <c:v>116.14583333333336</c:v>
                </c:pt>
                <c:pt idx="41">
                  <c:v>116.8701171875</c:v>
                </c:pt>
                <c:pt idx="42">
                  <c:v>116.162109375</c:v>
                </c:pt>
                <c:pt idx="43">
                  <c:v>114.697265625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E-48A6-82C9-345E8B792ACA}"/>
            </c:ext>
          </c:extLst>
        </c:ser>
        <c:ser>
          <c:idx val="5"/>
          <c:order val="5"/>
          <c:tx>
            <c:strRef>
              <c:f>'AM Benches Data'!$AQ$3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Data'!$AX$5:$AX$52</c:f>
              <c:numCache>
                <c:formatCode>0</c:formatCode>
                <c:ptCount val="48"/>
                <c:pt idx="0">
                  <c:v>77.183999999999983</c:v>
                </c:pt>
                <c:pt idx="1">
                  <c:v>73.72799999999998</c:v>
                </c:pt>
                <c:pt idx="2">
                  <c:v>64.512</c:v>
                </c:pt>
                <c:pt idx="3">
                  <c:v>63.935999999999993</c:v>
                </c:pt>
                <c:pt idx="4">
                  <c:v>52.415999999999997</c:v>
                </c:pt>
                <c:pt idx="5">
                  <c:v>58.175999999999995</c:v>
                </c:pt>
                <c:pt idx="6">
                  <c:v>52.991999999999997</c:v>
                </c:pt>
                <c:pt idx="7">
                  <c:v>52.991999999999997</c:v>
                </c:pt>
                <c:pt idx="8">
                  <c:v>59.903999999999989</c:v>
                </c:pt>
                <c:pt idx="9">
                  <c:v>67.968000000000004</c:v>
                </c:pt>
                <c:pt idx="10">
                  <c:v>69.11999999999999</c:v>
                </c:pt>
                <c:pt idx="11">
                  <c:v>63.263999999999989</c:v>
                </c:pt>
                <c:pt idx="12">
                  <c:v>62.015999999999991</c:v>
                </c:pt>
                <c:pt idx="13">
                  <c:v>60.95999999999998</c:v>
                </c:pt>
                <c:pt idx="14">
                  <c:v>60.047999999999981</c:v>
                </c:pt>
                <c:pt idx="15">
                  <c:v>59.183999999999997</c:v>
                </c:pt>
                <c:pt idx="16">
                  <c:v>59.759999999999991</c:v>
                </c:pt>
                <c:pt idx="17">
                  <c:v>60.48</c:v>
                </c:pt>
                <c:pt idx="18">
                  <c:v>61.391999999999996</c:v>
                </c:pt>
                <c:pt idx="19">
                  <c:v>60.533169230769225</c:v>
                </c:pt>
                <c:pt idx="20">
                  <c:v>59.813485714285704</c:v>
                </c:pt>
                <c:pt idx="21">
                  <c:v>58.237439999999992</c:v>
                </c:pt>
                <c:pt idx="22">
                  <c:v>56.239199999999997</c:v>
                </c:pt>
                <c:pt idx="23">
                  <c:v>56.149835294117658</c:v>
                </c:pt>
                <c:pt idx="24">
                  <c:v>55.641600000000011</c:v>
                </c:pt>
                <c:pt idx="25">
                  <c:v>58.630736842105271</c:v>
                </c:pt>
                <c:pt idx="26">
                  <c:v>62.110079999999989</c:v>
                </c:pt>
                <c:pt idx="27">
                  <c:v>64.295314285714298</c:v>
                </c:pt>
                <c:pt idx="28">
                  <c:v>66.098618181818182</c:v>
                </c:pt>
                <c:pt idx="29">
                  <c:v>67.960486956521748</c:v>
                </c:pt>
                <c:pt idx="30">
                  <c:v>69.816000000000017</c:v>
                </c:pt>
                <c:pt idx="31">
                  <c:v>74.090400000000002</c:v>
                </c:pt>
                <c:pt idx="32">
                  <c:v>77.836800000000025</c:v>
                </c:pt>
                <c:pt idx="33">
                  <c:v>82.116</c:v>
                </c:pt>
                <c:pt idx="34">
                  <c:v>86.824799999999996</c:v>
                </c:pt>
                <c:pt idx="35">
                  <c:v>89.884799999999998</c:v>
                </c:pt>
                <c:pt idx="36">
                  <c:v>94.363199999999992</c:v>
                </c:pt>
                <c:pt idx="37">
                  <c:v>95.651999999999987</c:v>
                </c:pt>
                <c:pt idx="38">
                  <c:v>96.537599999999983</c:v>
                </c:pt>
                <c:pt idx="39">
                  <c:v>99.691200000000009</c:v>
                </c:pt>
                <c:pt idx="40">
                  <c:v>102.75839999999998</c:v>
                </c:pt>
                <c:pt idx="41">
                  <c:v>103.39919999999998</c:v>
                </c:pt>
                <c:pt idx="42">
                  <c:v>102.77279999999999</c:v>
                </c:pt>
                <c:pt idx="43">
                  <c:v>101.47679999999997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E-48A6-82C9-345E8B792ACA}"/>
            </c:ext>
          </c:extLst>
        </c:ser>
        <c:ser>
          <c:idx val="6"/>
          <c:order val="6"/>
          <c:tx>
            <c:strRef>
              <c:f>'AM Benches Data'!$AR$3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'AM Benches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'AM Benches Data'!$AR$5:$AR$52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E-48A6-82C9-345E8B79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31232"/>
        <c:axId val="921510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'AM Benches Data'!$U$3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'AM Benches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'AM Benches Data'!$U$5:$U$25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17</c:v>
                      </c:pt>
                      <c:pt idx="20">
                        <c:v>16.125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09E-48A6-82C9-345E8B792ACA}"/>
                  </c:ext>
                </c:extLst>
              </c15:ser>
            </c15:filteredLineSeries>
          </c:ext>
        </c:extLst>
      </c:lineChart>
      <c:dateAx>
        <c:axId val="114293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21510064"/>
        <c:crosses val="autoZero"/>
        <c:auto val="1"/>
        <c:lblOffset val="100"/>
        <c:baseTimeUnit val="days"/>
      </c:dateAx>
      <c:valAx>
        <c:axId val="921510064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PCB Average</a:t>
            </a:r>
            <a:r>
              <a:rPr lang="en-NZ" baseline="0"/>
              <a:t> for SMT/RPS/PVA/Towers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'PCB Data'!$AA$3</c:f>
              <c:strCache>
                <c:ptCount val="1"/>
                <c:pt idx="0">
                  <c:v>13 Wks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Data'!$AA$5:$AA$52</c:f>
              <c:numCache>
                <c:formatCode>0</c:formatCode>
                <c:ptCount val="48"/>
                <c:pt idx="0">
                  <c:v>68</c:v>
                </c:pt>
                <c:pt idx="1">
                  <c:v>65.599999999999994</c:v>
                </c:pt>
                <c:pt idx="2">
                  <c:v>69</c:v>
                </c:pt>
                <c:pt idx="3">
                  <c:v>66.2</c:v>
                </c:pt>
                <c:pt idx="4">
                  <c:v>63.8</c:v>
                </c:pt>
                <c:pt idx="5">
                  <c:v>62.6</c:v>
                </c:pt>
                <c:pt idx="6">
                  <c:v>60.4</c:v>
                </c:pt>
                <c:pt idx="7">
                  <c:v>60.4</c:v>
                </c:pt>
                <c:pt idx="8">
                  <c:v>61.2</c:v>
                </c:pt>
                <c:pt idx="9">
                  <c:v>65.599999999999994</c:v>
                </c:pt>
                <c:pt idx="10">
                  <c:v>61.1</c:v>
                </c:pt>
                <c:pt idx="11">
                  <c:v>57</c:v>
                </c:pt>
                <c:pt idx="12">
                  <c:v>58.2</c:v>
                </c:pt>
                <c:pt idx="13">
                  <c:v>59.6</c:v>
                </c:pt>
                <c:pt idx="14">
                  <c:v>62.6</c:v>
                </c:pt>
                <c:pt idx="15">
                  <c:v>62.2</c:v>
                </c:pt>
                <c:pt idx="16">
                  <c:v>68.3</c:v>
                </c:pt>
                <c:pt idx="17">
                  <c:v>63.6</c:v>
                </c:pt>
                <c:pt idx="18">
                  <c:v>64.400000000000006</c:v>
                </c:pt>
                <c:pt idx="19">
                  <c:v>63.4</c:v>
                </c:pt>
                <c:pt idx="20">
                  <c:v>57.8</c:v>
                </c:pt>
                <c:pt idx="21">
                  <c:v>51.4</c:v>
                </c:pt>
                <c:pt idx="22">
                  <c:v>59.2</c:v>
                </c:pt>
                <c:pt idx="23">
                  <c:v>81</c:v>
                </c:pt>
                <c:pt idx="24">
                  <c:v>76.400000000000006</c:v>
                </c:pt>
                <c:pt idx="25">
                  <c:v>69.2</c:v>
                </c:pt>
                <c:pt idx="26">
                  <c:v>54.6</c:v>
                </c:pt>
                <c:pt idx="27">
                  <c:v>52.4</c:v>
                </c:pt>
                <c:pt idx="28">
                  <c:v>46.4</c:v>
                </c:pt>
                <c:pt idx="29">
                  <c:v>52.8</c:v>
                </c:pt>
                <c:pt idx="30">
                  <c:v>57.8</c:v>
                </c:pt>
                <c:pt idx="31">
                  <c:v>57.6</c:v>
                </c:pt>
                <c:pt idx="32">
                  <c:v>61.2</c:v>
                </c:pt>
                <c:pt idx="33">
                  <c:v>66.400000000000006</c:v>
                </c:pt>
                <c:pt idx="34">
                  <c:v>78.400000000000006</c:v>
                </c:pt>
                <c:pt idx="35">
                  <c:v>76.8</c:v>
                </c:pt>
                <c:pt idx="36">
                  <c:v>68.8</c:v>
                </c:pt>
                <c:pt idx="37">
                  <c:v>56.8</c:v>
                </c:pt>
                <c:pt idx="38">
                  <c:v>58</c:v>
                </c:pt>
                <c:pt idx="39">
                  <c:v>53.4</c:v>
                </c:pt>
                <c:pt idx="40">
                  <c:v>65.2</c:v>
                </c:pt>
                <c:pt idx="41">
                  <c:v>74.2</c:v>
                </c:pt>
                <c:pt idx="42">
                  <c:v>73.400000000000006</c:v>
                </c:pt>
                <c:pt idx="43">
                  <c:v>83.2</c:v>
                </c:pt>
                <c:pt idx="44">
                  <c:v>77.2</c:v>
                </c:pt>
                <c:pt idx="45">
                  <c:v>72.400000000000006</c:v>
                </c:pt>
                <c:pt idx="46">
                  <c:v>79.2</c:v>
                </c:pt>
                <c:pt idx="47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B-470D-9379-386DD1663D75}"/>
            </c:ext>
          </c:extLst>
        </c:ser>
        <c:ser>
          <c:idx val="2"/>
          <c:order val="2"/>
          <c:tx>
            <c:strRef>
              <c:f>'PCB Data'!$AC$3</c:f>
              <c:strCache>
                <c:ptCount val="1"/>
                <c:pt idx="0">
                  <c:v>14 - 26 Wks +20%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Data'!$AC$5:$AC$52</c:f>
              <c:numCache>
                <c:formatCode>0</c:formatCode>
                <c:ptCount val="48"/>
                <c:pt idx="19">
                  <c:v>66</c:v>
                </c:pt>
                <c:pt idx="20">
                  <c:v>60</c:v>
                </c:pt>
                <c:pt idx="21">
                  <c:v>56.4</c:v>
                </c:pt>
                <c:pt idx="22">
                  <c:v>47.76</c:v>
                </c:pt>
                <c:pt idx="23">
                  <c:v>67.44</c:v>
                </c:pt>
                <c:pt idx="24">
                  <c:v>45.84</c:v>
                </c:pt>
                <c:pt idx="25">
                  <c:v>49.68</c:v>
                </c:pt>
                <c:pt idx="26">
                  <c:v>56.4</c:v>
                </c:pt>
                <c:pt idx="27">
                  <c:v>37.68</c:v>
                </c:pt>
                <c:pt idx="28">
                  <c:v>42.959999999999994</c:v>
                </c:pt>
                <c:pt idx="29">
                  <c:v>57.84</c:v>
                </c:pt>
                <c:pt idx="30">
                  <c:v>52.8</c:v>
                </c:pt>
                <c:pt idx="31">
                  <c:v>59.759999999999991</c:v>
                </c:pt>
                <c:pt idx="32">
                  <c:v>66</c:v>
                </c:pt>
                <c:pt idx="33">
                  <c:v>72.959999999999994</c:v>
                </c:pt>
                <c:pt idx="34">
                  <c:v>57.84</c:v>
                </c:pt>
                <c:pt idx="35">
                  <c:v>57.84</c:v>
                </c:pt>
                <c:pt idx="36">
                  <c:v>48.959999999999994</c:v>
                </c:pt>
                <c:pt idx="37">
                  <c:v>53.04</c:v>
                </c:pt>
                <c:pt idx="38">
                  <c:v>47.279999999999994</c:v>
                </c:pt>
                <c:pt idx="39">
                  <c:v>56.879999999999995</c:v>
                </c:pt>
                <c:pt idx="40">
                  <c:v>92.88000000000001</c:v>
                </c:pt>
                <c:pt idx="41">
                  <c:v>73.44</c:v>
                </c:pt>
                <c:pt idx="42">
                  <c:v>63.12</c:v>
                </c:pt>
                <c:pt idx="43">
                  <c:v>71.040000000000006</c:v>
                </c:pt>
                <c:pt idx="44">
                  <c:v>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B-470D-9379-386DD1663D75}"/>
            </c:ext>
          </c:extLst>
        </c:ser>
        <c:ser>
          <c:idx val="3"/>
          <c:order val="3"/>
          <c:tx>
            <c:strRef>
              <c:f>'PCB Data'!$AD$3</c:f>
              <c:strCache>
                <c:ptCount val="1"/>
                <c:pt idx="0">
                  <c:v>3 Yr Projection Growth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Data'!$AD$5:$AD$52</c:f>
              <c:numCache>
                <c:formatCode>0</c:formatCode>
                <c:ptCount val="48"/>
                <c:pt idx="0">
                  <c:v>106.14092799999997</c:v>
                </c:pt>
                <c:pt idx="1">
                  <c:v>102.39477759999998</c:v>
                </c:pt>
                <c:pt idx="2">
                  <c:v>107.70182399999997</c:v>
                </c:pt>
                <c:pt idx="3">
                  <c:v>103.33131519999998</c:v>
                </c:pt>
                <c:pt idx="4">
                  <c:v>99.585164799999987</c:v>
                </c:pt>
                <c:pt idx="5">
                  <c:v>97.712089599999985</c:v>
                </c:pt>
                <c:pt idx="6">
                  <c:v>94.278118399999983</c:v>
                </c:pt>
                <c:pt idx="7">
                  <c:v>94.278118399999983</c:v>
                </c:pt>
                <c:pt idx="8">
                  <c:v>95.526835199999994</c:v>
                </c:pt>
                <c:pt idx="9">
                  <c:v>102.39477759999998</c:v>
                </c:pt>
                <c:pt idx="10">
                  <c:v>95.370745599999978</c:v>
                </c:pt>
                <c:pt idx="11">
                  <c:v>98.97381386666666</c:v>
                </c:pt>
                <c:pt idx="12">
                  <c:v>97.69908213333332</c:v>
                </c:pt>
                <c:pt idx="13">
                  <c:v>96.918634133333299</c:v>
                </c:pt>
                <c:pt idx="14">
                  <c:v>96.086156266666663</c:v>
                </c:pt>
                <c:pt idx="15">
                  <c:v>95.565857600000015</c:v>
                </c:pt>
                <c:pt idx="16">
                  <c:v>96.151193599999985</c:v>
                </c:pt>
                <c:pt idx="17">
                  <c:v>96.281268266666657</c:v>
                </c:pt>
                <c:pt idx="18">
                  <c:v>96.801566933333305</c:v>
                </c:pt>
                <c:pt idx="19">
                  <c:v>97.191790933333323</c:v>
                </c:pt>
                <c:pt idx="20">
                  <c:v>96.749537066666633</c:v>
                </c:pt>
                <c:pt idx="21">
                  <c:v>94.90247679999996</c:v>
                </c:pt>
                <c:pt idx="22">
                  <c:v>94.655334933333336</c:v>
                </c:pt>
                <c:pt idx="23">
                  <c:v>97.777126933333307</c:v>
                </c:pt>
                <c:pt idx="24">
                  <c:v>100.14448586666667</c:v>
                </c:pt>
                <c:pt idx="25">
                  <c:v>101.39320266666664</c:v>
                </c:pt>
                <c:pt idx="26">
                  <c:v>100.35260533333332</c:v>
                </c:pt>
                <c:pt idx="27">
                  <c:v>99.07787359999999</c:v>
                </c:pt>
                <c:pt idx="28">
                  <c:v>96.229238399999986</c:v>
                </c:pt>
                <c:pt idx="29">
                  <c:v>94.824431999999987</c:v>
                </c:pt>
                <c:pt idx="30">
                  <c:v>93.965939199999966</c:v>
                </c:pt>
                <c:pt idx="31">
                  <c:v>93.211506133333302</c:v>
                </c:pt>
                <c:pt idx="32">
                  <c:v>93.653759999999977</c:v>
                </c:pt>
                <c:pt idx="33">
                  <c:v>95.60487999999998</c:v>
                </c:pt>
                <c:pt idx="34">
                  <c:v>98.102313599999974</c:v>
                </c:pt>
                <c:pt idx="35">
                  <c:v>97.555999999999983</c:v>
                </c:pt>
                <c:pt idx="36">
                  <c:v>96.567432533333317</c:v>
                </c:pt>
                <c:pt idx="37">
                  <c:v>94.954506666666617</c:v>
                </c:pt>
                <c:pt idx="38">
                  <c:v>95.396760533333293</c:v>
                </c:pt>
                <c:pt idx="39">
                  <c:v>95.526835199999965</c:v>
                </c:pt>
                <c:pt idx="40">
                  <c:v>97.972238933333287</c:v>
                </c:pt>
                <c:pt idx="41">
                  <c:v>100.75583680000001</c:v>
                </c:pt>
                <c:pt idx="42">
                  <c:v>102.78500159999999</c:v>
                </c:pt>
                <c:pt idx="43">
                  <c:v>106.11491306666666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B-470D-9379-386DD1663D75}"/>
            </c:ext>
          </c:extLst>
        </c:ser>
        <c:ser>
          <c:idx val="4"/>
          <c:order val="4"/>
          <c:tx>
            <c:strRef>
              <c:f>'PCB Data'!$AE$3</c:f>
              <c:strCache>
                <c:ptCount val="1"/>
                <c:pt idx="0">
                  <c:v>3 Yr Projection Growth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Data'!$AE$5:$AE$52</c:f>
              <c:numCache>
                <c:formatCode>0</c:formatCode>
                <c:ptCount val="48"/>
                <c:pt idx="0">
                  <c:v>132.8125</c:v>
                </c:pt>
                <c:pt idx="1">
                  <c:v>128.125</c:v>
                </c:pt>
                <c:pt idx="2">
                  <c:v>134.765625</c:v>
                </c:pt>
                <c:pt idx="3">
                  <c:v>129.296875</c:v>
                </c:pt>
                <c:pt idx="4">
                  <c:v>124.609375</c:v>
                </c:pt>
                <c:pt idx="5">
                  <c:v>122.265625</c:v>
                </c:pt>
                <c:pt idx="6">
                  <c:v>117.96875</c:v>
                </c:pt>
                <c:pt idx="7">
                  <c:v>117.96875</c:v>
                </c:pt>
                <c:pt idx="8">
                  <c:v>119.53125</c:v>
                </c:pt>
                <c:pt idx="9">
                  <c:v>128.125</c:v>
                </c:pt>
                <c:pt idx="10">
                  <c:v>119.3359375</c:v>
                </c:pt>
                <c:pt idx="11">
                  <c:v>123.84440104166669</c:v>
                </c:pt>
                <c:pt idx="12">
                  <c:v>122.24934895833336</c:v>
                </c:pt>
                <c:pt idx="13">
                  <c:v>121.27278645833336</c:v>
                </c:pt>
                <c:pt idx="14">
                  <c:v>120.23111979166669</c:v>
                </c:pt>
                <c:pt idx="15">
                  <c:v>119.58007812500001</c:v>
                </c:pt>
                <c:pt idx="16">
                  <c:v>120.3125</c:v>
                </c:pt>
                <c:pt idx="17">
                  <c:v>120.47526041666669</c:v>
                </c:pt>
                <c:pt idx="18">
                  <c:v>121.12630208333331</c:v>
                </c:pt>
                <c:pt idx="19">
                  <c:v>121.61458333333336</c:v>
                </c:pt>
                <c:pt idx="20">
                  <c:v>121.06119791666664</c:v>
                </c:pt>
                <c:pt idx="21">
                  <c:v>118.74999999999999</c:v>
                </c:pt>
                <c:pt idx="22">
                  <c:v>118.44075520833336</c:v>
                </c:pt>
                <c:pt idx="23">
                  <c:v>122.34700520833336</c:v>
                </c:pt>
                <c:pt idx="24">
                  <c:v>125.3092447916667</c:v>
                </c:pt>
                <c:pt idx="25">
                  <c:v>126.87174479166664</c:v>
                </c:pt>
                <c:pt idx="26">
                  <c:v>125.56966145833336</c:v>
                </c:pt>
                <c:pt idx="27">
                  <c:v>123.974609375</c:v>
                </c:pt>
                <c:pt idx="28">
                  <c:v>120.41015625</c:v>
                </c:pt>
                <c:pt idx="29">
                  <c:v>118.65234375</c:v>
                </c:pt>
                <c:pt idx="30">
                  <c:v>117.57812499999999</c:v>
                </c:pt>
                <c:pt idx="31">
                  <c:v>116.63411458333331</c:v>
                </c:pt>
                <c:pt idx="32">
                  <c:v>117.1875</c:v>
                </c:pt>
                <c:pt idx="33">
                  <c:v>119.62890625</c:v>
                </c:pt>
                <c:pt idx="34">
                  <c:v>122.75390625</c:v>
                </c:pt>
                <c:pt idx="35">
                  <c:v>122.0703125</c:v>
                </c:pt>
                <c:pt idx="36">
                  <c:v>120.83333333333331</c:v>
                </c:pt>
                <c:pt idx="37">
                  <c:v>118.81510416666664</c:v>
                </c:pt>
                <c:pt idx="38">
                  <c:v>119.3684895833333</c:v>
                </c:pt>
                <c:pt idx="39">
                  <c:v>119.53125</c:v>
                </c:pt>
                <c:pt idx="40">
                  <c:v>122.59114583333331</c:v>
                </c:pt>
                <c:pt idx="41">
                  <c:v>126.07421875000001</c:v>
                </c:pt>
                <c:pt idx="42">
                  <c:v>128.61328125000003</c:v>
                </c:pt>
                <c:pt idx="43">
                  <c:v>132.77994791666669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B-470D-9379-386DD1663D75}"/>
            </c:ext>
          </c:extLst>
        </c:ser>
        <c:ser>
          <c:idx val="5"/>
          <c:order val="5"/>
          <c:tx>
            <c:strRef>
              <c:f>'PCB Data'!$AF$3</c:f>
              <c:strCache>
                <c:ptCount val="1"/>
                <c:pt idx="0">
                  <c:v>3 Yr Projection Growth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Data'!$AF$5:$AF$52</c:f>
              <c:numCache>
                <c:formatCode>0</c:formatCode>
                <c:ptCount val="48"/>
                <c:pt idx="0">
                  <c:v>117.50399999999998</c:v>
                </c:pt>
                <c:pt idx="1">
                  <c:v>113.35679999999998</c:v>
                </c:pt>
                <c:pt idx="2">
                  <c:v>119.232</c:v>
                </c:pt>
                <c:pt idx="3">
                  <c:v>114.39359999999998</c:v>
                </c:pt>
                <c:pt idx="4">
                  <c:v>110.24639999999998</c:v>
                </c:pt>
                <c:pt idx="5">
                  <c:v>108.17280000000001</c:v>
                </c:pt>
                <c:pt idx="6">
                  <c:v>104.37119999999997</c:v>
                </c:pt>
                <c:pt idx="7">
                  <c:v>104.37119999999997</c:v>
                </c:pt>
                <c:pt idx="8">
                  <c:v>105.75359999999999</c:v>
                </c:pt>
                <c:pt idx="9">
                  <c:v>113.35679999999998</c:v>
                </c:pt>
                <c:pt idx="10">
                  <c:v>105.5808</c:v>
                </c:pt>
                <c:pt idx="11">
                  <c:v>109.56960000000001</c:v>
                </c:pt>
                <c:pt idx="12">
                  <c:v>108.15839999999999</c:v>
                </c:pt>
                <c:pt idx="13">
                  <c:v>107.29440000000001</c:v>
                </c:pt>
                <c:pt idx="14">
                  <c:v>106.3728</c:v>
                </c:pt>
                <c:pt idx="15">
                  <c:v>105.79680000000002</c:v>
                </c:pt>
                <c:pt idx="16">
                  <c:v>106.44479999999999</c:v>
                </c:pt>
                <c:pt idx="17">
                  <c:v>106.58879999999999</c:v>
                </c:pt>
                <c:pt idx="18">
                  <c:v>107.16479999999999</c:v>
                </c:pt>
                <c:pt idx="19">
                  <c:v>107.5968</c:v>
                </c:pt>
                <c:pt idx="20">
                  <c:v>107.10719999999998</c:v>
                </c:pt>
                <c:pt idx="21">
                  <c:v>105.06239999999997</c:v>
                </c:pt>
                <c:pt idx="22">
                  <c:v>104.78880000000001</c:v>
                </c:pt>
                <c:pt idx="23">
                  <c:v>108.24479999999998</c:v>
                </c:pt>
                <c:pt idx="24">
                  <c:v>110.8656</c:v>
                </c:pt>
                <c:pt idx="25">
                  <c:v>112.24799999999998</c:v>
                </c:pt>
                <c:pt idx="26">
                  <c:v>111.09599999999999</c:v>
                </c:pt>
                <c:pt idx="27">
                  <c:v>109.6848</c:v>
                </c:pt>
                <c:pt idx="28">
                  <c:v>106.53119999999997</c:v>
                </c:pt>
                <c:pt idx="29">
                  <c:v>104.97599999999998</c:v>
                </c:pt>
                <c:pt idx="30">
                  <c:v>104.02559999999997</c:v>
                </c:pt>
                <c:pt idx="31">
                  <c:v>103.19039999999998</c:v>
                </c:pt>
                <c:pt idx="32">
                  <c:v>103.67999999999999</c:v>
                </c:pt>
                <c:pt idx="33">
                  <c:v>105.84</c:v>
                </c:pt>
                <c:pt idx="34">
                  <c:v>108.6048</c:v>
                </c:pt>
                <c:pt idx="35">
                  <c:v>108</c:v>
                </c:pt>
                <c:pt idx="36">
                  <c:v>106.90559999999999</c:v>
                </c:pt>
                <c:pt idx="37">
                  <c:v>105.11999999999998</c:v>
                </c:pt>
                <c:pt idx="38">
                  <c:v>105.60959999999996</c:v>
                </c:pt>
                <c:pt idx="39">
                  <c:v>105.75359999999999</c:v>
                </c:pt>
                <c:pt idx="40">
                  <c:v>108.46079999999998</c:v>
                </c:pt>
                <c:pt idx="41">
                  <c:v>111.54240000000001</c:v>
                </c:pt>
                <c:pt idx="42">
                  <c:v>113.78880000000001</c:v>
                </c:pt>
                <c:pt idx="43">
                  <c:v>117.47520000000002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B-470D-9379-386DD1663D75}"/>
            </c:ext>
          </c:extLst>
        </c:ser>
        <c:ser>
          <c:idx val="6"/>
          <c:order val="6"/>
          <c:tx>
            <c:strRef>
              <c:f>'PCB Data'!$AG$3</c:f>
              <c:strCache>
                <c:ptCount val="1"/>
                <c:pt idx="0">
                  <c:v>Ideal Capacity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'PCB Data'!$A$5:$A$52</c:f>
              <c:numCache>
                <c:formatCode>m/d/yyyy</c:formatCode>
                <c:ptCount val="48"/>
                <c:pt idx="0">
                  <c:v>43367</c:v>
                </c:pt>
                <c:pt idx="1">
                  <c:v>43381</c:v>
                </c:pt>
                <c:pt idx="2">
                  <c:v>43402</c:v>
                </c:pt>
                <c:pt idx="3">
                  <c:v>43409</c:v>
                </c:pt>
                <c:pt idx="4">
                  <c:v>43423</c:v>
                </c:pt>
                <c:pt idx="5">
                  <c:v>43437</c:v>
                </c:pt>
                <c:pt idx="6">
                  <c:v>43451</c:v>
                </c:pt>
                <c:pt idx="7">
                  <c:v>43465</c:v>
                </c:pt>
                <c:pt idx="8">
                  <c:v>43479</c:v>
                </c:pt>
                <c:pt idx="9">
                  <c:v>43493</c:v>
                </c:pt>
                <c:pt idx="10">
                  <c:v>43510</c:v>
                </c:pt>
                <c:pt idx="11">
                  <c:v>43525</c:v>
                </c:pt>
                <c:pt idx="12">
                  <c:v>43538</c:v>
                </c:pt>
                <c:pt idx="13">
                  <c:v>43556</c:v>
                </c:pt>
                <c:pt idx="14">
                  <c:v>43570</c:v>
                </c:pt>
                <c:pt idx="15">
                  <c:v>43586</c:v>
                </c:pt>
                <c:pt idx="16">
                  <c:v>43599</c:v>
                </c:pt>
                <c:pt idx="17">
                  <c:v>43617</c:v>
                </c:pt>
                <c:pt idx="18">
                  <c:v>43630</c:v>
                </c:pt>
                <c:pt idx="19">
                  <c:v>43647</c:v>
                </c:pt>
                <c:pt idx="20">
                  <c:v>43661</c:v>
                </c:pt>
                <c:pt idx="21">
                  <c:v>43678</c:v>
                </c:pt>
                <c:pt idx="22">
                  <c:v>43710</c:v>
                </c:pt>
                <c:pt idx="23">
                  <c:v>43740</c:v>
                </c:pt>
                <c:pt idx="24">
                  <c:v>43773</c:v>
                </c:pt>
                <c:pt idx="25">
                  <c:v>43801</c:v>
                </c:pt>
                <c:pt idx="26">
                  <c:v>43838</c:v>
                </c:pt>
                <c:pt idx="27">
                  <c:v>43864</c:v>
                </c:pt>
                <c:pt idx="28">
                  <c:v>43894</c:v>
                </c:pt>
                <c:pt idx="29">
                  <c:v>43927</c:v>
                </c:pt>
                <c:pt idx="30">
                  <c:v>43955</c:v>
                </c:pt>
                <c:pt idx="31">
                  <c:v>43984</c:v>
                </c:pt>
                <c:pt idx="32">
                  <c:v>44014</c:v>
                </c:pt>
                <c:pt idx="33">
                  <c:v>44054</c:v>
                </c:pt>
                <c:pt idx="34">
                  <c:v>44078</c:v>
                </c:pt>
                <c:pt idx="35">
                  <c:v>44105</c:v>
                </c:pt>
                <c:pt idx="36">
                  <c:v>44138</c:v>
                </c:pt>
                <c:pt idx="37">
                  <c:v>44166</c:v>
                </c:pt>
                <c:pt idx="38">
                  <c:v>44230</c:v>
                </c:pt>
                <c:pt idx="39">
                  <c:v>44292</c:v>
                </c:pt>
                <c:pt idx="40">
                  <c:v>44363</c:v>
                </c:pt>
                <c:pt idx="41">
                  <c:v>44419</c:v>
                </c:pt>
                <c:pt idx="42">
                  <c:v>44447</c:v>
                </c:pt>
                <c:pt idx="43">
                  <c:v>44475</c:v>
                </c:pt>
                <c:pt idx="44">
                  <c:v>44501</c:v>
                </c:pt>
                <c:pt idx="45">
                  <c:v>44531</c:v>
                </c:pt>
                <c:pt idx="46">
                  <c:v>44581</c:v>
                </c:pt>
                <c:pt idx="47">
                  <c:v>44593</c:v>
                </c:pt>
              </c:numCache>
            </c:numRef>
          </c:cat>
          <c:val>
            <c:numRef>
              <c:f>'PCB Data'!$AG$5:$AG$52</c:f>
              <c:numCache>
                <c:formatCode>0</c:formatCode>
                <c:ptCount val="4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B-470D-9379-386DD1663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7920"/>
        <c:axId val="1017602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'PCB Data'!$AB$3</c15:sqref>
                        </c15:formulaRef>
                      </c:ext>
                    </c:extLst>
                    <c:strCache>
                      <c:ptCount val="1"/>
                      <c:pt idx="0">
                        <c:v>14 - 26 Wks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'PCB Data'!$A$5:$A$52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43367</c:v>
                      </c:pt>
                      <c:pt idx="1">
                        <c:v>43381</c:v>
                      </c:pt>
                      <c:pt idx="2">
                        <c:v>43402</c:v>
                      </c:pt>
                      <c:pt idx="3">
                        <c:v>43409</c:v>
                      </c:pt>
                      <c:pt idx="4">
                        <c:v>43423</c:v>
                      </c:pt>
                      <c:pt idx="5">
                        <c:v>43437</c:v>
                      </c:pt>
                      <c:pt idx="6">
                        <c:v>43451</c:v>
                      </c:pt>
                      <c:pt idx="7">
                        <c:v>43465</c:v>
                      </c:pt>
                      <c:pt idx="8">
                        <c:v>43479</c:v>
                      </c:pt>
                      <c:pt idx="9">
                        <c:v>43493</c:v>
                      </c:pt>
                      <c:pt idx="10">
                        <c:v>43510</c:v>
                      </c:pt>
                      <c:pt idx="11">
                        <c:v>43525</c:v>
                      </c:pt>
                      <c:pt idx="12">
                        <c:v>43538</c:v>
                      </c:pt>
                      <c:pt idx="13">
                        <c:v>43556</c:v>
                      </c:pt>
                      <c:pt idx="14">
                        <c:v>43570</c:v>
                      </c:pt>
                      <c:pt idx="15">
                        <c:v>43586</c:v>
                      </c:pt>
                      <c:pt idx="16">
                        <c:v>43599</c:v>
                      </c:pt>
                      <c:pt idx="17">
                        <c:v>43617</c:v>
                      </c:pt>
                      <c:pt idx="18">
                        <c:v>43630</c:v>
                      </c:pt>
                      <c:pt idx="19">
                        <c:v>43647</c:v>
                      </c:pt>
                      <c:pt idx="20">
                        <c:v>43661</c:v>
                      </c:pt>
                      <c:pt idx="21">
                        <c:v>43678</c:v>
                      </c:pt>
                      <c:pt idx="22">
                        <c:v>43710</c:v>
                      </c:pt>
                      <c:pt idx="23">
                        <c:v>43740</c:v>
                      </c:pt>
                      <c:pt idx="24">
                        <c:v>43773</c:v>
                      </c:pt>
                      <c:pt idx="25">
                        <c:v>43801</c:v>
                      </c:pt>
                      <c:pt idx="26">
                        <c:v>43838</c:v>
                      </c:pt>
                      <c:pt idx="27">
                        <c:v>43864</c:v>
                      </c:pt>
                      <c:pt idx="28">
                        <c:v>43894</c:v>
                      </c:pt>
                      <c:pt idx="29">
                        <c:v>43927</c:v>
                      </c:pt>
                      <c:pt idx="30">
                        <c:v>43955</c:v>
                      </c:pt>
                      <c:pt idx="31">
                        <c:v>43984</c:v>
                      </c:pt>
                      <c:pt idx="32">
                        <c:v>44014</c:v>
                      </c:pt>
                      <c:pt idx="33">
                        <c:v>44054</c:v>
                      </c:pt>
                      <c:pt idx="34">
                        <c:v>44078</c:v>
                      </c:pt>
                      <c:pt idx="35">
                        <c:v>44105</c:v>
                      </c:pt>
                      <c:pt idx="36">
                        <c:v>44138</c:v>
                      </c:pt>
                      <c:pt idx="37">
                        <c:v>44166</c:v>
                      </c:pt>
                      <c:pt idx="38">
                        <c:v>44230</c:v>
                      </c:pt>
                      <c:pt idx="39">
                        <c:v>44292</c:v>
                      </c:pt>
                      <c:pt idx="40">
                        <c:v>44363</c:v>
                      </c:pt>
                      <c:pt idx="41">
                        <c:v>44419</c:v>
                      </c:pt>
                      <c:pt idx="42">
                        <c:v>44447</c:v>
                      </c:pt>
                      <c:pt idx="43">
                        <c:v>44475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44581</c:v>
                      </c:pt>
                      <c:pt idx="47">
                        <c:v>44593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'PCB Data'!$AB$5:$AB$25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19">
                        <c:v>55</c:v>
                      </c:pt>
                      <c:pt idx="2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BEB-470D-9379-386DD1663D75}"/>
                  </c:ext>
                </c:extLst>
              </c15:ser>
            </c15:filteredLineSeries>
          </c:ext>
        </c:extLst>
      </c:lineChart>
      <c:dateAx>
        <c:axId val="77710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02448"/>
        <c:crosses val="autoZero"/>
        <c:auto val="1"/>
        <c:lblOffset val="100"/>
        <c:baseTimeUnit val="days"/>
      </c:dateAx>
      <c:valAx>
        <c:axId val="101760244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6</xdr:row>
      <xdr:rowOff>0</xdr:rowOff>
    </xdr:from>
    <xdr:to>
      <xdr:col>11</xdr:col>
      <xdr:colOff>19049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E578E-B441-4367-A440-4457AAF8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11206</xdr:colOff>
      <xdr:row>6</xdr:row>
      <xdr:rowOff>11206</xdr:rowOff>
    </xdr:from>
    <xdr:to>
      <xdr:col>28</xdr:col>
      <xdr:colOff>9526</xdr:colOff>
      <xdr:row>32</xdr:row>
      <xdr:rowOff>144556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290F0-99B1-422A-A6A5-96FA57E1A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11209</xdr:colOff>
      <xdr:row>6</xdr:row>
      <xdr:rowOff>0</xdr:rowOff>
    </xdr:from>
    <xdr:to>
      <xdr:col>42</xdr:col>
      <xdr:colOff>6166</xdr:colOff>
      <xdr:row>19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3D811-B847-43D7-887C-BAA7F841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11209</xdr:colOff>
      <xdr:row>19</xdr:row>
      <xdr:rowOff>57150</xdr:rowOff>
    </xdr:from>
    <xdr:to>
      <xdr:col>41</xdr:col>
      <xdr:colOff>601759</xdr:colOff>
      <xdr:row>32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42F4D9-6CE7-4CF9-B9C0-678A9DCA4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36</xdr:row>
      <xdr:rowOff>190499</xdr:rowOff>
    </xdr:from>
    <xdr:to>
      <xdr:col>11</xdr:col>
      <xdr:colOff>9525</xdr:colOff>
      <xdr:row>63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3A37B7-3A9D-41E2-BCB8-7A7FCAB83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</xdr:colOff>
      <xdr:row>37</xdr:row>
      <xdr:rowOff>11206</xdr:rowOff>
    </xdr:from>
    <xdr:to>
      <xdr:col>28</xdr:col>
      <xdr:colOff>2</xdr:colOff>
      <xdr:row>63</xdr:row>
      <xdr:rowOff>173131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43FDAE-B855-43B0-9D30-71B66E302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11768</xdr:colOff>
      <xdr:row>37</xdr:row>
      <xdr:rowOff>0</xdr:rowOff>
    </xdr:from>
    <xdr:to>
      <xdr:col>42</xdr:col>
      <xdr:colOff>6165</xdr:colOff>
      <xdr:row>50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1BA9F2-137C-44D8-8D7F-3DC416D62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20733</xdr:colOff>
      <xdr:row>50</xdr:row>
      <xdr:rowOff>76200</xdr:rowOff>
    </xdr:from>
    <xdr:to>
      <xdr:col>42</xdr:col>
      <xdr:colOff>15690</xdr:colOff>
      <xdr:row>63</xdr:row>
      <xdr:rowOff>142876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74F82BB-8C04-43F3-A2C5-B59F4855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9524</xdr:colOff>
      <xdr:row>68</xdr:row>
      <xdr:rowOff>180975</xdr:rowOff>
    </xdr:from>
    <xdr:to>
      <xdr:col>11</xdr:col>
      <xdr:colOff>19049</xdr:colOff>
      <xdr:row>95</xdr:row>
      <xdr:rowOff>133351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AF2505-FAED-4A5F-B58D-52425CCBF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69</xdr:row>
      <xdr:rowOff>11206</xdr:rowOff>
    </xdr:from>
    <xdr:to>
      <xdr:col>28</xdr:col>
      <xdr:colOff>9526</xdr:colOff>
      <xdr:row>95</xdr:row>
      <xdr:rowOff>154082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EE74B0-6019-4D9E-8F9A-A5B2D81D4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11209</xdr:colOff>
      <xdr:row>68</xdr:row>
      <xdr:rowOff>190499</xdr:rowOff>
    </xdr:from>
    <xdr:to>
      <xdr:col>42</xdr:col>
      <xdr:colOff>6166</xdr:colOff>
      <xdr:row>82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52907A-E6EC-49E0-AF8F-52A9A508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11209</xdr:colOff>
      <xdr:row>83</xdr:row>
      <xdr:rowOff>38100</xdr:rowOff>
    </xdr:from>
    <xdr:to>
      <xdr:col>42</xdr:col>
      <xdr:colOff>11209</xdr:colOff>
      <xdr:row>95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483F33-EE3C-4450-B0D6-6B98D5AA1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20733</xdr:colOff>
      <xdr:row>69</xdr:row>
      <xdr:rowOff>-1</xdr:rowOff>
    </xdr:from>
    <xdr:to>
      <xdr:col>57</xdr:col>
      <xdr:colOff>30258</xdr:colOff>
      <xdr:row>82</xdr:row>
      <xdr:rowOff>173130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F1F6C22-6A18-438C-BB69-4E233227E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11208</xdr:colOff>
      <xdr:row>83</xdr:row>
      <xdr:rowOff>11206</xdr:rowOff>
    </xdr:from>
    <xdr:to>
      <xdr:col>57</xdr:col>
      <xdr:colOff>20733</xdr:colOff>
      <xdr:row>95</xdr:row>
      <xdr:rowOff>144556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809E129-9117-44C0-96DC-DB7020CF9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20733</xdr:colOff>
      <xdr:row>6</xdr:row>
      <xdr:rowOff>11206</xdr:rowOff>
    </xdr:from>
    <xdr:to>
      <xdr:col>57</xdr:col>
      <xdr:colOff>11208</xdr:colOff>
      <xdr:row>19</xdr:row>
      <xdr:rowOff>20731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62427EC-C27C-49F4-8494-C0C37E84B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11209</xdr:colOff>
      <xdr:row>19</xdr:row>
      <xdr:rowOff>68356</xdr:rowOff>
    </xdr:from>
    <xdr:to>
      <xdr:col>57</xdr:col>
      <xdr:colOff>11209</xdr:colOff>
      <xdr:row>32</xdr:row>
      <xdr:rowOff>77881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F5AD86-2A6F-4B26-A049-D9697CBF8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11206</xdr:colOff>
      <xdr:row>101</xdr:row>
      <xdr:rowOff>0</xdr:rowOff>
    </xdr:from>
    <xdr:to>
      <xdr:col>11</xdr:col>
      <xdr:colOff>20731</xdr:colOff>
      <xdr:row>127</xdr:row>
      <xdr:rowOff>160194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44D83A-D32B-472D-9006-FCCC1663D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101</xdr:row>
      <xdr:rowOff>38049</xdr:rowOff>
    </xdr:from>
    <xdr:to>
      <xdr:col>28</xdr:col>
      <xdr:colOff>2</xdr:colOff>
      <xdr:row>127</xdr:row>
      <xdr:rowOff>180925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3E759FC-F7C9-4F04-A33A-8D098678B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134117</xdr:colOff>
      <xdr:row>101</xdr:row>
      <xdr:rowOff>9525</xdr:rowOff>
    </xdr:from>
    <xdr:to>
      <xdr:col>41</xdr:col>
      <xdr:colOff>601760</xdr:colOff>
      <xdr:row>113</xdr:row>
      <xdr:rowOff>173183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CEA24B-04BA-44D4-A590-64DCB16B8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121127</xdr:colOff>
      <xdr:row>113</xdr:row>
      <xdr:rowOff>178377</xdr:rowOff>
    </xdr:from>
    <xdr:to>
      <xdr:col>42</xdr:col>
      <xdr:colOff>15690</xdr:colOff>
      <xdr:row>127</xdr:row>
      <xdr:rowOff>176646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6032D2F-F11D-4077-A575-8A8F0BE1F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20733</xdr:colOff>
      <xdr:row>101</xdr:row>
      <xdr:rowOff>11206</xdr:rowOff>
    </xdr:from>
    <xdr:to>
      <xdr:col>57</xdr:col>
      <xdr:colOff>14672</xdr:colOff>
      <xdr:row>113</xdr:row>
      <xdr:rowOff>182655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F103D62-5B02-4514-AEC7-4A70EA0AD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50</xdr:col>
      <xdr:colOff>12073</xdr:colOff>
      <xdr:row>114</xdr:row>
      <xdr:rowOff>6876</xdr:rowOff>
    </xdr:from>
    <xdr:to>
      <xdr:col>57</xdr:col>
      <xdr:colOff>1835</xdr:colOff>
      <xdr:row>128</xdr:row>
      <xdr:rowOff>5145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F3D763B-44BF-48B5-A3EF-1BA37F561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65</xdr:col>
      <xdr:colOff>12126</xdr:colOff>
      <xdr:row>101</xdr:row>
      <xdr:rowOff>1</xdr:rowOff>
    </xdr:from>
    <xdr:to>
      <xdr:col>72</xdr:col>
      <xdr:colOff>0</xdr:colOff>
      <xdr:row>113</xdr:row>
      <xdr:rowOff>173132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F860E90-7B77-4454-96DC-AF2220668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llagher203.sharepoint.com/sites/Operations-General/A3s/Electronics%20Value%20Stream/Electronics%20Growth/Tracking%20Growth/Electronics%20Tracking.xlsx" TargetMode="External"/><Relationship Id="rId3" Type="http://schemas.openxmlformats.org/officeDocument/2006/relationships/hyperlink" Target="https://gallagher203.sharepoint.com/sites/Operations-General/A3s/Electronics%20Value%20Stream/Electronics%20Growth/Tracking%20Growth/Electronics%20Tracking.xlsx" TargetMode="External"/><Relationship Id="rId7" Type="http://schemas.openxmlformats.org/officeDocument/2006/relationships/hyperlink" Target="https://gallagher203.sharepoint.com/sites/Operations-General/A3s/Electronics%20Value%20Stream/Electronics%20Growth/Tracking%20Growth/Electronics%20Tracking.xlsx" TargetMode="External"/><Relationship Id="rId2" Type="http://schemas.openxmlformats.org/officeDocument/2006/relationships/hyperlink" Target="https://gallagher203.sharepoint.com/sites/Operations-General/A3s/Electronics%20Value%20Stream/Electronics%20Growth/Tracking%20Growth/Electronics%20Tracking.xlsx" TargetMode="External"/><Relationship Id="rId1" Type="http://schemas.openxmlformats.org/officeDocument/2006/relationships/hyperlink" Target="https://gallagher203.sharepoint.com/sites/Operations-General/A3s/Electronics%20Value%20Stream/Electronics%20Growth/Tracking%20Growth/Electronics%20Tracking.xlsx" TargetMode="External"/><Relationship Id="rId6" Type="http://schemas.openxmlformats.org/officeDocument/2006/relationships/hyperlink" Target="https://gallagher203.sharepoint.com/sites/Operations-General/A3s/Electronics%20Value%20Stream/Electronics%20Growth/Tracking%20Growth/Electronics%20Tracking.xlsx" TargetMode="External"/><Relationship Id="rId5" Type="http://schemas.openxmlformats.org/officeDocument/2006/relationships/hyperlink" Target="https://gallagher203.sharepoint.com/sites/Operations-General/A3s/Electronics%20Value%20Stream/Electronics%20Growth/Tracking%20Growth/Electronics%20Tracking.xlsx" TargetMode="External"/><Relationship Id="rId4" Type="http://schemas.openxmlformats.org/officeDocument/2006/relationships/hyperlink" Target="https://gallagher203.sharepoint.com/sites/Operations-General/A3s/Electronics%20Value%20Stream/Electronics%20Growth/Tracking%20Growth/Electronics%20Tracking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CC47-FE74-4603-B392-6DCF6D006330}">
  <sheetPr>
    <tabColor rgb="FF00B0F0"/>
  </sheetPr>
  <dimension ref="A2:A9"/>
  <sheetViews>
    <sheetView workbookViewId="0">
      <selection activeCell="A3" sqref="A3"/>
    </sheetView>
  </sheetViews>
  <sheetFormatPr defaultRowHeight="15" x14ac:dyDescent="0.25"/>
  <sheetData>
    <row r="2" spans="1:1" x14ac:dyDescent="0.25">
      <c r="A2" s="508" t="s">
        <v>0</v>
      </c>
    </row>
    <row r="3" spans="1:1" x14ac:dyDescent="0.25">
      <c r="A3" s="508" t="s">
        <v>1</v>
      </c>
    </row>
    <row r="4" spans="1:1" x14ac:dyDescent="0.25">
      <c r="A4" s="508" t="s">
        <v>2</v>
      </c>
    </row>
    <row r="5" spans="1:1" x14ac:dyDescent="0.25">
      <c r="A5" s="508" t="s">
        <v>3</v>
      </c>
    </row>
    <row r="6" spans="1:1" x14ac:dyDescent="0.25">
      <c r="A6" s="508" t="s">
        <v>4</v>
      </c>
    </row>
    <row r="7" spans="1:1" x14ac:dyDescent="0.25">
      <c r="A7" s="508" t="s">
        <v>5</v>
      </c>
    </row>
    <row r="8" spans="1:1" x14ac:dyDescent="0.25">
      <c r="A8" s="508" t="s">
        <v>6</v>
      </c>
    </row>
    <row r="9" spans="1:1" x14ac:dyDescent="0.25">
      <c r="A9" s="508" t="s">
        <v>7</v>
      </c>
    </row>
  </sheetData>
  <hyperlinks>
    <hyperlink ref="A2" r:id="rId1" location="'Growth Predic 52 Wk on Stretch'!A1" xr:uid="{84A2AFFE-BEB0-4AD4-91C7-6F6503AAFE73}"/>
    <hyperlink ref="A3" r:id="rId2" location="'Growth Prediction Exec Summary'!A1" xr:uid="{C0CB4F45-C00F-4954-8C0B-A91E2B8AE152}"/>
    <hyperlink ref="A4" r:id="rId3" location="'Team Eff'!A1" xr:uid="{5926D2D0-EB52-4946-905E-9D72C0F446A1}"/>
    <hyperlink ref="A5" r:id="rId4" location="'Team Numbers'!C100" xr:uid="{A77324DD-2621-49A8-B6D8-5A8C8F19C03E}"/>
    <hyperlink ref="A6" r:id="rId5" location="'Unit Numbers '!Y1" xr:uid="{0EB68896-000A-4103-B2A9-1D1B8782E7B2}"/>
    <hyperlink ref="A7" r:id="rId6" location="'Units made'!AD1" xr:uid="{D3F1CDC7-5457-44B4-AB56-FAF66527130D}"/>
    <hyperlink ref="A8" r:id="rId7" location="'eShepherd Analysis'!A1" xr:uid="{60585312-60F0-43EB-93DD-727775DFBF24}"/>
    <hyperlink ref="A9" r:id="rId8" location="'Group Totals'!A144" xr:uid="{A03C253F-FA8C-41CF-BD0D-3AD1032255F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D68D-A342-470A-9F59-76247BE91603}">
  <sheetPr>
    <tabColor theme="7" tint="0.59999389629810485"/>
    <pageSetUpPr fitToPage="1"/>
  </sheetPr>
  <dimension ref="B1:M49"/>
  <sheetViews>
    <sheetView showGridLines="0" zoomScaleNormal="100" workbookViewId="0">
      <selection activeCell="C32" sqref="C32"/>
    </sheetView>
  </sheetViews>
  <sheetFormatPr defaultRowHeight="15" outlineLevelRow="2" x14ac:dyDescent="0.25"/>
  <cols>
    <col min="2" max="2" width="55.28515625" bestFit="1" customWidth="1"/>
    <col min="3" max="12" width="9.85546875" bestFit="1" customWidth="1"/>
  </cols>
  <sheetData>
    <row r="1" spans="2:13" x14ac:dyDescent="0.25">
      <c r="C1" s="389">
        <v>0.17</v>
      </c>
      <c r="D1" s="390">
        <v>0.22</v>
      </c>
      <c r="E1" s="390">
        <v>0.19</v>
      </c>
      <c r="F1" s="390">
        <v>0.18</v>
      </c>
      <c r="G1" s="390">
        <v>0.1</v>
      </c>
      <c r="H1" s="390">
        <v>0.08</v>
      </c>
      <c r="I1" s="390">
        <v>0.08</v>
      </c>
      <c r="J1" s="390">
        <v>0.08</v>
      </c>
      <c r="K1" s="390">
        <v>0.08</v>
      </c>
      <c r="L1" s="391">
        <v>0.08</v>
      </c>
    </row>
    <row r="2" spans="2:13" x14ac:dyDescent="0.25">
      <c r="B2" s="63" t="s">
        <v>306</v>
      </c>
      <c r="C2" s="389">
        <v>0.37</v>
      </c>
      <c r="D2" s="390">
        <v>0.3</v>
      </c>
      <c r="E2" s="390">
        <v>0.3</v>
      </c>
      <c r="F2" s="390">
        <v>0.3</v>
      </c>
      <c r="G2" s="390">
        <v>0.3</v>
      </c>
      <c r="H2" s="390">
        <v>0.3</v>
      </c>
      <c r="I2" s="390">
        <v>0.3</v>
      </c>
      <c r="J2" s="390">
        <v>0.15</v>
      </c>
      <c r="K2" s="390">
        <v>0.12</v>
      </c>
      <c r="L2" s="391">
        <v>0.1</v>
      </c>
    </row>
    <row r="3" spans="2:13" ht="15.75" thickBot="1" x14ac:dyDescent="0.3"/>
    <row r="4" spans="2:13" x14ac:dyDescent="0.25">
      <c r="B4" s="251" t="s">
        <v>16</v>
      </c>
      <c r="C4" s="258" t="s">
        <v>215</v>
      </c>
      <c r="D4" s="256" t="s">
        <v>217</v>
      </c>
      <c r="E4" s="256" t="s">
        <v>218</v>
      </c>
      <c r="F4" s="256" t="s">
        <v>220</v>
      </c>
      <c r="G4" s="256" t="s">
        <v>221</v>
      </c>
      <c r="H4" s="256" t="s">
        <v>223</v>
      </c>
      <c r="I4" s="256" t="s">
        <v>224</v>
      </c>
      <c r="J4" s="256" t="s">
        <v>226</v>
      </c>
      <c r="K4" s="256" t="s">
        <v>227</v>
      </c>
      <c r="L4" s="257" t="s">
        <v>229</v>
      </c>
    </row>
    <row r="5" spans="2:13" x14ac:dyDescent="0.25">
      <c r="B5" s="250" t="s">
        <v>307</v>
      </c>
      <c r="C5" s="389">
        <v>0.08</v>
      </c>
      <c r="D5" s="390">
        <v>0.08</v>
      </c>
      <c r="E5" s="390">
        <v>0.08</v>
      </c>
      <c r="F5" s="390">
        <v>0.08</v>
      </c>
      <c r="G5" s="390">
        <v>0.08</v>
      </c>
      <c r="H5" s="390">
        <v>0.08</v>
      </c>
      <c r="I5" s="390">
        <v>0.08</v>
      </c>
      <c r="J5" s="390">
        <v>0.08</v>
      </c>
      <c r="K5" s="390">
        <v>0.08</v>
      </c>
      <c r="L5" s="391">
        <v>0.08</v>
      </c>
    </row>
    <row r="6" spans="2:13" x14ac:dyDescent="0.25">
      <c r="B6" s="250" t="s">
        <v>234</v>
      </c>
      <c r="C6" s="389">
        <v>0.155</v>
      </c>
      <c r="D6" s="390">
        <v>0.224</v>
      </c>
      <c r="E6" s="390">
        <v>0.216</v>
      </c>
      <c r="F6" s="390">
        <v>0.2</v>
      </c>
      <c r="G6" s="390">
        <v>0.2</v>
      </c>
      <c r="H6" s="390">
        <v>0.2</v>
      </c>
      <c r="I6" s="390">
        <v>0.2</v>
      </c>
      <c r="J6" s="390">
        <v>0.2</v>
      </c>
      <c r="K6" s="390">
        <v>0.12</v>
      </c>
      <c r="L6" s="391">
        <v>0.1</v>
      </c>
    </row>
    <row r="7" spans="2:13" ht="15.75" thickBot="1" x14ac:dyDescent="0.3">
      <c r="B7" s="260" t="s">
        <v>308</v>
      </c>
      <c r="C7" s="259">
        <f>AVERAGE(C5:C6)</f>
        <v>0.11749999999999999</v>
      </c>
      <c r="D7" s="259">
        <f t="shared" ref="D7:L7" si="0">AVERAGE(D5:D6)</f>
        <v>0.152</v>
      </c>
      <c r="E7" s="259">
        <f t="shared" si="0"/>
        <v>0.14799999999999999</v>
      </c>
      <c r="F7" s="259">
        <f t="shared" si="0"/>
        <v>0.14000000000000001</v>
      </c>
      <c r="G7" s="259">
        <f t="shared" si="0"/>
        <v>0.14000000000000001</v>
      </c>
      <c r="H7" s="259">
        <f t="shared" si="0"/>
        <v>0.14000000000000001</v>
      </c>
      <c r="I7" s="259">
        <f t="shared" si="0"/>
        <v>0.14000000000000001</v>
      </c>
      <c r="J7" s="259">
        <f t="shared" si="0"/>
        <v>0.14000000000000001</v>
      </c>
      <c r="K7" s="259">
        <f t="shared" si="0"/>
        <v>0.1</v>
      </c>
      <c r="L7" s="259">
        <f t="shared" si="0"/>
        <v>0.09</v>
      </c>
    </row>
    <row r="9" spans="2:13" ht="15.75" thickBot="1" x14ac:dyDescent="0.3"/>
    <row r="10" spans="2:13" ht="15.75" thickBot="1" x14ac:dyDescent="0.3">
      <c r="B10" s="247" t="s">
        <v>16</v>
      </c>
      <c r="C10" s="245">
        <f>'Growth Predic 52 Wk on Stretch'!W5</f>
        <v>45047</v>
      </c>
      <c r="D10" s="245">
        <f>'Growth Predic 52 Wk on Stretch'!AI5</f>
        <v>45413</v>
      </c>
      <c r="E10" s="245">
        <f>'Growth Predic 52 Wk on Stretch'!AU5</f>
        <v>45778</v>
      </c>
      <c r="F10" s="245">
        <f>'Growth Predic 52 Wk on Stretch'!BG5</f>
        <v>46143</v>
      </c>
      <c r="G10" s="245">
        <f>'Growth Predic 52 Wk on Stretch'!BS5</f>
        <v>46508</v>
      </c>
      <c r="H10" s="245">
        <f>'Growth Predic 52 Wk on Stretch'!CE5</f>
        <v>46874</v>
      </c>
      <c r="I10" s="245">
        <f>'Growth Predic 52 Wk on Stretch'!CQ5</f>
        <v>47239</v>
      </c>
      <c r="J10" s="245">
        <f>'Growth Predic 52 Wk on Stretch'!DC5</f>
        <v>47604</v>
      </c>
      <c r="K10" s="245">
        <f>'Growth Predic 52 Wk on Stretch'!DO5</f>
        <v>47969</v>
      </c>
      <c r="L10" s="246">
        <f>'Growth Predic 52 Wk on Stretch'!EA5</f>
        <v>48335</v>
      </c>
      <c r="M10" s="68"/>
    </row>
    <row r="11" spans="2:13" hidden="1" outlineLevel="1" x14ac:dyDescent="0.25">
      <c r="B11" s="251" t="s">
        <v>309</v>
      </c>
      <c r="C11" s="252">
        <f>SUM(C12:C13)</f>
        <v>88</v>
      </c>
      <c r="D11" s="252">
        <f t="shared" ref="D11:L11" si="1">SUM(D12:D13)</f>
        <v>94.748907742296936</v>
      </c>
      <c r="E11" s="252">
        <f t="shared" si="1"/>
        <v>103.62331042265905</v>
      </c>
      <c r="F11" s="252">
        <f t="shared" si="1"/>
        <v>111.56278979476093</v>
      </c>
      <c r="G11" s="252">
        <f t="shared" si="1"/>
        <v>119.57218913722343</v>
      </c>
      <c r="H11" s="252">
        <f t="shared" si="1"/>
        <v>127.65671218564776</v>
      </c>
      <c r="I11" s="252">
        <f t="shared" si="1"/>
        <v>136.8219499593263</v>
      </c>
      <c r="J11" s="252">
        <f t="shared" si="1"/>
        <v>147.07390958450907</v>
      </c>
      <c r="K11" s="252">
        <f t="shared" si="1"/>
        <v>158.41904526281743</v>
      </c>
      <c r="L11" s="253">
        <f t="shared" si="1"/>
        <v>169.86429154445702</v>
      </c>
      <c r="M11" s="68"/>
    </row>
    <row r="12" spans="2:13" hidden="1" outlineLevel="2" x14ac:dyDescent="0.25">
      <c r="B12" s="243" t="str">
        <f>'Growth Predic 52 Wk on Stretch'!N7</f>
        <v>Total Elec Team Members (FA &amp; PCB)</v>
      </c>
      <c r="C12">
        <f>'Growth Predic 52 Wk on Stretch'!V7</f>
        <v>78</v>
      </c>
      <c r="D12">
        <f>'Growth Predic 52 Wk on Stretch'!AI7</f>
        <v>86.758800851540627</v>
      </c>
      <c r="E12">
        <f>'Growth Predic 52 Wk on Stretch'!AU7</f>
        <v>94.559515650602464</v>
      </c>
      <c r="F12">
        <f>'Growth Predic 52 Wk on Stretch'!BG7</f>
        <v>101.4198229821671</v>
      </c>
      <c r="G12">
        <f>'Growth Predic 52 Wk on Stretch'!BS7</f>
        <v>109.34415797086852</v>
      </c>
      <c r="H12">
        <f>'Growth Predic 52 Wk on Stretch'!CE7</f>
        <v>116.33728582180031</v>
      </c>
      <c r="I12">
        <f>'Growth Predic 52 Wk on Stretch'!CQ7</f>
        <v>125.40432638647914</v>
      </c>
      <c r="J12">
        <f>'Growth Predic 52 Wk on Stretch'!DC7</f>
        <v>134.55078055710976</v>
      </c>
      <c r="K12">
        <f>'Growth Predic 52 Wk on Stretch'!DO7</f>
        <v>144.78255862522084</v>
      </c>
      <c r="L12" s="236">
        <f>'Growth Predic 52 Wk on Stretch'!EA7</f>
        <v>155.10601075086925</v>
      </c>
    </row>
    <row r="13" spans="2:13" ht="15.75" hidden="1" outlineLevel="2" thickBot="1" x14ac:dyDescent="0.3">
      <c r="B13" s="244" t="str">
        <f>'Growth Predic 52 Wk on Stretch'!N8</f>
        <v>Total HW Team Members (Ex LC)</v>
      </c>
      <c r="C13" s="237">
        <f>'Growth Predic 52 Wk on Stretch'!V8</f>
        <v>10</v>
      </c>
      <c r="D13" s="237">
        <f>'Growth Predic 52 Wk on Stretch'!AI8</f>
        <v>7.9901068907563024</v>
      </c>
      <c r="E13" s="237">
        <f>'Growth Predic 52 Wk on Stretch'!AU8</f>
        <v>9.0637947720565837</v>
      </c>
      <c r="F13" s="237">
        <f>'Growth Predic 52 Wk on Stretch'!BG8</f>
        <v>10.142966812593828</v>
      </c>
      <c r="G13" s="237">
        <f>'Growth Predic 52 Wk on Stretch'!BS8</f>
        <v>10.228031166354905</v>
      </c>
      <c r="H13" s="237">
        <f>'Growth Predic 52 Wk on Stretch'!CE8</f>
        <v>11.319426363847453</v>
      </c>
      <c r="I13" s="237">
        <f>'Growth Predic 52 Wk on Stretch'!CQ8</f>
        <v>11.417623572847166</v>
      </c>
      <c r="J13" s="237">
        <f>'Growth Predic 52 Wk on Stretch'!DC8</f>
        <v>12.523129027399298</v>
      </c>
      <c r="K13" s="237">
        <f>'Growth Predic 52 Wk on Stretch'!DO8</f>
        <v>13.636486637596596</v>
      </c>
      <c r="L13" s="238">
        <f>'Growth Predic 52 Wk on Stretch'!EA8</f>
        <v>14.758280793587772</v>
      </c>
    </row>
    <row r="14" spans="2:13" hidden="1" outlineLevel="1" collapsed="1" x14ac:dyDescent="0.25">
      <c r="B14" s="251" t="s">
        <v>310</v>
      </c>
      <c r="C14" s="252">
        <f>SUM(C15:C16)</f>
        <v>18</v>
      </c>
      <c r="D14" s="252">
        <f t="shared" ref="D14:L14" si="2">SUM(D15:D16)</f>
        <v>8</v>
      </c>
      <c r="E14" s="252">
        <f t="shared" si="2"/>
        <v>8</v>
      </c>
      <c r="F14" s="252">
        <f t="shared" si="2"/>
        <v>10</v>
      </c>
      <c r="G14" s="252">
        <f t="shared" si="2"/>
        <v>11</v>
      </c>
      <c r="H14" s="252">
        <f t="shared" si="2"/>
        <v>12</v>
      </c>
      <c r="I14" s="252">
        <f t="shared" si="2"/>
        <v>13</v>
      </c>
      <c r="J14" s="252">
        <f t="shared" si="2"/>
        <v>15</v>
      </c>
      <c r="K14" s="252">
        <f t="shared" si="2"/>
        <v>15</v>
      </c>
      <c r="L14" s="253">
        <f t="shared" si="2"/>
        <v>17</v>
      </c>
    </row>
    <row r="15" spans="2:13" hidden="1" outlineLevel="2" x14ac:dyDescent="0.25">
      <c r="B15" s="243" t="str">
        <f>'Growth Predic 52 Wk on Stretch'!N9</f>
        <v>Total No. of Elec FA Benches</v>
      </c>
      <c r="C15">
        <f>'Growth Predic 52 Wk on Stretch'!V9</f>
        <v>10</v>
      </c>
      <c r="D15">
        <f>'Growth Predic 52 Wk on Stretch'!AI9</f>
        <v>8</v>
      </c>
      <c r="E15">
        <f>'Growth Predic 52 Wk on Stretch'!AU9</f>
        <v>8</v>
      </c>
      <c r="F15">
        <f>'Growth Predic 52 Wk on Stretch'!BG9</f>
        <v>10</v>
      </c>
      <c r="G15">
        <f>'Growth Predic 52 Wk on Stretch'!BS9</f>
        <v>11</v>
      </c>
      <c r="H15">
        <f>'Growth Predic 52 Wk on Stretch'!CE9</f>
        <v>12</v>
      </c>
      <c r="I15">
        <f>'Growth Predic 52 Wk on Stretch'!CQ9</f>
        <v>13</v>
      </c>
      <c r="J15">
        <f>'Growth Predic 52 Wk on Stretch'!DC9</f>
        <v>15</v>
      </c>
      <c r="K15">
        <f>'Growth Predic 52 Wk on Stretch'!DO9</f>
        <v>15</v>
      </c>
      <c r="L15" s="236">
        <f>'Growth Predic 52 Wk on Stretch'!EA9</f>
        <v>17</v>
      </c>
    </row>
    <row r="16" spans="2:13" ht="15.75" hidden="1" outlineLevel="2" thickBot="1" x14ac:dyDescent="0.3">
      <c r="B16" s="244" t="str">
        <f>'Growth Predic 52 Wk on Stretch'!N14</f>
        <v>Total No. of HW Benches</v>
      </c>
      <c r="C16" s="237">
        <f>'Growth Predic 52 Wk on Stretch'!V14</f>
        <v>8</v>
      </c>
      <c r="D16" s="237">
        <f>'Growth Predic 52 Wk on Stretch'!AI14</f>
        <v>0</v>
      </c>
      <c r="E16" s="237">
        <f>'Growth Predic 52 Wk on Stretch'!AU14</f>
        <v>0</v>
      </c>
      <c r="F16" s="237">
        <f>'Growth Predic 52 Wk on Stretch'!BG14</f>
        <v>0</v>
      </c>
      <c r="G16" s="237">
        <f>'Growth Predic 52 Wk on Stretch'!BS14</f>
        <v>0</v>
      </c>
      <c r="H16" s="237">
        <f>'Growth Predic 52 Wk on Stretch'!CE14</f>
        <v>0</v>
      </c>
      <c r="I16" s="237">
        <f>'Growth Predic 52 Wk on Stretch'!CQ14</f>
        <v>0</v>
      </c>
      <c r="J16" s="237">
        <f>'Growth Predic 52 Wk on Stretch'!DC14</f>
        <v>0</v>
      </c>
      <c r="K16" s="237">
        <f>'Growth Predic 52 Wk on Stretch'!DO14</f>
        <v>0</v>
      </c>
      <c r="L16" s="238">
        <f>'Growth Predic 52 Wk on Stretch'!EA14</f>
        <v>0</v>
      </c>
    </row>
    <row r="17" spans="2:12" ht="15.75" collapsed="1" thickBot="1" x14ac:dyDescent="0.3">
      <c r="B17" s="242" t="str">
        <f>'Growth Predic 52 Wk on Stretch'!N28</f>
        <v>Overall SqM Req Factory and Stores</v>
      </c>
      <c r="C17" s="338">
        <f>'Growth Predic 52 Wk on Stretch'!V28</f>
        <v>8794</v>
      </c>
      <c r="D17" s="338">
        <f>'Growth Predic 52 Wk on Stretch'!AI28</f>
        <v>5201.4444444444443</v>
      </c>
      <c r="E17" s="338">
        <f>'Growth Predic 52 Wk on Stretch'!AU28</f>
        <v>5281.4444444444443</v>
      </c>
      <c r="F17" s="338">
        <f>'Growth Predic 52 Wk on Stretch'!BG28</f>
        <v>6153.5555555555557</v>
      </c>
      <c r="G17" s="338">
        <f>'Growth Predic 52 Wk on Stretch'!BS28</f>
        <v>6550.1111111111113</v>
      </c>
      <c r="H17" s="338">
        <f>'Growth Predic 52 Wk on Stretch'!CE28</f>
        <v>7026.6666666666661</v>
      </c>
      <c r="I17" s="338">
        <f>'Growth Predic 52 Wk on Stretch'!CQ28</f>
        <v>7423.2222222222226</v>
      </c>
      <c r="J17" s="338">
        <f>'Growth Predic 52 Wk on Stretch'!DC28</f>
        <v>8375.3333333333321</v>
      </c>
      <c r="K17" s="338">
        <f>'Growth Predic 52 Wk on Stretch'!DO28</f>
        <v>8455.3333333333321</v>
      </c>
      <c r="L17" s="339">
        <f>'Growth Predic 52 Wk on Stretch'!EA28</f>
        <v>9407.4444444444453</v>
      </c>
    </row>
    <row r="18" spans="2:12" s="34" customFormat="1" hidden="1" x14ac:dyDescent="0.25">
      <c r="B18" s="242" t="str">
        <f>'Growth Predic 52 Wk on Stretch'!N27</f>
        <v>Total SqM Req for HW, LC, FA, PCB &amp; PE</v>
      </c>
      <c r="C18" s="338">
        <f>'Growth Predic 52 Wk on Stretch'!V27</f>
        <v>4581</v>
      </c>
      <c r="D18" s="338">
        <f>'Growth Predic 52 Wk on Stretch'!AI27</f>
        <v>3329</v>
      </c>
      <c r="E18" s="338">
        <f>'Growth Predic 52 Wk on Stretch'!AU27</f>
        <v>3409</v>
      </c>
      <c r="F18" s="338">
        <f>'Growth Predic 52 Wk on Stretch'!BG27</f>
        <v>3813</v>
      </c>
      <c r="G18" s="338">
        <f>'Growth Predic 52 Wk on Stretch'!BS27</f>
        <v>3975.5</v>
      </c>
      <c r="H18" s="338">
        <f>'Growth Predic 52 Wk on Stretch'!CE27</f>
        <v>4218</v>
      </c>
      <c r="I18" s="338">
        <f>'Growth Predic 52 Wk on Stretch'!CQ27</f>
        <v>4380.5</v>
      </c>
      <c r="J18" s="338">
        <f>'Growth Predic 52 Wk on Stretch'!DC27</f>
        <v>4864.5</v>
      </c>
      <c r="K18" s="338">
        <f>'Growth Predic 52 Wk on Stretch'!DO27</f>
        <v>4944.5</v>
      </c>
      <c r="L18" s="339">
        <f>'Growth Predic 52 Wk on Stretch'!EA27</f>
        <v>5428.5</v>
      </c>
    </row>
    <row r="19" spans="2:12" s="34" customFormat="1" ht="15.75" hidden="1" thickBot="1" x14ac:dyDescent="0.3">
      <c r="B19" s="385" t="str">
        <f>'Growth Predic 52 Wk on Stretch'!N26</f>
        <v>Sq M Req for EFA/EL/RMP based off FA Lines</v>
      </c>
      <c r="C19" s="386">
        <f>'Growth Predic 52 Wk on Stretch'!V26</f>
        <v>4213</v>
      </c>
      <c r="D19" s="386">
        <f>'Growth Predic 52 Wk on Stretch'!AI26</f>
        <v>1872.4444444444443</v>
      </c>
      <c r="E19" s="386">
        <f>'Growth Predic 52 Wk on Stretch'!AU26</f>
        <v>1872.4444444444443</v>
      </c>
      <c r="F19" s="386">
        <f>'Growth Predic 52 Wk on Stretch'!BG26</f>
        <v>2340.5555555555557</v>
      </c>
      <c r="G19" s="386">
        <f>'Growth Predic 52 Wk on Stretch'!BS26</f>
        <v>2574.6111111111109</v>
      </c>
      <c r="H19" s="386">
        <f>'Growth Predic 52 Wk on Stretch'!CE26</f>
        <v>2808.6666666666665</v>
      </c>
      <c r="I19" s="386">
        <f>'Growth Predic 52 Wk on Stretch'!CQ26</f>
        <v>3042.7222222222222</v>
      </c>
      <c r="J19" s="386">
        <f>'Growth Predic 52 Wk on Stretch'!DC26</f>
        <v>3510.833333333333</v>
      </c>
      <c r="K19" s="386">
        <f>'Growth Predic 52 Wk on Stretch'!DO26</f>
        <v>3510.833333333333</v>
      </c>
      <c r="L19" s="387">
        <f>'Growth Predic 52 Wk on Stretch'!EA26</f>
        <v>3978.9444444444443</v>
      </c>
    </row>
    <row r="20" spans="2:12" s="34" customFormat="1" hidden="1" outlineLevel="1" x14ac:dyDescent="0.25">
      <c r="B20" s="248" t="str">
        <f>'Growth Predic 52 Wk on Stretch'!N13</f>
        <v>Total SqM Req for FA &amp; Modules</v>
      </c>
      <c r="C20" s="340">
        <f>'Growth Predic 52 Wk on Stretch'!V13</f>
        <v>2182</v>
      </c>
      <c r="D20" s="340">
        <f>'Growth Predic 52 Wk on Stretch'!AI13</f>
        <v>1618</v>
      </c>
      <c r="E20" s="340">
        <f>'Growth Predic 52 Wk on Stretch'!AU13</f>
        <v>1698</v>
      </c>
      <c r="F20" s="340">
        <f>'Growth Predic 52 Wk on Stretch'!BG13</f>
        <v>2102</v>
      </c>
      <c r="G20" s="340">
        <f>'Growth Predic 52 Wk on Stretch'!BS13</f>
        <v>2264.5</v>
      </c>
      <c r="H20" s="340">
        <f>'Growth Predic 52 Wk on Stretch'!CE13</f>
        <v>2507</v>
      </c>
      <c r="I20" s="340">
        <f>'Growth Predic 52 Wk on Stretch'!CQ13</f>
        <v>2669.5</v>
      </c>
      <c r="J20" s="340">
        <f>'Growth Predic 52 Wk on Stretch'!DC13</f>
        <v>3153.5</v>
      </c>
      <c r="K20" s="340">
        <f>'Growth Predic 52 Wk on Stretch'!DO13</f>
        <v>3233.5</v>
      </c>
      <c r="L20" s="341">
        <f>'Growth Predic 52 Wk on Stretch'!EA13</f>
        <v>3717.5</v>
      </c>
    </row>
    <row r="21" spans="2:12" hidden="1" outlineLevel="1" x14ac:dyDescent="0.25">
      <c r="B21" s="243" t="str">
        <f>'Growth Predic 52 Wk on Stretch'!N10</f>
        <v>Sq M Required for FA Benches</v>
      </c>
      <c r="C21" s="11">
        <f>'Growth Predic 52 Wk on Stretch'!V10</f>
        <v>825</v>
      </c>
      <c r="D21" s="11">
        <f>'Growth Predic 52 Wk on Stretch'!AI10</f>
        <v>660</v>
      </c>
      <c r="E21" s="11">
        <f>'Growth Predic 52 Wk on Stretch'!AU10</f>
        <v>660</v>
      </c>
      <c r="F21" s="11">
        <f>'Growth Predic 52 Wk on Stretch'!BG10</f>
        <v>825</v>
      </c>
      <c r="G21" s="11">
        <f>'Growth Predic 52 Wk on Stretch'!BS10</f>
        <v>907.5</v>
      </c>
      <c r="H21" s="11">
        <f>'Growth Predic 52 Wk on Stretch'!CE10</f>
        <v>990</v>
      </c>
      <c r="I21" s="11">
        <f>'Growth Predic 52 Wk on Stretch'!CQ10</f>
        <v>1072.5</v>
      </c>
      <c r="J21" s="11">
        <f>'Growth Predic 52 Wk on Stretch'!DC10</f>
        <v>1237.5</v>
      </c>
      <c r="K21" s="11">
        <f>'Growth Predic 52 Wk on Stretch'!DO10</f>
        <v>1237.5</v>
      </c>
      <c r="L21" s="342">
        <f>'Growth Predic 52 Wk on Stretch'!EA10</f>
        <v>1402.5</v>
      </c>
    </row>
    <row r="22" spans="2:12" hidden="1" outlineLevel="1" x14ac:dyDescent="0.25">
      <c r="B22" s="243" t="str">
        <f>'Growth Predic 52 Wk on Stretch'!N11</f>
        <v>Sq M Required for SMT</v>
      </c>
      <c r="C22" s="11">
        <f>'Growth Predic 52 Wk on Stretch'!V11</f>
        <v>717</v>
      </c>
      <c r="D22" s="11">
        <f>'Growth Predic 52 Wk on Stretch'!AI11</f>
        <v>478</v>
      </c>
      <c r="E22" s="11">
        <f>'Growth Predic 52 Wk on Stretch'!AU11</f>
        <v>478</v>
      </c>
      <c r="F22" s="11">
        <f>'Growth Predic 52 Wk on Stretch'!BG11</f>
        <v>717</v>
      </c>
      <c r="G22" s="11">
        <f>'Growth Predic 52 Wk on Stretch'!BS11</f>
        <v>717</v>
      </c>
      <c r="H22" s="11">
        <f>'Growth Predic 52 Wk on Stretch'!CE11</f>
        <v>717</v>
      </c>
      <c r="I22" s="11">
        <f>'Growth Predic 52 Wk on Stretch'!CQ11</f>
        <v>717</v>
      </c>
      <c r="J22" s="11">
        <f>'Growth Predic 52 Wk on Stretch'!DC11</f>
        <v>956</v>
      </c>
      <c r="K22" s="11">
        <f>'Growth Predic 52 Wk on Stretch'!DO11</f>
        <v>956</v>
      </c>
      <c r="L22" s="342">
        <f>'Growth Predic 52 Wk on Stretch'!EA11</f>
        <v>1195</v>
      </c>
    </row>
    <row r="23" spans="2:12" hidden="1" outlineLevel="1" x14ac:dyDescent="0.25">
      <c r="B23" s="249" t="str">
        <f>'Growth Predic 52 Wk on Stretch'!N12</f>
        <v>Sq M Required for RPS &amp; PVA</v>
      </c>
      <c r="C23" s="343">
        <f>'Growth Predic 52 Wk on Stretch'!V12</f>
        <v>640</v>
      </c>
      <c r="D23" s="343">
        <f>'Growth Predic 52 Wk on Stretch'!AI12</f>
        <v>480</v>
      </c>
      <c r="E23" s="343">
        <f>'Growth Predic 52 Wk on Stretch'!AU12</f>
        <v>560</v>
      </c>
      <c r="F23" s="343">
        <f>'Growth Predic 52 Wk on Stretch'!BG12</f>
        <v>560</v>
      </c>
      <c r="G23" s="343">
        <f>'Growth Predic 52 Wk on Stretch'!BS12</f>
        <v>640</v>
      </c>
      <c r="H23" s="343">
        <f>'Growth Predic 52 Wk on Stretch'!CE12</f>
        <v>800</v>
      </c>
      <c r="I23" s="343">
        <f>'Growth Predic 52 Wk on Stretch'!CQ12</f>
        <v>880</v>
      </c>
      <c r="J23" s="343">
        <f>'Growth Predic 52 Wk on Stretch'!DC12</f>
        <v>960</v>
      </c>
      <c r="K23" s="343">
        <f>'Growth Predic 52 Wk on Stretch'!DO12</f>
        <v>1040</v>
      </c>
      <c r="L23" s="344">
        <f>'Growth Predic 52 Wk on Stretch'!EA12</f>
        <v>1120</v>
      </c>
    </row>
    <row r="24" spans="2:12" ht="15.75" hidden="1" outlineLevel="1" thickBot="1" x14ac:dyDescent="0.3">
      <c r="B24" s="244" t="str">
        <f>'Growth Predic 52 Wk on Stretch'!N15</f>
        <v>Sq M Required for HW Benches</v>
      </c>
      <c r="C24" s="345">
        <f>'Growth Predic 52 Wk on Stretch'!V15</f>
        <v>660</v>
      </c>
      <c r="D24" s="345">
        <f>'Growth Predic 52 Wk on Stretch'!AI15</f>
        <v>0</v>
      </c>
      <c r="E24" s="345">
        <f>'Growth Predic 52 Wk on Stretch'!AU15</f>
        <v>0</v>
      </c>
      <c r="F24" s="345">
        <f>'Growth Predic 52 Wk on Stretch'!BG15</f>
        <v>0</v>
      </c>
      <c r="G24" s="345">
        <f>'Growth Predic 52 Wk on Stretch'!BS15</f>
        <v>0</v>
      </c>
      <c r="H24" s="345">
        <f>'Growth Predic 52 Wk on Stretch'!CE15</f>
        <v>0</v>
      </c>
      <c r="I24" s="345">
        <f>'Growth Predic 52 Wk on Stretch'!CQ15</f>
        <v>0</v>
      </c>
      <c r="J24" s="345">
        <f>'Growth Predic 52 Wk on Stretch'!DC15</f>
        <v>0</v>
      </c>
      <c r="K24" s="345">
        <f>'Growth Predic 52 Wk on Stretch'!DO15</f>
        <v>0</v>
      </c>
      <c r="L24" s="346">
        <f>'Growth Predic 52 Wk on Stretch'!EA15</f>
        <v>0</v>
      </c>
    </row>
    <row r="25" spans="2:12" s="34" customFormat="1" collapsed="1" x14ac:dyDescent="0.25">
      <c r="B25" s="251" t="str">
        <f>'Growth Predic 52 Wk on Stretch'!N32</f>
        <v>Group Revenue</v>
      </c>
      <c r="C25" s="254">
        <f>'Growth Predic 52 Wk on Stretch'!V32</f>
        <v>401</v>
      </c>
      <c r="D25" s="254">
        <f>'Growth Predic 52 Wk on Stretch'!AI32</f>
        <v>446.88</v>
      </c>
      <c r="E25" s="254">
        <f>'Growth Predic 52 Wk on Stretch'!AU32</f>
        <v>513.23328000000004</v>
      </c>
      <c r="F25" s="254">
        <f>'Growth Predic 52 Wk on Stretch'!BG32</f>
        <v>589.66887168000005</v>
      </c>
      <c r="G25" s="254">
        <f>'Growth Predic 52 Wk on Stretch'!BS32</f>
        <v>674.79974553600005</v>
      </c>
      <c r="H25" s="254">
        <f>'Growth Predic 52 Wk on Stretch'!CE32</f>
        <v>774.33256212480001</v>
      </c>
      <c r="I25" s="254">
        <f>'Growth Predic 52 Wk on Stretch'!CQ32</f>
        <v>890.93777142988802</v>
      </c>
      <c r="J25" s="254">
        <f>'Growth Predic 52 Wk on Stretch'!DC32</f>
        <v>1027.8031183464038</v>
      </c>
      <c r="K25" s="254">
        <f>'Growth Predic 52 Wk on Stretch'!DO32</f>
        <v>1188.7357580566659</v>
      </c>
      <c r="L25" s="255">
        <f>'Growth Predic 52 Wk on Stretch'!EA32</f>
        <v>1315.317974798219</v>
      </c>
    </row>
    <row r="26" spans="2:12" outlineLevel="1" x14ac:dyDescent="0.25">
      <c r="B26" s="243" t="str">
        <f>'Growth Predic 52 Wk on Stretch'!N30</f>
        <v>AM Revenue</v>
      </c>
      <c r="C26" s="73">
        <f>'Growth Predic 52 Wk on Stretch'!V30</f>
        <v>217</v>
      </c>
      <c r="D26" s="73">
        <f>'Growth Predic 52 Wk on Stretch'!AI30</f>
        <v>234.36</v>
      </c>
      <c r="E26" s="73">
        <f>'Growth Predic 52 Wk on Stretch'!AU30</f>
        <v>253.10880000000003</v>
      </c>
      <c r="F26" s="73">
        <f>'Growth Predic 52 Wk on Stretch'!BG30</f>
        <v>273.35750400000006</v>
      </c>
      <c r="G26" s="73">
        <f>'Growth Predic 52 Wk on Stretch'!BS30</f>
        <v>295.22610432000005</v>
      </c>
      <c r="H26" s="73">
        <f>'Growth Predic 52 Wk on Stretch'!CE30</f>
        <v>318.84419266560008</v>
      </c>
      <c r="I26" s="73">
        <f>'Growth Predic 52 Wk on Stretch'!CQ30</f>
        <v>344.35172807884805</v>
      </c>
      <c r="J26" s="73">
        <f>'Growth Predic 52 Wk on Stretch'!DC30</f>
        <v>371.89986632515593</v>
      </c>
      <c r="K26" s="73">
        <f>'Growth Predic 52 Wk on Stretch'!DO30</f>
        <v>401.65185563116842</v>
      </c>
      <c r="L26" s="239">
        <f>'Growth Predic 52 Wk on Stretch'!EA30</f>
        <v>433.78400408166192</v>
      </c>
    </row>
    <row r="27" spans="2:12" ht="15.75" outlineLevel="1" thickBot="1" x14ac:dyDescent="0.3">
      <c r="B27" s="244" t="str">
        <f>'Growth Predic 52 Wk on Stretch'!N31</f>
        <v>SEC Revenue</v>
      </c>
      <c r="C27" s="240">
        <f>'Growth Predic 52 Wk on Stretch'!V31</f>
        <v>184</v>
      </c>
      <c r="D27" s="240">
        <f>'Growth Predic 52 Wk on Stretch'!AI31</f>
        <v>212.52</v>
      </c>
      <c r="E27" s="240">
        <f>'Growth Predic 52 Wk on Stretch'!AU31</f>
        <v>260.12448000000001</v>
      </c>
      <c r="F27" s="240">
        <f>'Growth Predic 52 Wk on Stretch'!BG31</f>
        <v>316.31136767999999</v>
      </c>
      <c r="G27" s="240">
        <f>'Growth Predic 52 Wk on Stretch'!BS31</f>
        <v>379.573641216</v>
      </c>
      <c r="H27" s="240">
        <f>'Growth Predic 52 Wk on Stretch'!CE31</f>
        <v>455.48836945919999</v>
      </c>
      <c r="I27" s="240">
        <f>'Growth Predic 52 Wk on Stretch'!CQ31</f>
        <v>546.58604335103996</v>
      </c>
      <c r="J27" s="240">
        <f>'Growth Predic 52 Wk on Stretch'!DC31</f>
        <v>655.90325202124791</v>
      </c>
      <c r="K27" s="240">
        <f>'Growth Predic 52 Wk on Stretch'!DO31</f>
        <v>787.08390242549751</v>
      </c>
      <c r="L27" s="241">
        <f>'Growth Predic 52 Wk on Stretch'!EA31</f>
        <v>881.53397071655718</v>
      </c>
    </row>
    <row r="28" spans="2:12" ht="15.75" thickBot="1" x14ac:dyDescent="0.3"/>
    <row r="29" spans="2:12" x14ac:dyDescent="0.25">
      <c r="B29" s="406" t="s">
        <v>311</v>
      </c>
      <c r="C29" s="410">
        <v>12766</v>
      </c>
      <c r="D29" s="124" t="s">
        <v>312</v>
      </c>
      <c r="E29" s="124"/>
      <c r="F29" s="124"/>
      <c r="G29" s="124"/>
      <c r="H29" s="124"/>
      <c r="I29" s="124"/>
      <c r="J29" s="124"/>
      <c r="K29" s="124"/>
      <c r="L29" s="119"/>
    </row>
    <row r="30" spans="2:12" x14ac:dyDescent="0.25">
      <c r="B30" s="407" t="s">
        <v>313</v>
      </c>
      <c r="C30" s="411">
        <v>2600</v>
      </c>
      <c r="D30" s="392">
        <f>D$10</f>
        <v>45413</v>
      </c>
      <c r="E30" s="392">
        <f t="shared" ref="E30:L30" si="3">E$10</f>
        <v>45778</v>
      </c>
      <c r="F30" s="392">
        <f t="shared" si="3"/>
        <v>46143</v>
      </c>
      <c r="G30" s="392">
        <f t="shared" si="3"/>
        <v>46508</v>
      </c>
      <c r="H30" s="392">
        <f t="shared" si="3"/>
        <v>46874</v>
      </c>
      <c r="I30" s="392">
        <f t="shared" si="3"/>
        <v>47239</v>
      </c>
      <c r="J30" s="392">
        <f t="shared" si="3"/>
        <v>47604</v>
      </c>
      <c r="K30" s="392">
        <f t="shared" si="3"/>
        <v>47969</v>
      </c>
      <c r="L30" s="397">
        <f t="shared" si="3"/>
        <v>48335</v>
      </c>
    </row>
    <row r="31" spans="2:12" x14ac:dyDescent="0.25">
      <c r="B31" s="407" t="s">
        <v>314</v>
      </c>
      <c r="C31" s="412">
        <f>C17-$C$29</f>
        <v>-3972</v>
      </c>
      <c r="D31" s="393">
        <f t="shared" ref="D31:L31" si="4">D17-$C$29</f>
        <v>-7564.5555555555557</v>
      </c>
      <c r="E31" s="393">
        <f t="shared" si="4"/>
        <v>-7484.5555555555557</v>
      </c>
      <c r="F31" s="393">
        <f t="shared" si="4"/>
        <v>-6612.4444444444443</v>
      </c>
      <c r="G31" s="393">
        <f t="shared" si="4"/>
        <v>-6215.8888888888887</v>
      </c>
      <c r="H31" s="393">
        <f t="shared" si="4"/>
        <v>-5739.3333333333339</v>
      </c>
      <c r="I31" s="393">
        <f t="shared" si="4"/>
        <v>-5342.7777777777774</v>
      </c>
      <c r="J31" s="393">
        <f t="shared" si="4"/>
        <v>-4390.6666666666679</v>
      </c>
      <c r="K31" s="393">
        <f t="shared" si="4"/>
        <v>-4310.6666666666679</v>
      </c>
      <c r="L31" s="398">
        <f t="shared" si="4"/>
        <v>-3358.5555555555547</v>
      </c>
    </row>
    <row r="32" spans="2:12" outlineLevel="1" x14ac:dyDescent="0.25">
      <c r="B32" s="408" t="str">
        <f>"Loss of Revenue per Yr based " &amp; $C$29&amp;" SqM"</f>
        <v>Loss of Revenue per Yr based 12766 SqM</v>
      </c>
      <c r="C32" s="413">
        <f>IF(C31&lt;0,0,C25-B25)</f>
        <v>0</v>
      </c>
      <c r="D32" s="394">
        <f>IF(D31&lt;0,0,D25-C25)</f>
        <v>0</v>
      </c>
      <c r="E32" s="394">
        <f>IF(E31&lt;0,0,E25-D25)</f>
        <v>0</v>
      </c>
      <c r="F32" s="394">
        <f>IF(F31&lt;0,0,F25-E25)</f>
        <v>0</v>
      </c>
      <c r="G32" s="394">
        <f t="shared" ref="G32:L32" si="5">IF(G31&lt;0,0,G25-F25)</f>
        <v>0</v>
      </c>
      <c r="H32" s="394">
        <f t="shared" si="5"/>
        <v>0</v>
      </c>
      <c r="I32" s="394">
        <f t="shared" si="5"/>
        <v>0</v>
      </c>
      <c r="J32" s="394">
        <f t="shared" si="5"/>
        <v>0</v>
      </c>
      <c r="K32" s="394">
        <f t="shared" si="5"/>
        <v>0</v>
      </c>
      <c r="L32" s="399">
        <f t="shared" si="5"/>
        <v>0</v>
      </c>
    </row>
    <row r="33" spans="2:12" x14ac:dyDescent="0.25">
      <c r="B33" s="408" t="str">
        <f>"Accumulated Loss of Revenue based " &amp; $C$29&amp;" SqM"</f>
        <v>Accumulated Loss of Revenue based 12766 SqM</v>
      </c>
      <c r="C33" s="414">
        <f>C32</f>
        <v>0</v>
      </c>
      <c r="D33" s="395">
        <f>SUM(C32:D32)</f>
        <v>0</v>
      </c>
      <c r="E33" s="395">
        <f>SUM(C32:E32)</f>
        <v>0</v>
      </c>
      <c r="F33" s="395">
        <f>SUM(C32:F32)</f>
        <v>0</v>
      </c>
      <c r="G33" s="395">
        <f>SUM(C32:G32)</f>
        <v>0</v>
      </c>
      <c r="H33" s="395">
        <f>SUM(C32:H32)</f>
        <v>0</v>
      </c>
      <c r="I33" s="395">
        <f>SUM(C32:I32)</f>
        <v>0</v>
      </c>
      <c r="J33" s="395">
        <f>SUM(C32:J32)</f>
        <v>0</v>
      </c>
      <c r="K33" s="395">
        <f>SUM(C32:K32)</f>
        <v>0</v>
      </c>
      <c r="L33" s="400">
        <f>SUM(C32:L32)</f>
        <v>0</v>
      </c>
    </row>
    <row r="34" spans="2:12" x14ac:dyDescent="0.25">
      <c r="B34" s="407" t="s">
        <v>315</v>
      </c>
      <c r="C34" s="415">
        <f>IF(C31&lt;0,0,$C$29+C31)</f>
        <v>0</v>
      </c>
      <c r="D34" s="396">
        <f t="shared" ref="D34:L34" si="6">IF(D31&lt;0,0,$C$29+D31)</f>
        <v>0</v>
      </c>
      <c r="E34" s="396">
        <f t="shared" si="6"/>
        <v>0</v>
      </c>
      <c r="F34" s="396">
        <f t="shared" si="6"/>
        <v>0</v>
      </c>
      <c r="G34" s="396">
        <f t="shared" si="6"/>
        <v>0</v>
      </c>
      <c r="H34" s="396">
        <f t="shared" si="6"/>
        <v>0</v>
      </c>
      <c r="I34" s="396">
        <f t="shared" si="6"/>
        <v>0</v>
      </c>
      <c r="J34" s="396">
        <f t="shared" si="6"/>
        <v>0</v>
      </c>
      <c r="K34" s="396">
        <f t="shared" si="6"/>
        <v>0</v>
      </c>
      <c r="L34" s="401">
        <f t="shared" si="6"/>
        <v>0</v>
      </c>
    </row>
    <row r="35" spans="2:12" ht="15.75" thickBot="1" x14ac:dyDescent="0.3">
      <c r="B35" s="409" t="str">
        <f>"Additional Cost to Build Suggested Factory @ $" &amp;$C$30&amp;" Per SqM"</f>
        <v>Additional Cost to Build Suggested Factory @ $2600 Per SqM</v>
      </c>
      <c r="C35" s="416">
        <f>IF(C31&lt;0,0,C31*$C$30)/1000000</f>
        <v>0</v>
      </c>
      <c r="D35" s="402">
        <f t="shared" ref="D35:L35" si="7">IF(D31&lt;0,0,D31*$C$30)/1000000</f>
        <v>0</v>
      </c>
      <c r="E35" s="402">
        <f t="shared" si="7"/>
        <v>0</v>
      </c>
      <c r="F35" s="402">
        <f t="shared" si="7"/>
        <v>0</v>
      </c>
      <c r="G35" s="402">
        <f t="shared" si="7"/>
        <v>0</v>
      </c>
      <c r="H35" s="402">
        <f t="shared" si="7"/>
        <v>0</v>
      </c>
      <c r="I35" s="402">
        <f t="shared" si="7"/>
        <v>0</v>
      </c>
      <c r="J35" s="402">
        <f t="shared" si="7"/>
        <v>0</v>
      </c>
      <c r="K35" s="402">
        <f t="shared" si="7"/>
        <v>0</v>
      </c>
      <c r="L35" s="403">
        <f t="shared" si="7"/>
        <v>0</v>
      </c>
    </row>
    <row r="36" spans="2:12" ht="15.75" thickBot="1" x14ac:dyDescent="0.3">
      <c r="B36" s="118"/>
    </row>
    <row r="37" spans="2:12" x14ac:dyDescent="0.25">
      <c r="B37" s="406" t="s">
        <v>316</v>
      </c>
      <c r="C37" s="417">
        <v>0.25</v>
      </c>
      <c r="D37" s="404">
        <f>D$10</f>
        <v>45413</v>
      </c>
      <c r="E37" s="404">
        <f t="shared" ref="E37:L37" si="8">E$10</f>
        <v>45778</v>
      </c>
      <c r="F37" s="404">
        <f t="shared" si="8"/>
        <v>46143</v>
      </c>
      <c r="G37" s="404">
        <f t="shared" si="8"/>
        <v>46508</v>
      </c>
      <c r="H37" s="404">
        <f t="shared" si="8"/>
        <v>46874</v>
      </c>
      <c r="I37" s="404">
        <f t="shared" si="8"/>
        <v>47239</v>
      </c>
      <c r="J37" s="404">
        <f t="shared" si="8"/>
        <v>47604</v>
      </c>
      <c r="K37" s="404">
        <f t="shared" si="8"/>
        <v>47969</v>
      </c>
      <c r="L37" s="405">
        <f t="shared" si="8"/>
        <v>48335</v>
      </c>
    </row>
    <row r="38" spans="2:12" x14ac:dyDescent="0.25">
      <c r="B38" s="407" t="s">
        <v>317</v>
      </c>
      <c r="C38" s="412">
        <f t="shared" ref="C38:L38" si="9">(C$18+(C$19-(C$19*$C$37)))-$C$29</f>
        <v>-5025.25</v>
      </c>
      <c r="D38" s="393">
        <f t="shared" si="9"/>
        <v>-8032.666666666667</v>
      </c>
      <c r="E38" s="393">
        <f t="shared" si="9"/>
        <v>-7952.666666666667</v>
      </c>
      <c r="F38" s="393">
        <f t="shared" si="9"/>
        <v>-7197.583333333333</v>
      </c>
      <c r="G38" s="393">
        <f t="shared" si="9"/>
        <v>-6859.541666666667</v>
      </c>
      <c r="H38" s="393">
        <f t="shared" si="9"/>
        <v>-6441.5</v>
      </c>
      <c r="I38" s="393">
        <f t="shared" si="9"/>
        <v>-6103.4583333333339</v>
      </c>
      <c r="J38" s="393">
        <f t="shared" si="9"/>
        <v>-5268.375</v>
      </c>
      <c r="K38" s="393">
        <f t="shared" si="9"/>
        <v>-5188.375</v>
      </c>
      <c r="L38" s="398">
        <f t="shared" si="9"/>
        <v>-4353.2916666666679</v>
      </c>
    </row>
    <row r="39" spans="2:12" outlineLevel="1" x14ac:dyDescent="0.25">
      <c r="B39" s="408" t="str">
        <f>"Loss of Revenue per Yr based " &amp; $C$29&amp;" SqM"</f>
        <v>Loss of Revenue per Yr based 12766 SqM</v>
      </c>
      <c r="C39" s="413">
        <f>IF(C38&lt;0,0,C$25-B$25)</f>
        <v>0</v>
      </c>
      <c r="D39" s="394">
        <f t="shared" ref="D39:L39" si="10">IF(D38&lt;0,0,D$25-C$25)</f>
        <v>0</v>
      </c>
      <c r="E39" s="394">
        <f t="shared" si="10"/>
        <v>0</v>
      </c>
      <c r="F39" s="394">
        <f t="shared" si="10"/>
        <v>0</v>
      </c>
      <c r="G39" s="394">
        <f t="shared" si="10"/>
        <v>0</v>
      </c>
      <c r="H39" s="394">
        <f t="shared" si="10"/>
        <v>0</v>
      </c>
      <c r="I39" s="394">
        <f t="shared" si="10"/>
        <v>0</v>
      </c>
      <c r="J39" s="394">
        <f t="shared" si="10"/>
        <v>0</v>
      </c>
      <c r="K39" s="394">
        <f t="shared" si="10"/>
        <v>0</v>
      </c>
      <c r="L39" s="399">
        <f t="shared" si="10"/>
        <v>0</v>
      </c>
    </row>
    <row r="40" spans="2:12" x14ac:dyDescent="0.25">
      <c r="B40" s="408" t="str">
        <f>"Accumulated Loss of Revenue based " &amp; $C$29&amp;" SqM"</f>
        <v>Accumulated Loss of Revenue based 12766 SqM</v>
      </c>
      <c r="C40" s="414">
        <f>C39</f>
        <v>0</v>
      </c>
      <c r="D40" s="395">
        <f>SUM(C39:D39)</f>
        <v>0</v>
      </c>
      <c r="E40" s="395">
        <f>SUM(C39:E39)</f>
        <v>0</v>
      </c>
      <c r="F40" s="395">
        <f>SUM(C39:F39)</f>
        <v>0</v>
      </c>
      <c r="G40" s="395">
        <f>SUM(C39:G39)</f>
        <v>0</v>
      </c>
      <c r="H40" s="395">
        <f>SUM(C39:H39)</f>
        <v>0</v>
      </c>
      <c r="I40" s="395">
        <f>SUM(C39:I39)</f>
        <v>0</v>
      </c>
      <c r="J40" s="395">
        <f>SUM(C39:J39)</f>
        <v>0</v>
      </c>
      <c r="K40" s="395">
        <f>SUM(C39:K39)</f>
        <v>0</v>
      </c>
      <c r="L40" s="400">
        <f>SUM(C39:L39)</f>
        <v>0</v>
      </c>
    </row>
    <row r="41" spans="2:12" x14ac:dyDescent="0.25">
      <c r="B41" s="407" t="s">
        <v>315</v>
      </c>
      <c r="C41" s="415">
        <f>IF(C38&lt;0,0,$C$29+C38)</f>
        <v>0</v>
      </c>
      <c r="D41" s="396">
        <f t="shared" ref="D41:L41" si="11">IF(D38&lt;0,0,$C$29+D38)</f>
        <v>0</v>
      </c>
      <c r="E41" s="396">
        <f t="shared" si="11"/>
        <v>0</v>
      </c>
      <c r="F41" s="396">
        <f t="shared" si="11"/>
        <v>0</v>
      </c>
      <c r="G41" s="396">
        <f t="shared" si="11"/>
        <v>0</v>
      </c>
      <c r="H41" s="396">
        <f t="shared" si="11"/>
        <v>0</v>
      </c>
      <c r="I41" s="396">
        <f t="shared" si="11"/>
        <v>0</v>
      </c>
      <c r="J41" s="396">
        <f t="shared" si="11"/>
        <v>0</v>
      </c>
      <c r="K41" s="396">
        <f t="shared" si="11"/>
        <v>0</v>
      </c>
      <c r="L41" s="401">
        <f t="shared" si="11"/>
        <v>0</v>
      </c>
    </row>
    <row r="42" spans="2:12" ht="15.75" thickBot="1" x14ac:dyDescent="0.3">
      <c r="B42" s="409" t="str">
        <f>"Additional Cost to Build Suggested Factory @ $" &amp;$C$30&amp;" Per SqM"</f>
        <v>Additional Cost to Build Suggested Factory @ $2600 Per SqM</v>
      </c>
      <c r="C42" s="416">
        <f>IF(C38&lt;0,0,C38*$C$30)/1000000</f>
        <v>0</v>
      </c>
      <c r="D42" s="402">
        <f t="shared" ref="D42:L42" si="12">IF(D38&lt;0,0,D38*$C$30)/1000000</f>
        <v>0</v>
      </c>
      <c r="E42" s="402">
        <f t="shared" si="12"/>
        <v>0</v>
      </c>
      <c r="F42" s="402">
        <f t="shared" si="12"/>
        <v>0</v>
      </c>
      <c r="G42" s="402">
        <f t="shared" si="12"/>
        <v>0</v>
      </c>
      <c r="H42" s="402">
        <f t="shared" si="12"/>
        <v>0</v>
      </c>
      <c r="I42" s="402">
        <f t="shared" si="12"/>
        <v>0</v>
      </c>
      <c r="J42" s="402">
        <f t="shared" si="12"/>
        <v>0</v>
      </c>
      <c r="K42" s="402">
        <f t="shared" si="12"/>
        <v>0</v>
      </c>
      <c r="L42" s="403">
        <f t="shared" si="12"/>
        <v>0</v>
      </c>
    </row>
    <row r="43" spans="2:12" ht="15.75" thickBot="1" x14ac:dyDescent="0.3"/>
    <row r="44" spans="2:12" x14ac:dyDescent="0.25">
      <c r="B44" s="406" t="s">
        <v>316</v>
      </c>
      <c r="C44" s="417">
        <v>0.55000000000000004</v>
      </c>
      <c r="D44" s="404">
        <f>D$10</f>
        <v>45413</v>
      </c>
      <c r="E44" s="404">
        <f t="shared" ref="E44:L44" si="13">E$10</f>
        <v>45778</v>
      </c>
      <c r="F44" s="404">
        <f t="shared" si="13"/>
        <v>46143</v>
      </c>
      <c r="G44" s="404">
        <f t="shared" si="13"/>
        <v>46508</v>
      </c>
      <c r="H44" s="404">
        <f t="shared" si="13"/>
        <v>46874</v>
      </c>
      <c r="I44" s="404">
        <f t="shared" si="13"/>
        <v>47239</v>
      </c>
      <c r="J44" s="404">
        <f t="shared" si="13"/>
        <v>47604</v>
      </c>
      <c r="K44" s="404">
        <f t="shared" si="13"/>
        <v>47969</v>
      </c>
      <c r="L44" s="405">
        <f t="shared" si="13"/>
        <v>48335</v>
      </c>
    </row>
    <row r="45" spans="2:12" x14ac:dyDescent="0.25">
      <c r="B45" s="407" t="s">
        <v>317</v>
      </c>
      <c r="C45" s="412">
        <f>(C$18+(C$19-(C$19*$C$44)))-$C$29</f>
        <v>-6289.15</v>
      </c>
      <c r="D45" s="393">
        <f t="shared" ref="D45:L45" si="14">(D$18+(D$19-(D$19*$C$44)))-$C$29</f>
        <v>-8594.4</v>
      </c>
      <c r="E45" s="393">
        <f t="shared" si="14"/>
        <v>-8514.4</v>
      </c>
      <c r="F45" s="393">
        <f t="shared" si="14"/>
        <v>-7899.75</v>
      </c>
      <c r="G45" s="393">
        <f t="shared" si="14"/>
        <v>-7631.9250000000002</v>
      </c>
      <c r="H45" s="393">
        <f t="shared" si="14"/>
        <v>-7284.1</v>
      </c>
      <c r="I45" s="393">
        <f t="shared" si="14"/>
        <v>-7016.2749999999996</v>
      </c>
      <c r="J45" s="393">
        <f t="shared" si="14"/>
        <v>-6321.625</v>
      </c>
      <c r="K45" s="393">
        <f t="shared" si="14"/>
        <v>-6241.625</v>
      </c>
      <c r="L45" s="398">
        <f t="shared" si="14"/>
        <v>-5546.9750000000004</v>
      </c>
    </row>
    <row r="46" spans="2:12" outlineLevel="1" x14ac:dyDescent="0.25">
      <c r="B46" s="408" t="str">
        <f>"Loss of Revenue per Yr based " &amp; $C$29&amp;" SqM"</f>
        <v>Loss of Revenue per Yr based 12766 SqM</v>
      </c>
      <c r="C46" s="413">
        <f>IF(C45&lt;0,0,C$25-B$25)</f>
        <v>0</v>
      </c>
      <c r="D46" s="394">
        <f t="shared" ref="D46" si="15">IF(D45&lt;0,0,D$25-C$25)</f>
        <v>0</v>
      </c>
      <c r="E46" s="394">
        <f t="shared" ref="E46" si="16">IF(E45&lt;0,0,E$25-D$25)</f>
        <v>0</v>
      </c>
      <c r="F46" s="394">
        <f t="shared" ref="F46" si="17">IF(F45&lt;0,0,F$25-E$25)</f>
        <v>0</v>
      </c>
      <c r="G46" s="394">
        <f t="shared" ref="G46" si="18">IF(G45&lt;0,0,G$25-F$25)</f>
        <v>0</v>
      </c>
      <c r="H46" s="394">
        <f t="shared" ref="H46" si="19">IF(H45&lt;0,0,H$25-G$25)</f>
        <v>0</v>
      </c>
      <c r="I46" s="394">
        <f t="shared" ref="I46" si="20">IF(I45&lt;0,0,I$25-H$25)</f>
        <v>0</v>
      </c>
      <c r="J46" s="394">
        <f t="shared" ref="J46" si="21">IF(J45&lt;0,0,J$25-I$25)</f>
        <v>0</v>
      </c>
      <c r="K46" s="394">
        <f t="shared" ref="K46" si="22">IF(K45&lt;0,0,K$25-J$25)</f>
        <v>0</v>
      </c>
      <c r="L46" s="399">
        <f t="shared" ref="L46" si="23">IF(L45&lt;0,0,L$25-K$25)</f>
        <v>0</v>
      </c>
    </row>
    <row r="47" spans="2:12" x14ac:dyDescent="0.25">
      <c r="B47" s="408" t="str">
        <f>"Accumulated Loss of Revenue based " &amp; $C$29&amp;" SqM"</f>
        <v>Accumulated Loss of Revenue based 12766 SqM</v>
      </c>
      <c r="C47" s="414">
        <f>C46</f>
        <v>0</v>
      </c>
      <c r="D47" s="395">
        <f>SUM(C46:D46)</f>
        <v>0</v>
      </c>
      <c r="E47" s="395">
        <f>SUM(C46:E46)</f>
        <v>0</v>
      </c>
      <c r="F47" s="395">
        <f>SUM(C46:F46)</f>
        <v>0</v>
      </c>
      <c r="G47" s="395">
        <f>SUM(C46:G46)</f>
        <v>0</v>
      </c>
      <c r="H47" s="395">
        <f>SUM(C46:H46)</f>
        <v>0</v>
      </c>
      <c r="I47" s="395">
        <f>SUM(C46:I46)</f>
        <v>0</v>
      </c>
      <c r="J47" s="395">
        <f>SUM(C46:J46)</f>
        <v>0</v>
      </c>
      <c r="K47" s="395">
        <f>SUM(C46:K46)</f>
        <v>0</v>
      </c>
      <c r="L47" s="400">
        <f>SUM(C46:L46)</f>
        <v>0</v>
      </c>
    </row>
    <row r="48" spans="2:12" x14ac:dyDescent="0.25">
      <c r="B48" s="407" t="s">
        <v>315</v>
      </c>
      <c r="C48" s="415">
        <f>IF(C45&lt;0,0,$C$29+C45)</f>
        <v>0</v>
      </c>
      <c r="D48" s="396">
        <f t="shared" ref="D48:L48" si="24">IF(D45&lt;0,0,$C$29+D45)</f>
        <v>0</v>
      </c>
      <c r="E48" s="396">
        <f t="shared" si="24"/>
        <v>0</v>
      </c>
      <c r="F48" s="396">
        <f t="shared" si="24"/>
        <v>0</v>
      </c>
      <c r="G48" s="396">
        <f t="shared" si="24"/>
        <v>0</v>
      </c>
      <c r="H48" s="396">
        <f t="shared" si="24"/>
        <v>0</v>
      </c>
      <c r="I48" s="396">
        <f t="shared" si="24"/>
        <v>0</v>
      </c>
      <c r="J48" s="396">
        <f t="shared" si="24"/>
        <v>0</v>
      </c>
      <c r="K48" s="396">
        <f t="shared" si="24"/>
        <v>0</v>
      </c>
      <c r="L48" s="401">
        <f t="shared" si="24"/>
        <v>0</v>
      </c>
    </row>
    <row r="49" spans="2:12" ht="15.75" thickBot="1" x14ac:dyDescent="0.3">
      <c r="B49" s="409" t="str">
        <f>"Additional Cost to Build Suggested Factory @ $" &amp;$C$30&amp;" Per SqM"</f>
        <v>Additional Cost to Build Suggested Factory @ $2600 Per SqM</v>
      </c>
      <c r="C49" s="416">
        <f>IF(C45&lt;0,0,C45*$C$30)/1000000</f>
        <v>0</v>
      </c>
      <c r="D49" s="402">
        <f t="shared" ref="D49:L49" si="25">IF(D45&lt;0,0,D45*$C$30)/1000000</f>
        <v>0</v>
      </c>
      <c r="E49" s="402">
        <f t="shared" si="25"/>
        <v>0</v>
      </c>
      <c r="F49" s="402">
        <f t="shared" si="25"/>
        <v>0</v>
      </c>
      <c r="G49" s="402">
        <f t="shared" si="25"/>
        <v>0</v>
      </c>
      <c r="H49" s="402">
        <f t="shared" si="25"/>
        <v>0</v>
      </c>
      <c r="I49" s="402">
        <f t="shared" si="25"/>
        <v>0</v>
      </c>
      <c r="J49" s="402">
        <f t="shared" si="25"/>
        <v>0</v>
      </c>
      <c r="K49" s="402">
        <f t="shared" si="25"/>
        <v>0</v>
      </c>
      <c r="L49" s="403">
        <f t="shared" si="25"/>
        <v>0</v>
      </c>
    </row>
  </sheetData>
  <phoneticPr fontId="11" type="noConversion"/>
  <conditionalFormatting sqref="C31:L31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C45:L4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38:L3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A827-962A-4EEF-92C0-55FCBB3EC3B5}">
  <sheetPr>
    <tabColor rgb="FF00B050"/>
    <pageSetUpPr fitToPage="1"/>
  </sheetPr>
  <dimension ref="A1:BA238"/>
  <sheetViews>
    <sheetView zoomScale="85" zoomScaleNormal="85" workbookViewId="0">
      <pane xSplit="1" topLeftCell="E1" activePane="topRight" state="frozen"/>
      <selection activeCell="A66" sqref="A66"/>
      <selection pane="topRight" activeCell="A66" sqref="A66"/>
    </sheetView>
  </sheetViews>
  <sheetFormatPr defaultColWidth="8.7109375" defaultRowHeight="15" outlineLevelRow="1" outlineLevelCol="1" x14ac:dyDescent="0.25"/>
  <cols>
    <col min="1" max="1" width="14.42578125" style="40" customWidth="1"/>
    <col min="2" max="4" width="14.42578125" style="40" hidden="1" customWidth="1" outlineLevel="1"/>
    <col min="5" max="5" width="14.42578125" style="40" customWidth="1" collapsed="1"/>
    <col min="6" max="6" width="14.42578125" style="40" customWidth="1"/>
    <col min="7" max="7" width="9.5703125" style="64" hidden="1" customWidth="1" outlineLevel="1"/>
    <col min="8" max="9" width="10.42578125" style="40" hidden="1" customWidth="1" outlineLevel="1"/>
    <col min="10" max="10" width="14.42578125" style="40" customWidth="1" collapsed="1"/>
    <col min="11" max="11" width="13" style="69" customWidth="1"/>
    <col min="12" max="13" width="14.7109375" style="40" hidden="1" customWidth="1" outlineLevel="1"/>
    <col min="14" max="14" width="15.5703125" style="40" hidden="1" customWidth="1" outlineLevel="1"/>
    <col min="15" max="15" width="15.5703125" style="64" bestFit="1" customWidth="1" collapsed="1"/>
    <col min="16" max="16" width="14.7109375" style="69" bestFit="1" customWidth="1"/>
    <col min="17" max="19" width="10.42578125" style="40" hidden="1" customWidth="1" outlineLevel="1"/>
    <col min="20" max="20" width="10.5703125" style="64" bestFit="1" customWidth="1" collapsed="1"/>
    <col min="21" max="21" width="14.140625" style="69" bestFit="1" customWidth="1"/>
    <col min="22" max="24" width="11.7109375" style="40" hidden="1" customWidth="1" outlineLevel="1"/>
    <col min="25" max="25" width="15" style="64" bestFit="1" customWidth="1" collapsed="1"/>
    <col min="26" max="26" width="11.7109375" style="69" bestFit="1" customWidth="1"/>
    <col min="27" max="29" width="13.42578125" style="40" hidden="1" customWidth="1" outlineLevel="1"/>
    <col min="30" max="30" width="13.42578125" style="64" bestFit="1" customWidth="1" collapsed="1"/>
    <col min="31" max="31" width="13.42578125" style="69" bestFit="1" customWidth="1"/>
    <col min="32" max="32" width="6.85546875" style="40" hidden="1" customWidth="1" outlineLevel="1"/>
    <col min="33" max="34" width="10.42578125" style="40" hidden="1" customWidth="1" outlineLevel="1"/>
    <col min="35" max="35" width="11.140625" style="64" bestFit="1" customWidth="1" collapsed="1"/>
    <col min="36" max="36" width="10.7109375" style="69" bestFit="1" customWidth="1"/>
    <col min="37" max="37" width="6.42578125" style="40" hidden="1" customWidth="1" outlineLevel="1"/>
    <col min="38" max="38" width="10.42578125" style="40" hidden="1" customWidth="1" outlineLevel="1"/>
    <col min="39" max="39" width="1.7109375" style="40" hidden="1" customWidth="1" outlineLevel="1"/>
    <col min="40" max="40" width="10.5703125" style="64" bestFit="1" customWidth="1" collapsed="1"/>
    <col min="41" max="41" width="14.42578125" style="69" customWidth="1"/>
    <col min="42" max="42" width="6.42578125" style="40" hidden="1" customWidth="1" outlineLevel="1"/>
    <col min="43" max="43" width="10.42578125" style="40" hidden="1" customWidth="1" outlineLevel="1"/>
    <col min="44" max="44" width="11.28515625" style="40" hidden="1" customWidth="1" outlineLevel="1"/>
    <col min="45" max="45" width="10.5703125" style="64" bestFit="1" customWidth="1" collapsed="1"/>
    <col min="46" max="46" width="16.140625" style="69" bestFit="1" customWidth="1"/>
    <col min="47" max="47" width="6.85546875" style="40" hidden="1" customWidth="1" outlineLevel="1"/>
    <col min="48" max="49" width="10.42578125" style="40" hidden="1" customWidth="1" outlineLevel="1"/>
    <col min="50" max="50" width="13.140625" style="64" customWidth="1" collapsed="1"/>
    <col min="51" max="51" width="12.140625" style="69" bestFit="1" customWidth="1"/>
    <col min="52" max="52" width="11" style="40" customWidth="1"/>
    <col min="53" max="16384" width="8.7109375" style="40"/>
  </cols>
  <sheetData>
    <row r="1" spans="1:51" x14ac:dyDescent="0.25">
      <c r="A1" s="505" t="s">
        <v>8</v>
      </c>
      <c r="B1" s="505"/>
      <c r="C1" s="505"/>
      <c r="D1" s="505"/>
      <c r="E1" s="505"/>
      <c r="F1" s="505"/>
      <c r="G1" s="40"/>
    </row>
    <row r="2" spans="1:51" x14ac:dyDescent="0.25">
      <c r="A2" s="504" t="s">
        <v>9</v>
      </c>
      <c r="B2" s="504"/>
      <c r="C2" s="504"/>
      <c r="D2" s="504"/>
      <c r="E2" s="504"/>
      <c r="F2" s="504"/>
      <c r="G2" s="40"/>
    </row>
    <row r="3" spans="1:51" x14ac:dyDescent="0.25">
      <c r="A3" s="504" t="s">
        <v>10</v>
      </c>
      <c r="B3" s="504"/>
      <c r="C3" s="504"/>
      <c r="D3" s="504"/>
      <c r="E3" s="504"/>
      <c r="F3" s="504"/>
      <c r="G3" s="40"/>
    </row>
    <row r="4" spans="1:51" s="71" customFormat="1" x14ac:dyDescent="0.25">
      <c r="B4" s="624" t="s">
        <v>11</v>
      </c>
      <c r="C4" s="624"/>
      <c r="D4" s="624"/>
      <c r="E4" s="624" t="s">
        <v>12</v>
      </c>
      <c r="F4" s="625"/>
      <c r="G4" s="624" t="s">
        <v>13</v>
      </c>
      <c r="H4" s="624"/>
      <c r="I4" s="624"/>
      <c r="J4" s="624" t="s">
        <v>12</v>
      </c>
      <c r="K4" s="625"/>
      <c r="L4" s="624" t="s">
        <v>13</v>
      </c>
      <c r="M4" s="624"/>
      <c r="N4" s="624"/>
      <c r="O4" s="624" t="s">
        <v>12</v>
      </c>
      <c r="P4" s="625"/>
      <c r="Q4" s="624" t="s">
        <v>13</v>
      </c>
      <c r="R4" s="624"/>
      <c r="S4" s="624"/>
      <c r="T4" s="624" t="s">
        <v>12</v>
      </c>
      <c r="U4" s="625"/>
      <c r="V4" s="624" t="s">
        <v>13</v>
      </c>
      <c r="W4" s="624"/>
      <c r="X4" s="624"/>
      <c r="Y4" s="624" t="s">
        <v>12</v>
      </c>
      <c r="Z4" s="625"/>
      <c r="AA4" s="624" t="s">
        <v>13</v>
      </c>
      <c r="AB4" s="624"/>
      <c r="AC4" s="624"/>
      <c r="AD4" s="624" t="s">
        <v>12</v>
      </c>
      <c r="AE4" s="625"/>
      <c r="AF4" s="624" t="s">
        <v>13</v>
      </c>
      <c r="AG4" s="624"/>
      <c r="AH4" s="624"/>
      <c r="AI4" s="624" t="s">
        <v>12</v>
      </c>
      <c r="AJ4" s="625"/>
      <c r="AK4" s="624" t="s">
        <v>13</v>
      </c>
      <c r="AL4" s="624"/>
      <c r="AM4" s="624"/>
      <c r="AN4" s="624" t="s">
        <v>12</v>
      </c>
      <c r="AO4" s="625"/>
      <c r="AP4" s="624" t="s">
        <v>13</v>
      </c>
      <c r="AQ4" s="624"/>
      <c r="AR4" s="624"/>
      <c r="AS4" s="624" t="s">
        <v>12</v>
      </c>
      <c r="AT4" s="625"/>
      <c r="AU4" s="624" t="s">
        <v>13</v>
      </c>
      <c r="AV4" s="624"/>
      <c r="AW4" s="624"/>
      <c r="AX4" s="624" t="s">
        <v>12</v>
      </c>
      <c r="AY4" s="625"/>
    </row>
    <row r="5" spans="1:51" s="71" customFormat="1" x14ac:dyDescent="0.25">
      <c r="A5" s="71" t="s">
        <v>14</v>
      </c>
      <c r="E5" s="624" t="s">
        <v>15</v>
      </c>
      <c r="F5" s="625"/>
      <c r="G5" s="500">
        <f>'SEC Benches Data'!B2</f>
        <v>950</v>
      </c>
      <c r="H5" s="71">
        <f>'SEC Benches Data'!N2</f>
        <v>950</v>
      </c>
      <c r="I5" s="71">
        <f>'SEC Benches Data'!Z2</f>
        <v>950</v>
      </c>
      <c r="J5" s="71">
        <f>I5</f>
        <v>950</v>
      </c>
      <c r="K5" s="501">
        <f>J5</f>
        <v>950</v>
      </c>
      <c r="L5" s="71">
        <f>'SEC Benches Data'!O2</f>
        <v>980</v>
      </c>
      <c r="M5" s="71">
        <f>'SEC Benches Data'!AA2</f>
        <v>980</v>
      </c>
      <c r="N5" s="71">
        <f>'SEC Benches Data'!AA2</f>
        <v>980</v>
      </c>
      <c r="O5" s="500">
        <f>N5</f>
        <v>980</v>
      </c>
      <c r="P5" s="501">
        <f>O5</f>
        <v>980</v>
      </c>
      <c r="Q5" s="71">
        <f>'SEC Benches Data'!D2</f>
        <v>981</v>
      </c>
      <c r="R5" s="71">
        <f>Q5</f>
        <v>981</v>
      </c>
      <c r="S5" s="71">
        <f>R5</f>
        <v>981</v>
      </c>
      <c r="T5" s="500">
        <f>S5</f>
        <v>981</v>
      </c>
      <c r="U5" s="501">
        <f>T5</f>
        <v>981</v>
      </c>
      <c r="V5" s="71">
        <f>'SEC Benches Data'!E2</f>
        <v>983</v>
      </c>
      <c r="W5" s="71">
        <f>V5</f>
        <v>983</v>
      </c>
      <c r="X5" s="71">
        <f>W5</f>
        <v>983</v>
      </c>
      <c r="Y5" s="500">
        <f>X5</f>
        <v>983</v>
      </c>
      <c r="Z5" s="501">
        <f>Y5</f>
        <v>983</v>
      </c>
      <c r="AA5" s="71">
        <f>'SEC Benches Data'!F2</f>
        <v>984</v>
      </c>
      <c r="AB5" s="71">
        <f>AA5</f>
        <v>984</v>
      </c>
      <c r="AC5" s="71">
        <f>AB5</f>
        <v>984</v>
      </c>
      <c r="AD5" s="500">
        <f>AC5</f>
        <v>984</v>
      </c>
      <c r="AE5" s="501">
        <f>AD5</f>
        <v>984</v>
      </c>
      <c r="AF5" s="71" t="str">
        <f>'SEC Benches Data'!G2</f>
        <v>982A</v>
      </c>
      <c r="AG5" s="71" t="str">
        <f>AF5</f>
        <v>982A</v>
      </c>
      <c r="AH5" s="71" t="str">
        <f>AG5</f>
        <v>982A</v>
      </c>
      <c r="AI5" s="500" t="str">
        <f>AH5</f>
        <v>982A</v>
      </c>
      <c r="AJ5" s="501" t="str">
        <f>AI5</f>
        <v>982A</v>
      </c>
      <c r="AK5" s="71" t="str">
        <f>'SEC Benches Data'!H2</f>
        <v>982B</v>
      </c>
      <c r="AL5" s="71" t="str">
        <f>AK5</f>
        <v>982B</v>
      </c>
      <c r="AM5" s="71" t="str">
        <f>AL5</f>
        <v>982B</v>
      </c>
      <c r="AN5" s="500" t="str">
        <f>AM5</f>
        <v>982B</v>
      </c>
      <c r="AO5" s="501" t="str">
        <f>AN5</f>
        <v>982B</v>
      </c>
      <c r="AP5" s="71">
        <f>'SEC Benches Data'!J2</f>
        <v>986</v>
      </c>
      <c r="AQ5" s="71">
        <f>AP5</f>
        <v>986</v>
      </c>
      <c r="AR5" s="71">
        <f>AQ5</f>
        <v>986</v>
      </c>
      <c r="AS5" s="500">
        <f>AR5</f>
        <v>986</v>
      </c>
      <c r="AT5" s="501">
        <f>AS5</f>
        <v>986</v>
      </c>
      <c r="AU5" s="71" t="str">
        <f>'SEC Benches Data'!M2</f>
        <v>985A/B</v>
      </c>
      <c r="AV5" s="71" t="str">
        <f>AU5</f>
        <v>985A/B</v>
      </c>
      <c r="AW5" s="71" t="str">
        <f>AV5</f>
        <v>985A/B</v>
      </c>
      <c r="AX5" s="500" t="str">
        <f>AW5</f>
        <v>985A/B</v>
      </c>
      <c r="AY5" s="501" t="str">
        <f>AX5</f>
        <v>985A/B</v>
      </c>
    </row>
    <row r="6" spans="1:51" s="71" customFormat="1" x14ac:dyDescent="0.25">
      <c r="A6" s="71" t="s">
        <v>16</v>
      </c>
      <c r="B6" s="500" t="s">
        <v>17</v>
      </c>
      <c r="C6" s="71" t="s">
        <v>18</v>
      </c>
      <c r="D6" s="71" t="s">
        <v>19</v>
      </c>
      <c r="E6" s="71" t="s">
        <v>20</v>
      </c>
      <c r="F6" s="501" t="s">
        <v>21</v>
      </c>
      <c r="G6" s="500" t="s">
        <v>17</v>
      </c>
      <c r="H6" s="71" t="s">
        <v>18</v>
      </c>
      <c r="I6" s="71" t="s">
        <v>19</v>
      </c>
      <c r="J6" s="71" t="s">
        <v>20</v>
      </c>
      <c r="K6" s="501" t="s">
        <v>21</v>
      </c>
      <c r="L6" s="71" t="s">
        <v>17</v>
      </c>
      <c r="M6" s="71" t="s">
        <v>18</v>
      </c>
      <c r="N6" s="71" t="s">
        <v>19</v>
      </c>
      <c r="O6" s="500" t="s">
        <v>20</v>
      </c>
      <c r="P6" s="501" t="s">
        <v>21</v>
      </c>
      <c r="Q6" s="71" t="s">
        <v>17</v>
      </c>
      <c r="R6" s="71" t="s">
        <v>18</v>
      </c>
      <c r="S6" s="71" t="s">
        <v>19</v>
      </c>
      <c r="T6" s="500" t="s">
        <v>20</v>
      </c>
      <c r="U6" s="501" t="s">
        <v>21</v>
      </c>
      <c r="V6" s="71" t="s">
        <v>17</v>
      </c>
      <c r="W6" s="71" t="s">
        <v>18</v>
      </c>
      <c r="X6" s="71" t="s">
        <v>19</v>
      </c>
      <c r="Y6" s="500" t="s">
        <v>20</v>
      </c>
      <c r="Z6" s="501" t="s">
        <v>21</v>
      </c>
      <c r="AA6" s="71" t="s">
        <v>17</v>
      </c>
      <c r="AB6" s="71" t="s">
        <v>18</v>
      </c>
      <c r="AC6" s="71" t="s">
        <v>19</v>
      </c>
      <c r="AD6" s="500" t="s">
        <v>20</v>
      </c>
      <c r="AE6" s="501" t="s">
        <v>21</v>
      </c>
      <c r="AF6" s="71" t="s">
        <v>17</v>
      </c>
      <c r="AG6" s="71" t="s">
        <v>18</v>
      </c>
      <c r="AH6" s="71" t="s">
        <v>19</v>
      </c>
      <c r="AI6" s="500" t="s">
        <v>20</v>
      </c>
      <c r="AJ6" s="501" t="s">
        <v>21</v>
      </c>
      <c r="AK6" s="71" t="s">
        <v>17</v>
      </c>
      <c r="AL6" s="71" t="s">
        <v>18</v>
      </c>
      <c r="AM6" s="71" t="s">
        <v>19</v>
      </c>
      <c r="AN6" s="500" t="s">
        <v>20</v>
      </c>
      <c r="AO6" s="501" t="s">
        <v>21</v>
      </c>
      <c r="AP6" s="71" t="s">
        <v>17</v>
      </c>
      <c r="AQ6" s="71" t="s">
        <v>18</v>
      </c>
      <c r="AR6" s="71" t="s">
        <v>19</v>
      </c>
      <c r="AS6" s="500" t="s">
        <v>20</v>
      </c>
      <c r="AT6" s="501" t="s">
        <v>21</v>
      </c>
      <c r="AU6" s="71" t="s">
        <v>17</v>
      </c>
      <c r="AV6" s="71" t="s">
        <v>18</v>
      </c>
      <c r="AW6" s="71" t="s">
        <v>19</v>
      </c>
      <c r="AX6" s="500" t="s">
        <v>20</v>
      </c>
      <c r="AY6" s="501" t="s">
        <v>21</v>
      </c>
    </row>
    <row r="7" spans="1:51" s="71" customFormat="1" x14ac:dyDescent="0.25">
      <c r="A7" s="71" t="s">
        <v>22</v>
      </c>
      <c r="B7" s="509" t="s">
        <v>23</v>
      </c>
      <c r="C7" s="510" t="s">
        <v>24</v>
      </c>
      <c r="D7" s="510" t="s">
        <v>25</v>
      </c>
      <c r="E7" s="71" t="s">
        <v>26</v>
      </c>
      <c r="F7" s="501" t="s">
        <v>27</v>
      </c>
      <c r="G7" s="500" t="str">
        <f>'SEC Benches Data'!B3</f>
        <v>13 wks</v>
      </c>
      <c r="H7" s="71" t="str">
        <f>'SEC Benches Data'!N3</f>
        <v>14 - 26 Wks</v>
      </c>
      <c r="I7" s="71" t="str">
        <f>'SEC Benches Data'!Z3</f>
        <v>27 - 52 Wks</v>
      </c>
      <c r="J7" s="71" t="s">
        <v>26</v>
      </c>
      <c r="K7" s="501" t="s">
        <v>27</v>
      </c>
      <c r="L7" s="71" t="str">
        <f>G7</f>
        <v>13 wks</v>
      </c>
      <c r="M7" s="71" t="str">
        <f t="shared" ref="M7:N7" si="0">H7</f>
        <v>14 - 26 Wks</v>
      </c>
      <c r="N7" s="71" t="str">
        <f t="shared" si="0"/>
        <v>27 - 52 Wks</v>
      </c>
      <c r="O7" s="500"/>
      <c r="P7" s="501"/>
      <c r="Q7" s="71" t="str">
        <f>G7</f>
        <v>13 wks</v>
      </c>
      <c r="R7" s="71" t="str">
        <f t="shared" ref="R7:S7" si="1">H7</f>
        <v>14 - 26 Wks</v>
      </c>
      <c r="S7" s="71" t="str">
        <f t="shared" si="1"/>
        <v>27 - 52 Wks</v>
      </c>
      <c r="T7" s="500"/>
      <c r="U7" s="501"/>
      <c r="V7" s="71" t="str">
        <f>Q7</f>
        <v>13 wks</v>
      </c>
      <c r="W7" s="71" t="str">
        <f>R7</f>
        <v>14 - 26 Wks</v>
      </c>
      <c r="X7" s="71" t="str">
        <f>S7</f>
        <v>27 - 52 Wks</v>
      </c>
      <c r="Y7" s="500"/>
      <c r="Z7" s="501"/>
      <c r="AA7" s="71" t="str">
        <f>V7</f>
        <v>13 wks</v>
      </c>
      <c r="AB7" s="71" t="str">
        <f>W7</f>
        <v>14 - 26 Wks</v>
      </c>
      <c r="AC7" s="71" t="str">
        <f>X7</f>
        <v>27 - 52 Wks</v>
      </c>
      <c r="AD7" s="500"/>
      <c r="AE7" s="501"/>
      <c r="AF7" s="71" t="str">
        <f>AA7</f>
        <v>13 wks</v>
      </c>
      <c r="AG7" s="71" t="str">
        <f>AB7</f>
        <v>14 - 26 Wks</v>
      </c>
      <c r="AH7" s="71" t="str">
        <f>AC7</f>
        <v>27 - 52 Wks</v>
      </c>
      <c r="AI7" s="500"/>
      <c r="AJ7" s="501"/>
      <c r="AK7" s="71" t="str">
        <f>AF7</f>
        <v>13 wks</v>
      </c>
      <c r="AL7" s="71" t="str">
        <f>AG7</f>
        <v>14 - 26 Wks</v>
      </c>
      <c r="AM7" s="71" t="str">
        <f>AH7</f>
        <v>27 - 52 Wks</v>
      </c>
      <c r="AN7" s="500"/>
      <c r="AO7" s="501"/>
      <c r="AP7" s="71" t="str">
        <f>AK7</f>
        <v>13 wks</v>
      </c>
      <c r="AQ7" s="71" t="str">
        <f>AL7</f>
        <v>14 - 26 Wks</v>
      </c>
      <c r="AR7" s="71" t="str">
        <f>AM7</f>
        <v>27 - 52 Wks</v>
      </c>
      <c r="AS7" s="500"/>
      <c r="AT7" s="501"/>
      <c r="AU7" s="71" t="str">
        <f>AP7</f>
        <v>13 wks</v>
      </c>
      <c r="AV7" s="71" t="str">
        <f>AQ7</f>
        <v>14 - 26 Wks</v>
      </c>
      <c r="AW7" s="71" t="str">
        <f>AR7</f>
        <v>27 - 52 Wks</v>
      </c>
      <c r="AX7" s="500"/>
      <c r="AY7" s="501"/>
    </row>
    <row r="8" spans="1:51" s="88" customFormat="1" x14ac:dyDescent="0.25">
      <c r="A8" s="498">
        <f>'SEC Benches Data'!A52</f>
        <v>44593</v>
      </c>
      <c r="B8" s="7">
        <f>'SEC Benches Data'!AO52*('SEC Benches Data'!AL52/100)</f>
        <v>1161.6399999999999</v>
      </c>
      <c r="C8" s="7">
        <f>'SEC Benches Data'!AP52*('SEC Benches Data'!AM52/100)</f>
        <v>716.80000000000007</v>
      </c>
      <c r="D8" s="7">
        <f>'SEC Benches Data'!AQ52*('SEC Benches Data'!AN52/100)</f>
        <v>774.75</v>
      </c>
      <c r="E8" s="88" t="s">
        <v>28</v>
      </c>
      <c r="F8" s="89" t="s">
        <v>28</v>
      </c>
      <c r="G8" s="87">
        <f>'SEC Benches Data'!B52</f>
        <v>41</v>
      </c>
      <c r="H8" s="88">
        <f>'SEC Benches Data'!N52</f>
        <v>25</v>
      </c>
      <c r="I8" s="88">
        <f>'SEC Benches Data'!Z52</f>
        <v>31</v>
      </c>
      <c r="J8" s="88" t="s">
        <v>28</v>
      </c>
      <c r="K8" s="89" t="s">
        <v>28</v>
      </c>
      <c r="L8" s="88">
        <f>'SEC Benches Data'!C52</f>
        <v>85</v>
      </c>
      <c r="M8" s="88">
        <f>'SEC Benches Data'!O52</f>
        <v>19</v>
      </c>
      <c r="N8" s="88">
        <f>'SEC Benches Data'!AA52</f>
        <v>34</v>
      </c>
      <c r="O8" s="87" t="s">
        <v>28</v>
      </c>
      <c r="P8" s="89" t="s">
        <v>28</v>
      </c>
      <c r="Q8" s="88">
        <f>'SEC Benches Data'!D52</f>
        <v>91</v>
      </c>
      <c r="R8" s="88">
        <f>'SEC Benches Data'!P52</f>
        <v>16</v>
      </c>
      <c r="S8" s="88">
        <f>'SEC Benches Data'!AB52</f>
        <v>20</v>
      </c>
      <c r="T8" s="87" t="s">
        <v>28</v>
      </c>
      <c r="U8" s="89" t="s">
        <v>28</v>
      </c>
      <c r="V8" s="88">
        <f>'SEC Benches Data'!E52</f>
        <v>81</v>
      </c>
      <c r="W8" s="88">
        <f>'SEC Benches Data'!Q52</f>
        <v>58</v>
      </c>
      <c r="X8" s="88">
        <f>'SEC Benches Data'!AC52</f>
        <v>59</v>
      </c>
      <c r="Y8" s="87" t="s">
        <v>28</v>
      </c>
      <c r="Z8" s="89" t="s">
        <v>28</v>
      </c>
      <c r="AA8" s="88">
        <f>'SEC Benches Data'!F52</f>
        <v>74</v>
      </c>
      <c r="AB8" s="88">
        <f>'SEC Benches Data'!R52</f>
        <v>57</v>
      </c>
      <c r="AC8" s="88">
        <f>'SEC Benches Data'!AD52</f>
        <v>61</v>
      </c>
      <c r="AD8" s="87" t="s">
        <v>28</v>
      </c>
      <c r="AE8" s="89" t="s">
        <v>28</v>
      </c>
      <c r="AF8" s="88">
        <f>'SEC Benches Data'!G52</f>
        <v>92</v>
      </c>
      <c r="AG8" s="88">
        <f>'SEC Benches Data'!S52</f>
        <v>75</v>
      </c>
      <c r="AH8" s="88">
        <f>'SEC Benches Data'!AE52</f>
        <v>71</v>
      </c>
      <c r="AI8" s="87" t="s">
        <v>28</v>
      </c>
      <c r="AJ8" s="89" t="s">
        <v>28</v>
      </c>
      <c r="AK8" s="88">
        <f>'SEC Benches Data'!H52</f>
        <v>105</v>
      </c>
      <c r="AL8" s="88">
        <f>'SEC Benches Data'!T52</f>
        <v>38</v>
      </c>
      <c r="AM8" s="88">
        <f>'SEC Benches Data'!AF52</f>
        <v>62</v>
      </c>
      <c r="AN8" s="87" t="s">
        <v>28</v>
      </c>
      <c r="AO8" s="89" t="s">
        <v>28</v>
      </c>
      <c r="AP8" s="88">
        <f>'SEC Benches Data'!J52</f>
        <v>34</v>
      </c>
      <c r="AQ8" s="88">
        <f>'SEC Benches Data'!V52</f>
        <v>13</v>
      </c>
      <c r="AR8" s="88">
        <f>'SEC Benches Data'!AH52</f>
        <v>21</v>
      </c>
      <c r="AS8" s="87" t="s">
        <v>28</v>
      </c>
      <c r="AT8" s="89" t="s">
        <v>28</v>
      </c>
      <c r="AU8" s="88">
        <f>'SEC Benches Data'!M52</f>
        <v>81</v>
      </c>
      <c r="AV8" s="88">
        <f>'SEC Benches Data'!Y52</f>
        <v>49</v>
      </c>
      <c r="AW8" s="88">
        <f>'SEC Benches Data'!AK52</f>
        <v>59</v>
      </c>
      <c r="AX8" s="87" t="s">
        <v>28</v>
      </c>
      <c r="AY8" s="89" t="s">
        <v>28</v>
      </c>
    </row>
    <row r="9" spans="1:51" x14ac:dyDescent="0.25">
      <c r="A9" s="497">
        <f>'SEC Benches Data'!A53</f>
        <v>44617</v>
      </c>
      <c r="B9" s="7">
        <f>'SEC Benches Data'!AO53*('SEC Benches Data'!AL53/100)</f>
        <v>1133.6000000000001</v>
      </c>
      <c r="C9" s="7">
        <f>'SEC Benches Data'!AP53*('SEC Benches Data'!AM53/100)</f>
        <v>635.59999999999991</v>
      </c>
      <c r="D9" s="7">
        <f>'SEC Benches Data'!AQ53*('SEC Benches Data'!AN53/100)</f>
        <v>788.5</v>
      </c>
      <c r="E9" s="40" t="s">
        <v>28</v>
      </c>
      <c r="F9" s="69" t="s">
        <v>28</v>
      </c>
      <c r="G9" s="64">
        <f>'SEC Benches Data'!B53</f>
        <v>42</v>
      </c>
      <c r="H9" s="40">
        <f>'SEC Benches Data'!N53</f>
        <v>22</v>
      </c>
      <c r="I9" s="40">
        <f>'SEC Benches Data'!Z53</f>
        <v>32</v>
      </c>
      <c r="J9" s="40" t="s">
        <v>28</v>
      </c>
      <c r="K9" s="69" t="s">
        <v>28</v>
      </c>
      <c r="L9" s="40">
        <f>'SEC Benches Data'!C53</f>
        <v>70</v>
      </c>
      <c r="M9" s="40">
        <f>'SEC Benches Data'!O53</f>
        <v>31</v>
      </c>
      <c r="N9" s="40">
        <f>'SEC Benches Data'!AA53</f>
        <v>40</v>
      </c>
      <c r="O9" s="64" t="s">
        <v>28</v>
      </c>
      <c r="P9" s="69" t="s">
        <v>28</v>
      </c>
      <c r="Q9" s="40">
        <f>'SEC Benches Data'!D53</f>
        <v>84</v>
      </c>
      <c r="R9" s="40">
        <f>'SEC Benches Data'!P53</f>
        <v>16</v>
      </c>
      <c r="S9" s="40">
        <f>'SEC Benches Data'!AB53</f>
        <v>21</v>
      </c>
      <c r="T9" s="64" t="s">
        <v>28</v>
      </c>
      <c r="U9" s="69" t="s">
        <v>28</v>
      </c>
      <c r="V9" s="40">
        <f>'SEC Benches Data'!E53</f>
        <v>72</v>
      </c>
      <c r="W9" s="40">
        <f>'SEC Benches Data'!Q53</f>
        <v>43</v>
      </c>
      <c r="X9" s="40">
        <f>'SEC Benches Data'!AC53</f>
        <v>65</v>
      </c>
      <c r="Y9" s="64" t="s">
        <v>28</v>
      </c>
      <c r="Z9" s="69" t="s">
        <v>28</v>
      </c>
      <c r="AA9" s="40">
        <f>'SEC Benches Data'!J53</f>
        <v>24</v>
      </c>
      <c r="AB9" s="40">
        <f>'SEC Benches Data'!V53</f>
        <v>17</v>
      </c>
      <c r="AC9" s="40">
        <f>'SEC Benches Data'!AH53</f>
        <v>22</v>
      </c>
      <c r="AD9" s="64" t="s">
        <v>28</v>
      </c>
      <c r="AE9" s="69" t="s">
        <v>28</v>
      </c>
      <c r="AF9" s="40">
        <f>'SEC Benches Data'!G53</f>
        <v>85</v>
      </c>
      <c r="AG9" s="40">
        <f>'SEC Benches Data'!S53</f>
        <v>59</v>
      </c>
      <c r="AH9" s="40">
        <f>'SEC Benches Data'!AE53</f>
        <v>74</v>
      </c>
      <c r="AI9" s="64" t="s">
        <v>28</v>
      </c>
      <c r="AJ9" s="69" t="s">
        <v>28</v>
      </c>
      <c r="AK9" s="40">
        <f>'SEC Benches Data'!H53</f>
        <v>94</v>
      </c>
      <c r="AL9" s="40">
        <f>'SEC Benches Data'!T53</f>
        <v>48</v>
      </c>
      <c r="AM9" s="40">
        <f>'SEC Benches Data'!AF53</f>
        <v>62</v>
      </c>
      <c r="AN9" s="64" t="s">
        <v>28</v>
      </c>
      <c r="AO9" s="69" t="s">
        <v>28</v>
      </c>
      <c r="AP9" s="40">
        <f>'SEC Benches Data'!J53</f>
        <v>24</v>
      </c>
      <c r="AQ9" s="40">
        <f>'SEC Benches Data'!V53</f>
        <v>17</v>
      </c>
      <c r="AR9" s="40">
        <f>'SEC Benches Data'!AH53</f>
        <v>22</v>
      </c>
      <c r="AS9" s="64" t="s">
        <v>28</v>
      </c>
      <c r="AT9" s="69" t="s">
        <v>28</v>
      </c>
      <c r="AU9" s="40">
        <f>'SEC Benches Data'!M53</f>
        <v>84</v>
      </c>
      <c r="AV9" s="40">
        <f>'SEC Benches Data'!Y53</f>
        <v>41</v>
      </c>
      <c r="AW9" s="40">
        <f>'SEC Benches Data'!AK53</f>
        <v>59</v>
      </c>
      <c r="AX9" s="64" t="s">
        <v>28</v>
      </c>
      <c r="AY9" s="69" t="s">
        <v>28</v>
      </c>
    </row>
    <row r="10" spans="1:51" x14ac:dyDescent="0.25">
      <c r="A10" s="497">
        <f>'SEC Benches Data'!A54</f>
        <v>44655</v>
      </c>
      <c r="B10" s="7">
        <f>'SEC Benches Data'!AO54*('SEC Benches Data'!AL54/100)</f>
        <v>1030.71</v>
      </c>
      <c r="C10" s="7">
        <f>'SEC Benches Data'!AP54*('SEC Benches Data'!AM54/100)</f>
        <v>669</v>
      </c>
      <c r="D10" s="7">
        <f>'SEC Benches Data'!AQ54*('SEC Benches Data'!AN54/100)</f>
        <v>740.28000000000009</v>
      </c>
      <c r="E10" s="74" t="s">
        <v>28</v>
      </c>
      <c r="F10" s="69" t="s">
        <v>28</v>
      </c>
      <c r="G10" s="64">
        <f>'SEC Benches Data'!B54</f>
        <v>44</v>
      </c>
      <c r="H10" s="40">
        <f>'SEC Benches Data'!N54</f>
        <v>26</v>
      </c>
      <c r="I10" s="40">
        <f>'SEC Benches Data'!Z54</f>
        <v>26</v>
      </c>
      <c r="J10" s="74" t="s">
        <v>28</v>
      </c>
      <c r="K10" s="69" t="s">
        <v>28</v>
      </c>
      <c r="L10" s="40">
        <f>'SEC Benches Data'!C54</f>
        <v>76</v>
      </c>
      <c r="M10" s="40">
        <f>'SEC Benches Data'!O54</f>
        <v>25</v>
      </c>
      <c r="N10" s="40">
        <f>'SEC Benches Data'!AA54</f>
        <v>38</v>
      </c>
      <c r="O10" s="506" t="s">
        <v>28</v>
      </c>
      <c r="P10" s="69" t="s">
        <v>28</v>
      </c>
      <c r="Q10" s="40">
        <f>'SEC Benches Data'!D54</f>
        <v>64</v>
      </c>
      <c r="R10" s="40">
        <f>'SEC Benches Data'!P54</f>
        <v>23</v>
      </c>
      <c r="S10" s="40">
        <f>'SEC Benches Data'!AB54</f>
        <v>27</v>
      </c>
      <c r="T10" s="506" t="s">
        <v>28</v>
      </c>
      <c r="U10" s="69" t="s">
        <v>28</v>
      </c>
      <c r="V10" s="40">
        <f>'SEC Benches Data'!E54</f>
        <v>47</v>
      </c>
      <c r="W10" s="40">
        <f>'SEC Benches Data'!Q54</f>
        <v>39</v>
      </c>
      <c r="X10" s="40">
        <f>'SEC Benches Data'!AC54</f>
        <v>57</v>
      </c>
      <c r="Y10" s="506" t="s">
        <v>28</v>
      </c>
      <c r="Z10" s="69" t="s">
        <v>28</v>
      </c>
      <c r="AA10" s="40">
        <f>'SEC Benches Data'!J54</f>
        <v>39</v>
      </c>
      <c r="AB10" s="40">
        <f>'SEC Benches Data'!V54</f>
        <v>20</v>
      </c>
      <c r="AC10" s="40">
        <f>'SEC Benches Data'!AH54</f>
        <v>24</v>
      </c>
      <c r="AD10" s="506" t="s">
        <v>28</v>
      </c>
      <c r="AE10" s="69" t="s">
        <v>28</v>
      </c>
      <c r="AF10" s="40">
        <f>'SEC Benches Data'!G54</f>
        <v>70</v>
      </c>
      <c r="AG10" s="40">
        <f>'SEC Benches Data'!S54</f>
        <v>48</v>
      </c>
      <c r="AH10" s="40">
        <f>'SEC Benches Data'!AE54</f>
        <v>76</v>
      </c>
      <c r="AI10" s="506" t="s">
        <v>28</v>
      </c>
      <c r="AJ10" s="69" t="s">
        <v>28</v>
      </c>
      <c r="AK10" s="40">
        <f>'SEC Benches Data'!H54</f>
        <v>86</v>
      </c>
      <c r="AL10" s="40">
        <f>'SEC Benches Data'!T54</f>
        <v>40</v>
      </c>
      <c r="AM10" s="40">
        <f>'SEC Benches Data'!AF54</f>
        <v>56</v>
      </c>
      <c r="AN10" s="506" t="s">
        <v>28</v>
      </c>
      <c r="AO10" s="69" t="s">
        <v>28</v>
      </c>
      <c r="AP10" s="40">
        <f>'SEC Benches Data'!J54</f>
        <v>39</v>
      </c>
      <c r="AQ10" s="40">
        <f>'SEC Benches Data'!V54</f>
        <v>20</v>
      </c>
      <c r="AR10" s="40">
        <f>'SEC Benches Data'!AH54</f>
        <v>24</v>
      </c>
      <c r="AS10" s="506" t="s">
        <v>28</v>
      </c>
      <c r="AT10" s="69" t="s">
        <v>28</v>
      </c>
      <c r="AU10" s="40">
        <f>'SEC Benches Data'!M54</f>
        <v>77</v>
      </c>
      <c r="AV10" s="40">
        <f>'SEC Benches Data'!Y54</f>
        <v>51</v>
      </c>
      <c r="AW10" s="40">
        <f>'SEC Benches Data'!AK54</f>
        <v>53</v>
      </c>
      <c r="AX10" s="506" t="s">
        <v>28</v>
      </c>
      <c r="AY10" s="69" t="s">
        <v>28</v>
      </c>
    </row>
    <row r="11" spans="1:51" x14ac:dyDescent="0.25">
      <c r="A11" s="497">
        <f>'SEC Benches Data'!A55</f>
        <v>44691</v>
      </c>
      <c r="B11" s="7">
        <f>'SEC Benches Data'!AO55*('SEC Benches Data'!AL55/100)</f>
        <v>915.68</v>
      </c>
      <c r="C11" s="7">
        <f>'SEC Benches Data'!AP55*('SEC Benches Data'!AM55/100)</f>
        <v>678.40000000000009</v>
      </c>
      <c r="D11" s="7">
        <f>'SEC Benches Data'!AQ55*('SEC Benches Data'!AN55/100)</f>
        <v>640.07999999999993</v>
      </c>
      <c r="E11" s="74">
        <f>B11/C8</f>
        <v>1.2774553571428569</v>
      </c>
      <c r="F11" s="69" t="s">
        <v>28</v>
      </c>
      <c r="G11" s="64">
        <f>'SEC Benches Data'!B55</f>
        <v>28</v>
      </c>
      <c r="H11" s="40">
        <f>'SEC Benches Data'!N55</f>
        <v>20</v>
      </c>
      <c r="I11" s="40">
        <f>'SEC Benches Data'!Z55</f>
        <v>22</v>
      </c>
      <c r="J11" s="74">
        <f>G11/H8</f>
        <v>1.1200000000000001</v>
      </c>
      <c r="K11" s="69" t="s">
        <v>28</v>
      </c>
      <c r="L11" s="40">
        <f>'SEC Benches Data'!C55</f>
        <v>119</v>
      </c>
      <c r="M11" s="40">
        <f>'SEC Benches Data'!O55</f>
        <v>61</v>
      </c>
      <c r="N11" s="40">
        <f>'SEC Benches Data'!AA55</f>
        <v>53</v>
      </c>
      <c r="O11" s="506">
        <f>L11/M8</f>
        <v>6.2631578947368425</v>
      </c>
      <c r="P11" s="69" t="s">
        <v>28</v>
      </c>
      <c r="Q11" s="40">
        <f>'SEC Benches Data'!D55</f>
        <v>94</v>
      </c>
      <c r="R11" s="40">
        <f>'SEC Benches Data'!P55</f>
        <v>24</v>
      </c>
      <c r="S11" s="40">
        <f>'SEC Benches Data'!AB55</f>
        <v>17</v>
      </c>
      <c r="T11" s="506">
        <f>Q11/R8</f>
        <v>5.875</v>
      </c>
      <c r="U11" s="69" t="s">
        <v>28</v>
      </c>
      <c r="V11" s="40">
        <f>'SEC Benches Data'!E55</f>
        <v>49</v>
      </c>
      <c r="W11" s="40">
        <f>'SEC Benches Data'!Q55</f>
        <v>43</v>
      </c>
      <c r="X11" s="40">
        <f>'SEC Benches Data'!AC55</f>
        <v>47</v>
      </c>
      <c r="Y11" s="506">
        <f>V11/W8</f>
        <v>0.84482758620689657</v>
      </c>
      <c r="Z11" s="69" t="s">
        <v>28</v>
      </c>
      <c r="AA11" s="40">
        <f>'SEC Benches Data'!J55</f>
        <v>53</v>
      </c>
      <c r="AB11" s="40">
        <f>'SEC Benches Data'!V55</f>
        <v>31</v>
      </c>
      <c r="AC11" s="40">
        <f>'SEC Benches Data'!AH55</f>
        <v>26</v>
      </c>
      <c r="AD11" s="506">
        <f>AA11/AB8</f>
        <v>0.92982456140350878</v>
      </c>
      <c r="AE11" s="69" t="s">
        <v>28</v>
      </c>
      <c r="AF11" s="40">
        <f>'SEC Benches Data'!G55</f>
        <v>53</v>
      </c>
      <c r="AG11" s="40">
        <f>'SEC Benches Data'!S55</f>
        <v>57</v>
      </c>
      <c r="AH11" s="40">
        <f>'SEC Benches Data'!AE55</f>
        <v>69</v>
      </c>
      <c r="AI11" s="506">
        <f>AF11/AG8</f>
        <v>0.70666666666666667</v>
      </c>
      <c r="AJ11" s="69" t="s">
        <v>28</v>
      </c>
      <c r="AK11" s="40">
        <f>'SEC Benches Data'!H55</f>
        <v>71</v>
      </c>
      <c r="AL11" s="40">
        <f>'SEC Benches Data'!T55</f>
        <v>48</v>
      </c>
      <c r="AM11" s="40">
        <f>'SEC Benches Data'!AF55</f>
        <v>51</v>
      </c>
      <c r="AN11" s="506">
        <f>AK11/AL8</f>
        <v>1.868421052631579</v>
      </c>
      <c r="AO11" s="69" t="s">
        <v>28</v>
      </c>
      <c r="AP11" s="40">
        <f>'SEC Benches Data'!J55</f>
        <v>53</v>
      </c>
      <c r="AQ11" s="40">
        <f>'SEC Benches Data'!V55</f>
        <v>31</v>
      </c>
      <c r="AR11" s="40">
        <f>'SEC Benches Data'!AH55</f>
        <v>26</v>
      </c>
      <c r="AS11" s="506">
        <f>AP11/AQ8</f>
        <v>4.0769230769230766</v>
      </c>
      <c r="AT11" s="69" t="s">
        <v>28</v>
      </c>
      <c r="AU11" s="40">
        <f>'SEC Benches Data'!M55</f>
        <v>51</v>
      </c>
      <c r="AV11" s="40">
        <f>'SEC Benches Data'!Y55</f>
        <v>41</v>
      </c>
      <c r="AW11" s="40">
        <f>'SEC Benches Data'!AK55</f>
        <v>44</v>
      </c>
      <c r="AX11" s="506">
        <f>AU11/AV8</f>
        <v>1.0408163265306123</v>
      </c>
      <c r="AY11" s="69" t="s">
        <v>28</v>
      </c>
    </row>
    <row r="12" spans="1:51" x14ac:dyDescent="0.25">
      <c r="A12" s="497">
        <f>'SEC Benches Data'!A56</f>
        <v>44714</v>
      </c>
      <c r="B12" s="7">
        <f>'SEC Benches Data'!AO56*('SEC Benches Data'!AL56/100)</f>
        <v>931.49999999999989</v>
      </c>
      <c r="C12" s="7">
        <f>'SEC Benches Data'!AP56*('SEC Benches Data'!AM56/100)</f>
        <v>695.36</v>
      </c>
      <c r="D12" s="7">
        <f>'SEC Benches Data'!AQ56*('SEC Benches Data'!AN56/100)</f>
        <v>685.80000000000007</v>
      </c>
      <c r="E12" s="74">
        <f>B12/C9</f>
        <v>1.4655443675267463</v>
      </c>
      <c r="F12" s="69" t="s">
        <v>28</v>
      </c>
      <c r="G12" s="64">
        <f>'SEC Benches Data'!B56</f>
        <v>29</v>
      </c>
      <c r="H12" s="40">
        <f>'SEC Benches Data'!N56</f>
        <v>23</v>
      </c>
      <c r="I12" s="40">
        <f>'SEC Benches Data'!Z56</f>
        <v>24</v>
      </c>
      <c r="J12" s="74">
        <f>G12/H9</f>
        <v>1.3181818181818181</v>
      </c>
      <c r="K12" s="69" t="s">
        <v>28</v>
      </c>
      <c r="L12" s="40">
        <f>'SEC Benches Data'!C56</f>
        <v>120</v>
      </c>
      <c r="M12" s="40">
        <f>'SEC Benches Data'!O56</f>
        <v>53</v>
      </c>
      <c r="N12" s="40">
        <f>'SEC Benches Data'!AA56</f>
        <v>64</v>
      </c>
      <c r="O12" s="506">
        <f>L12/M9</f>
        <v>3.870967741935484</v>
      </c>
      <c r="P12" s="69" t="s">
        <v>28</v>
      </c>
      <c r="Q12" s="40">
        <f>'SEC Benches Data'!D56</f>
        <v>78</v>
      </c>
      <c r="R12" s="40">
        <f>'SEC Benches Data'!P56</f>
        <v>24</v>
      </c>
      <c r="S12" s="40">
        <f>'SEC Benches Data'!AB56</f>
        <v>22</v>
      </c>
      <c r="T12" s="506">
        <f>Q12/R9</f>
        <v>4.875</v>
      </c>
      <c r="U12" s="69" t="s">
        <v>28</v>
      </c>
      <c r="V12" s="40">
        <f>'SEC Benches Data'!E56</f>
        <v>66</v>
      </c>
      <c r="W12" s="40">
        <f>'SEC Benches Data'!Q56</f>
        <v>49</v>
      </c>
      <c r="X12" s="40">
        <f>'SEC Benches Data'!AC56</f>
        <v>50</v>
      </c>
      <c r="Y12" s="506">
        <f>V12/W9</f>
        <v>1.5348837209302326</v>
      </c>
      <c r="Z12" s="69" t="s">
        <v>28</v>
      </c>
      <c r="AA12" s="40">
        <f>'SEC Benches Data'!J56</f>
        <v>54</v>
      </c>
      <c r="AB12" s="40">
        <f>'SEC Benches Data'!V56</f>
        <v>25</v>
      </c>
      <c r="AC12" s="40">
        <f>'SEC Benches Data'!AH56</f>
        <v>27</v>
      </c>
      <c r="AD12" s="506">
        <f>AA12/AB9</f>
        <v>3.1764705882352939</v>
      </c>
      <c r="AE12" s="69" t="s">
        <v>28</v>
      </c>
      <c r="AF12" s="40">
        <f>'SEC Benches Data'!G56</f>
        <v>49</v>
      </c>
      <c r="AG12" s="40">
        <f>'SEC Benches Data'!S56</f>
        <v>73</v>
      </c>
      <c r="AH12" s="40">
        <f>'SEC Benches Data'!AE56</f>
        <v>71</v>
      </c>
      <c r="AI12" s="506">
        <f>AF12/AG9</f>
        <v>0.83050847457627119</v>
      </c>
      <c r="AJ12" s="69" t="s">
        <v>28</v>
      </c>
      <c r="AK12" s="40">
        <f>'SEC Benches Data'!H56</f>
        <v>70</v>
      </c>
      <c r="AL12" s="40">
        <f>'SEC Benches Data'!T56</f>
        <v>46</v>
      </c>
      <c r="AM12" s="40">
        <f>'SEC Benches Data'!AF56</f>
        <v>54</v>
      </c>
      <c r="AN12" s="506">
        <f>AK12/AL9</f>
        <v>1.4583333333333333</v>
      </c>
      <c r="AO12" s="69" t="s">
        <v>28</v>
      </c>
      <c r="AP12" s="40">
        <f>'SEC Benches Data'!J56</f>
        <v>54</v>
      </c>
      <c r="AQ12" s="40">
        <f>'SEC Benches Data'!V56</f>
        <v>25</v>
      </c>
      <c r="AR12" s="40">
        <f>'SEC Benches Data'!AH56</f>
        <v>27</v>
      </c>
      <c r="AS12" s="506">
        <f>AP12/AQ9</f>
        <v>3.1764705882352939</v>
      </c>
      <c r="AT12" s="69" t="s">
        <v>28</v>
      </c>
      <c r="AU12" s="40">
        <f>'SEC Benches Data'!M56</f>
        <v>51</v>
      </c>
      <c r="AV12" s="40">
        <f>'SEC Benches Data'!Y56</f>
        <v>43</v>
      </c>
      <c r="AW12" s="40">
        <f>'SEC Benches Data'!AK56</f>
        <v>47</v>
      </c>
      <c r="AX12" s="506">
        <f>AU12/AV9</f>
        <v>1.2439024390243902</v>
      </c>
      <c r="AY12" s="69" t="s">
        <v>28</v>
      </c>
    </row>
    <row r="13" spans="1:51" x14ac:dyDescent="0.25">
      <c r="A13" s="497">
        <f>'SEC Benches Data'!A57</f>
        <v>44753</v>
      </c>
      <c r="B13" s="7">
        <f>'SEC Benches Data'!AO57*('SEC Benches Data'!AL57/100)</f>
        <v>1041.81</v>
      </c>
      <c r="C13" s="7">
        <f>'SEC Benches Data'!AP57*('SEC Benches Data'!AM57/100)</f>
        <v>843.69999999999993</v>
      </c>
      <c r="D13" s="7">
        <f>'SEC Benches Data'!AQ57*('SEC Benches Data'!AN57/100)</f>
        <v>790.55</v>
      </c>
      <c r="E13" s="74">
        <f>B13/C10</f>
        <v>1.5572645739910314</v>
      </c>
      <c r="F13" s="69" t="s">
        <v>28</v>
      </c>
      <c r="G13" s="64">
        <f>'SEC Benches Data'!B57</f>
        <v>31</v>
      </c>
      <c r="H13" s="40">
        <f>'SEC Benches Data'!N57</f>
        <v>32</v>
      </c>
      <c r="I13" s="40">
        <f>'SEC Benches Data'!Z57</f>
        <v>27</v>
      </c>
      <c r="J13" s="74">
        <f>G13/H10</f>
        <v>1.1923076923076923</v>
      </c>
      <c r="K13" s="69" t="s">
        <v>28</v>
      </c>
      <c r="L13" s="40">
        <f>'SEC Benches Data'!C57</f>
        <v>89</v>
      </c>
      <c r="M13" s="40">
        <f>'SEC Benches Data'!O57</f>
        <v>96</v>
      </c>
      <c r="N13" s="40">
        <f>'SEC Benches Data'!AA57</f>
        <v>65</v>
      </c>
      <c r="O13" s="506">
        <f>L13/M10</f>
        <v>3.56</v>
      </c>
      <c r="P13" s="69" t="s">
        <v>28</v>
      </c>
      <c r="Q13" s="40">
        <f>'SEC Benches Data'!D57</f>
        <v>82</v>
      </c>
      <c r="R13" s="40">
        <f>'SEC Benches Data'!P57</f>
        <v>29</v>
      </c>
      <c r="S13" s="40">
        <f>'SEC Benches Data'!AB57</f>
        <v>20</v>
      </c>
      <c r="T13" s="506">
        <f>Q13/R10</f>
        <v>3.5652173913043477</v>
      </c>
      <c r="U13" s="69" t="s">
        <v>28</v>
      </c>
      <c r="V13" s="40">
        <f>'SEC Benches Data'!E57</f>
        <v>75</v>
      </c>
      <c r="W13" s="40">
        <f>'SEC Benches Data'!Q57</f>
        <v>71</v>
      </c>
      <c r="X13" s="40">
        <f>'SEC Benches Data'!AC57</f>
        <v>57</v>
      </c>
      <c r="Y13" s="506">
        <f>V13/W10</f>
        <v>1.9230769230769231</v>
      </c>
      <c r="Z13" s="69" t="s">
        <v>28</v>
      </c>
      <c r="AA13" s="40">
        <f>'SEC Benches Data'!J57</f>
        <v>34</v>
      </c>
      <c r="AB13" s="40">
        <f>'SEC Benches Data'!V57</f>
        <v>57</v>
      </c>
      <c r="AC13" s="40">
        <f>'SEC Benches Data'!AH57</f>
        <v>28</v>
      </c>
      <c r="AD13" s="506">
        <f>AA13/AB10</f>
        <v>1.7</v>
      </c>
      <c r="AE13" s="69" t="s">
        <v>28</v>
      </c>
      <c r="AF13" s="40">
        <f>'SEC Benches Data'!G57</f>
        <v>122</v>
      </c>
      <c r="AG13" s="40">
        <f>'SEC Benches Data'!S57</f>
        <v>95</v>
      </c>
      <c r="AH13" s="40">
        <f>'SEC Benches Data'!AE57</f>
        <v>78</v>
      </c>
      <c r="AI13" s="506">
        <f>AF13/AG10</f>
        <v>2.5416666666666665</v>
      </c>
      <c r="AJ13" s="69" t="s">
        <v>28</v>
      </c>
      <c r="AK13" s="40">
        <f>'SEC Benches Data'!H57</f>
        <v>65</v>
      </c>
      <c r="AL13" s="40">
        <f>'SEC Benches Data'!T57</f>
        <v>67</v>
      </c>
      <c r="AM13" s="40">
        <f>'SEC Benches Data'!AF57</f>
        <v>58</v>
      </c>
      <c r="AN13" s="506">
        <f>AK13/AL10</f>
        <v>1.625</v>
      </c>
      <c r="AO13" s="69" t="s">
        <v>28</v>
      </c>
      <c r="AP13" s="40">
        <f>'SEC Benches Data'!J57</f>
        <v>34</v>
      </c>
      <c r="AQ13" s="40">
        <f>'SEC Benches Data'!V57</f>
        <v>57</v>
      </c>
      <c r="AR13" s="40">
        <f>'SEC Benches Data'!AH57</f>
        <v>28</v>
      </c>
      <c r="AS13" s="506">
        <f>AP13/AQ10</f>
        <v>1.7</v>
      </c>
      <c r="AT13" s="69" t="s">
        <v>28</v>
      </c>
      <c r="AU13" s="40">
        <f>'SEC Benches Data'!M57</f>
        <v>53</v>
      </c>
      <c r="AV13" s="40">
        <f>'SEC Benches Data'!Y57</f>
        <v>59</v>
      </c>
      <c r="AW13" s="40">
        <f>'SEC Benches Data'!AK57</f>
        <v>50.5</v>
      </c>
      <c r="AX13" s="506">
        <f>AU13/AV10</f>
        <v>1.0392156862745099</v>
      </c>
      <c r="AY13" s="69" t="s">
        <v>28</v>
      </c>
    </row>
    <row r="14" spans="1:51" x14ac:dyDescent="0.25">
      <c r="A14" s="497">
        <v>44774</v>
      </c>
      <c r="B14" s="7">
        <f>'SEC Benches Data'!AO58*('SEC Benches Data'!AL58/100)</f>
        <v>1038.4499999999998</v>
      </c>
      <c r="C14" s="7">
        <f>'SEC Benches Data'!AP58*('SEC Benches Data'!AM58/100)</f>
        <v>855.36</v>
      </c>
      <c r="D14" s="7">
        <f>'SEC Benches Data'!AQ58*('SEC Benches Data'!AN58/100)</f>
        <v>833.28</v>
      </c>
      <c r="E14" s="74">
        <f>B14/C11</f>
        <v>1.5307340801886788</v>
      </c>
      <c r="F14" s="74">
        <f t="shared" ref="F14:F19" si="2">B14/D8</f>
        <v>1.3403678606001934</v>
      </c>
      <c r="G14" s="64">
        <f>'SEC Benches Data'!B58</f>
        <v>33</v>
      </c>
      <c r="H14" s="40">
        <f>'SEC Benches Data'!N58</f>
        <v>31</v>
      </c>
      <c r="I14" s="40">
        <f>'SEC Benches Data'!Z58</f>
        <v>28</v>
      </c>
      <c r="J14" s="74">
        <f>G14/H11</f>
        <v>1.65</v>
      </c>
      <c r="K14" s="74">
        <f>G14/I8</f>
        <v>1.064516129032258</v>
      </c>
      <c r="L14" s="40">
        <f>'SEC Benches Data'!C58</f>
        <v>74</v>
      </c>
      <c r="M14" s="40">
        <f>'SEC Benches Data'!O58</f>
        <v>86</v>
      </c>
      <c r="N14" s="40">
        <f>'SEC Benches Data'!AA58</f>
        <v>64</v>
      </c>
      <c r="O14" s="506">
        <f>L14/M11</f>
        <v>1.2131147540983607</v>
      </c>
      <c r="P14" s="74">
        <f>L14/N8</f>
        <v>2.1764705882352939</v>
      </c>
      <c r="Q14" s="40">
        <f>'SEC Benches Data'!D58</f>
        <v>72</v>
      </c>
      <c r="R14" s="40">
        <f>'SEC Benches Data'!P58</f>
        <v>53</v>
      </c>
      <c r="S14" s="40">
        <f>'SEC Benches Data'!AB58</f>
        <v>22</v>
      </c>
      <c r="T14" s="506">
        <f>Q14/R11</f>
        <v>3</v>
      </c>
      <c r="U14" s="74">
        <f>Q14/S8</f>
        <v>3.6</v>
      </c>
      <c r="V14" s="40">
        <f>'SEC Benches Data'!E58</f>
        <v>80</v>
      </c>
      <c r="W14" s="40">
        <f>'SEC Benches Data'!Q58</f>
        <v>81</v>
      </c>
      <c r="X14" s="40">
        <f>'SEC Benches Data'!AC58</f>
        <v>57</v>
      </c>
      <c r="Y14" s="506">
        <f>V14/W11</f>
        <v>1.8604651162790697</v>
      </c>
      <c r="Z14" s="74">
        <f>V14/X8</f>
        <v>1.3559322033898304</v>
      </c>
      <c r="AA14" s="40">
        <f>'SEC Benches Data'!J58</f>
        <v>44</v>
      </c>
      <c r="AB14" s="40">
        <f>'SEC Benches Data'!V58</f>
        <v>35</v>
      </c>
      <c r="AC14" s="40">
        <f>'SEC Benches Data'!AH58</f>
        <v>26</v>
      </c>
      <c r="AD14" s="506">
        <f>AA14/AB11</f>
        <v>1.4193548387096775</v>
      </c>
      <c r="AE14" s="74">
        <f>AA14/AC8</f>
        <v>0.72131147540983609</v>
      </c>
      <c r="AF14" s="40">
        <f>'SEC Benches Data'!G58</f>
        <v>131</v>
      </c>
      <c r="AG14" s="40">
        <f>'SEC Benches Data'!S58</f>
        <v>90</v>
      </c>
      <c r="AH14" s="40">
        <f>'SEC Benches Data'!AE58</f>
        <v>78</v>
      </c>
      <c r="AI14" s="506">
        <f>AF14/AG11</f>
        <v>2.2982456140350878</v>
      </c>
      <c r="AJ14" s="74">
        <f>AF14/AH8</f>
        <v>1.8450704225352113</v>
      </c>
      <c r="AK14" s="40">
        <f>'SEC Benches Data'!H58</f>
        <v>73</v>
      </c>
      <c r="AL14" s="40">
        <f>'SEC Benches Data'!T58</f>
        <v>65</v>
      </c>
      <c r="AM14" s="40">
        <f>'SEC Benches Data'!AF58</f>
        <v>58</v>
      </c>
      <c r="AN14" s="506">
        <f>AK14/AL11</f>
        <v>1.5208333333333333</v>
      </c>
      <c r="AO14" s="74">
        <f>AK14/AM8</f>
        <v>1.1774193548387097</v>
      </c>
      <c r="AP14" s="40">
        <f>'SEC Benches Data'!J58</f>
        <v>44</v>
      </c>
      <c r="AQ14" s="40">
        <f>'SEC Benches Data'!V58</f>
        <v>35</v>
      </c>
      <c r="AR14" s="40">
        <f>'SEC Benches Data'!AH58</f>
        <v>26</v>
      </c>
      <c r="AS14" s="506">
        <f>AP14/AQ11</f>
        <v>1.4193548387096775</v>
      </c>
      <c r="AT14" s="74">
        <f>AP14/AR8</f>
        <v>2.0952380952380953</v>
      </c>
      <c r="AU14" s="40">
        <f>'SEC Benches Data'!M58</f>
        <v>58</v>
      </c>
      <c r="AV14" s="40">
        <f>'SEC Benches Data'!Y58</f>
        <v>56</v>
      </c>
      <c r="AW14" s="40">
        <f>'SEC Benches Data'!AK58</f>
        <v>54</v>
      </c>
      <c r="AX14" s="506">
        <f>AU14/AV11</f>
        <v>1.4146341463414633</v>
      </c>
      <c r="AY14" s="74">
        <f>AU14/AW8</f>
        <v>0.98305084745762716</v>
      </c>
    </row>
    <row r="15" spans="1:51" x14ac:dyDescent="0.25">
      <c r="A15" s="497">
        <v>44805</v>
      </c>
      <c r="B15" s="7">
        <f>'SEC Benches Data'!AO59*('SEC Benches Data'!AL59/100)</f>
        <v>1061.06</v>
      </c>
      <c r="C15" s="7">
        <f>'SEC Benches Data'!AP59*('SEC Benches Data'!AM59/100)</f>
        <v>731.64</v>
      </c>
      <c r="D15" s="7">
        <f>'SEC Benches Data'!AQ59*('SEC Benches Data'!AN59/100)</f>
        <v>903.76</v>
      </c>
      <c r="E15" s="74">
        <f>B15/C12</f>
        <v>1.5259146341463414</v>
      </c>
      <c r="F15" s="74">
        <f t="shared" si="2"/>
        <v>1.3456689917564997</v>
      </c>
      <c r="G15" s="64">
        <f>'SEC Benches Data'!B59</f>
        <v>34</v>
      </c>
      <c r="H15" s="40">
        <f>'SEC Benches Data'!N59</f>
        <v>29</v>
      </c>
      <c r="I15" s="40">
        <f>'SEC Benches Data'!Z59</f>
        <v>33</v>
      </c>
      <c r="J15" s="74">
        <f>G15/H12</f>
        <v>1.4782608695652173</v>
      </c>
      <c r="K15" s="74">
        <f>G15/I9</f>
        <v>1.0625</v>
      </c>
      <c r="L15" s="40">
        <f>'SEC Benches Data'!C59</f>
        <v>60</v>
      </c>
      <c r="M15" s="40">
        <f>'SEC Benches Data'!O59</f>
        <v>51</v>
      </c>
      <c r="N15" s="40">
        <f>'SEC Benches Data'!AA59</f>
        <v>35</v>
      </c>
      <c r="O15" s="506">
        <f>L15/M12</f>
        <v>1.1320754716981132</v>
      </c>
      <c r="P15" s="74">
        <f>L15/N9</f>
        <v>1.5</v>
      </c>
      <c r="Q15" s="40">
        <f>'SEC Benches Data'!D59</f>
        <v>51</v>
      </c>
      <c r="R15" s="40">
        <f>'SEC Benches Data'!P59</f>
        <v>32</v>
      </c>
      <c r="S15" s="40">
        <f>'SEC Benches Data'!AB59</f>
        <v>34</v>
      </c>
      <c r="T15" s="506">
        <f>Q15/R12</f>
        <v>2.125</v>
      </c>
      <c r="U15" s="74">
        <f>Q15/S9</f>
        <v>2.4285714285714284</v>
      </c>
      <c r="V15" s="40">
        <f>'SEC Benches Data'!E59</f>
        <v>102</v>
      </c>
      <c r="W15" s="40">
        <f>'SEC Benches Data'!Q59</f>
        <v>74</v>
      </c>
      <c r="X15" s="40">
        <f>'SEC Benches Data'!AC59</f>
        <v>62</v>
      </c>
      <c r="Y15" s="506">
        <f>V15/W12</f>
        <v>2.0816326530612246</v>
      </c>
      <c r="Z15" s="74">
        <f>V15/X9</f>
        <v>1.5692307692307692</v>
      </c>
      <c r="AA15" s="40">
        <f>'SEC Benches Data'!J59</f>
        <v>29</v>
      </c>
      <c r="AB15" s="40">
        <f>'SEC Benches Data'!V59</f>
        <v>19</v>
      </c>
      <c r="AC15" s="40">
        <f>'SEC Benches Data'!AH59</f>
        <v>10</v>
      </c>
      <c r="AD15" s="506">
        <f>AA15/AB12</f>
        <v>1.1599999999999999</v>
      </c>
      <c r="AE15" s="74">
        <f>AA15/AC9</f>
        <v>1.3181818181818181</v>
      </c>
      <c r="AF15" s="40">
        <f>'SEC Benches Data'!G59</f>
        <v>137</v>
      </c>
      <c r="AG15" s="40">
        <f>'SEC Benches Data'!S59</f>
        <v>83</v>
      </c>
      <c r="AH15" s="40">
        <f>'SEC Benches Data'!AE59</f>
        <v>92</v>
      </c>
      <c r="AI15" s="506">
        <f>AF15/AG12</f>
        <v>1.8767123287671232</v>
      </c>
      <c r="AJ15" s="74">
        <f>AF15/AH9</f>
        <v>1.8513513513513513</v>
      </c>
      <c r="AK15" s="40">
        <f>'SEC Benches Data'!H59</f>
        <v>63</v>
      </c>
      <c r="AL15" s="40">
        <f>'SEC Benches Data'!T59</f>
        <v>63</v>
      </c>
      <c r="AM15" s="40">
        <f>'SEC Benches Data'!AF59</f>
        <v>65</v>
      </c>
      <c r="AN15" s="506">
        <f>AK15/AL12</f>
        <v>1.3695652173913044</v>
      </c>
      <c r="AO15" s="74">
        <f>AK15/AM9</f>
        <v>1.0161290322580645</v>
      </c>
      <c r="AP15" s="40">
        <f>'SEC Benches Data'!J59</f>
        <v>29</v>
      </c>
      <c r="AQ15" s="40">
        <f>'SEC Benches Data'!V59</f>
        <v>19</v>
      </c>
      <c r="AR15" s="40">
        <f>'SEC Benches Data'!AH59</f>
        <v>10</v>
      </c>
      <c r="AS15" s="506">
        <f>AP15/AQ12</f>
        <v>1.1599999999999999</v>
      </c>
      <c r="AT15" s="74">
        <f>AP15/AR9</f>
        <v>1.3181818181818181</v>
      </c>
      <c r="AU15" s="40">
        <f>'SEC Benches Data'!M59</f>
        <v>63</v>
      </c>
      <c r="AV15" s="40">
        <f>'SEC Benches Data'!Y59</f>
        <v>54</v>
      </c>
      <c r="AW15" s="40">
        <f>'SEC Benches Data'!AK59</f>
        <v>64</v>
      </c>
      <c r="AX15" s="506">
        <f>AU15/AV12</f>
        <v>1.4651162790697674</v>
      </c>
      <c r="AY15" s="74">
        <f>AU15/AW9</f>
        <v>1.0677966101694916</v>
      </c>
    </row>
    <row r="16" spans="1:51" x14ac:dyDescent="0.25">
      <c r="A16" s="497">
        <v>44838</v>
      </c>
      <c r="B16" s="7">
        <f>'SEC Benches Data'!AO60*('SEC Benches Data'!AL60/100)</f>
        <v>963.36</v>
      </c>
      <c r="C16" s="7">
        <f>'SEC Benches Data'!AP60*('SEC Benches Data'!AM60/100)</f>
        <v>885.8</v>
      </c>
      <c r="D16" s="7">
        <f>'SEC Benches Data'!AQ60*('SEC Benches Data'!AN60/100)</f>
        <v>889.94999999999993</v>
      </c>
      <c r="E16" s="74">
        <f t="shared" ref="E16" si="3">B16/C13</f>
        <v>1.1418276638615623</v>
      </c>
      <c r="F16" s="74">
        <f t="shared" si="2"/>
        <v>1.3013454368617279</v>
      </c>
      <c r="G16" s="64">
        <f>'SEC Benches Data'!B60</f>
        <v>33</v>
      </c>
      <c r="H16" s="40">
        <f>'SEC Benches Data'!N60</f>
        <v>29</v>
      </c>
      <c r="I16" s="40">
        <f>'SEC Benches Data'!Z60</f>
        <v>31</v>
      </c>
      <c r="J16" s="74">
        <f t="shared" ref="J16:J52" si="4">G16/H13</f>
        <v>1.03125</v>
      </c>
      <c r="K16" s="74">
        <f t="shared" ref="K16:K52" si="5">G16/I10</f>
        <v>1.2692307692307692</v>
      </c>
      <c r="L16" s="40">
        <f>'SEC Benches Data'!C60</f>
        <v>67</v>
      </c>
      <c r="M16" s="40">
        <f>'SEC Benches Data'!O60</f>
        <v>33</v>
      </c>
      <c r="N16" s="40">
        <f>'SEC Benches Data'!AA60</f>
        <v>30</v>
      </c>
      <c r="O16" s="506">
        <f t="shared" ref="O16:O52" si="6">L16/M13</f>
        <v>0.69791666666666663</v>
      </c>
      <c r="P16" s="74">
        <f t="shared" ref="P16:P52" si="7">L16/N10</f>
        <v>1.763157894736842</v>
      </c>
      <c r="Q16" s="40">
        <f>'SEC Benches Data'!D60</f>
        <v>74</v>
      </c>
      <c r="R16" s="40">
        <f>'SEC Benches Data'!P60</f>
        <v>28</v>
      </c>
      <c r="S16" s="40">
        <f>'SEC Benches Data'!AB60</f>
        <v>33</v>
      </c>
      <c r="T16" s="506">
        <f t="shared" ref="T16:T52" si="8">Q16/R13</f>
        <v>2.5517241379310347</v>
      </c>
      <c r="U16" s="74">
        <f t="shared" ref="U16:U52" si="9">Q16/S10</f>
        <v>2.7407407407407409</v>
      </c>
      <c r="V16" s="40">
        <f>'SEC Benches Data'!E60</f>
        <v>91</v>
      </c>
      <c r="W16" s="40">
        <f>'SEC Benches Data'!Q60</f>
        <v>69</v>
      </c>
      <c r="X16" s="40">
        <f>'SEC Benches Data'!AC60</f>
        <v>63</v>
      </c>
      <c r="Y16" s="506">
        <f t="shared" ref="Y16:Y52" si="10">V16/W13</f>
        <v>1.2816901408450705</v>
      </c>
      <c r="Z16" s="74">
        <f t="shared" ref="Z16:Z52" si="11">V16/X10</f>
        <v>1.5964912280701755</v>
      </c>
      <c r="AA16" s="40">
        <f>'SEC Benches Data'!J60</f>
        <v>38</v>
      </c>
      <c r="AB16" s="40">
        <f>'SEC Benches Data'!V60</f>
        <v>12</v>
      </c>
      <c r="AC16" s="40">
        <f>'SEC Benches Data'!AH60</f>
        <v>10</v>
      </c>
      <c r="AD16" s="506">
        <f t="shared" ref="AD16:AD52" si="12">AA16/AB13</f>
        <v>0.66666666666666663</v>
      </c>
      <c r="AE16" s="74">
        <f t="shared" ref="AE16:AE52" si="13">AA16/AC10</f>
        <v>1.5833333333333333</v>
      </c>
      <c r="AF16" s="40">
        <f>'SEC Benches Data'!G60</f>
        <v>130</v>
      </c>
      <c r="AG16" s="40">
        <f>'SEC Benches Data'!S60</f>
        <v>92</v>
      </c>
      <c r="AH16" s="40">
        <f>'SEC Benches Data'!AE60</f>
        <v>84</v>
      </c>
      <c r="AI16" s="506">
        <f t="shared" ref="AI16:AI52" si="14">AF16/AG13</f>
        <v>1.368421052631579</v>
      </c>
      <c r="AJ16" s="74">
        <f t="shared" ref="AJ16:AJ52" si="15">AF16/AH10</f>
        <v>1.7105263157894737</v>
      </c>
      <c r="AK16" s="40">
        <f>'SEC Benches Data'!H60</f>
        <v>103</v>
      </c>
      <c r="AL16" s="40">
        <f>'SEC Benches Data'!T60</f>
        <v>92</v>
      </c>
      <c r="AM16" s="40">
        <f>'SEC Benches Data'!AF60</f>
        <v>83</v>
      </c>
      <c r="AN16" s="506">
        <f t="shared" ref="AN16:AN52" si="16">AK16/AL13</f>
        <v>1.5373134328358209</v>
      </c>
      <c r="AO16" s="74">
        <f t="shared" ref="AO16:AO52" si="17">AK16/AM10</f>
        <v>1.8392857142857142</v>
      </c>
      <c r="AP16" s="40">
        <f>'SEC Benches Data'!J60</f>
        <v>38</v>
      </c>
      <c r="AQ16" s="40">
        <f>'SEC Benches Data'!V60</f>
        <v>12</v>
      </c>
      <c r="AR16" s="40">
        <f>'SEC Benches Data'!AH60</f>
        <v>10</v>
      </c>
      <c r="AS16" s="506">
        <f t="shared" ref="AS16:AS52" si="18">AP16/AQ13</f>
        <v>0.66666666666666663</v>
      </c>
      <c r="AT16" s="74">
        <f t="shared" ref="AT16:AT52" si="19">AP16/AR10</f>
        <v>1.5833333333333333</v>
      </c>
      <c r="AU16" s="40">
        <f>'SEC Benches Data'!M60</f>
        <v>64</v>
      </c>
      <c r="AV16" s="40">
        <f>'SEC Benches Data'!Y60</f>
        <v>56</v>
      </c>
      <c r="AW16" s="40">
        <f>'SEC Benches Data'!AK60</f>
        <v>61</v>
      </c>
      <c r="AX16" s="506">
        <f t="shared" ref="AX16:AX52" si="20">AU16/AV13</f>
        <v>1.0847457627118644</v>
      </c>
      <c r="AY16" s="74">
        <f t="shared" ref="AY16:AY52" si="21">AU16/AW10</f>
        <v>1.2075471698113207</v>
      </c>
    </row>
    <row r="17" spans="1:51" x14ac:dyDescent="0.25">
      <c r="A17" s="497">
        <v>44868</v>
      </c>
      <c r="B17" s="7">
        <f>'SEC Benches Data'!AO61*('SEC Benches Data'!AL61/100)</f>
        <v>578.26</v>
      </c>
      <c r="C17" s="7">
        <f>'SEC Benches Data'!AP61*('SEC Benches Data'!AM61/100)</f>
        <v>585.87</v>
      </c>
      <c r="D17" s="7">
        <f>'SEC Benches Data'!AQ61*('SEC Benches Data'!AN61/100)</f>
        <v>672.1</v>
      </c>
      <c r="E17" s="74">
        <f t="shared" ref="E17" si="22">B17/C14</f>
        <v>0.67604283576505797</v>
      </c>
      <c r="F17" s="74">
        <f t="shared" si="2"/>
        <v>0.90341832270966138</v>
      </c>
      <c r="G17" s="64">
        <f>'SEC Benches Data'!B61</f>
        <v>18</v>
      </c>
      <c r="H17" s="40">
        <f>'SEC Benches Data'!N61</f>
        <v>21</v>
      </c>
      <c r="I17" s="40">
        <f>'SEC Benches Data'!Z61</f>
        <v>21</v>
      </c>
      <c r="J17" s="74">
        <f t="shared" si="4"/>
        <v>0.58064516129032262</v>
      </c>
      <c r="K17" s="74">
        <f t="shared" si="5"/>
        <v>0.81818181818181823</v>
      </c>
      <c r="L17" s="40">
        <f>'SEC Benches Data'!C61</f>
        <v>18</v>
      </c>
      <c r="M17" s="40">
        <f>'SEC Benches Data'!O61</f>
        <v>25</v>
      </c>
      <c r="N17" s="40">
        <f>'SEC Benches Data'!AA61</f>
        <v>29</v>
      </c>
      <c r="O17" s="506">
        <f t="shared" si="6"/>
        <v>0.20930232558139536</v>
      </c>
      <c r="P17" s="74">
        <f t="shared" si="7"/>
        <v>0.33962264150943394</v>
      </c>
      <c r="Q17" s="40">
        <f>'SEC Benches Data'!D61</f>
        <v>47</v>
      </c>
      <c r="R17" s="40">
        <f>'SEC Benches Data'!P61</f>
        <v>12</v>
      </c>
      <c r="S17" s="40">
        <f>'SEC Benches Data'!AB61</f>
        <v>16</v>
      </c>
      <c r="T17" s="506">
        <f t="shared" si="8"/>
        <v>0.8867924528301887</v>
      </c>
      <c r="U17" s="74">
        <f t="shared" si="9"/>
        <v>2.7647058823529411</v>
      </c>
      <c r="V17" s="40">
        <f>'SEC Benches Data'!E61</f>
        <v>59</v>
      </c>
      <c r="W17" s="40">
        <f>'SEC Benches Data'!Q61</f>
        <v>53</v>
      </c>
      <c r="X17" s="40">
        <f>'SEC Benches Data'!AC61</f>
        <v>54</v>
      </c>
      <c r="Y17" s="506">
        <f t="shared" si="10"/>
        <v>0.72839506172839508</v>
      </c>
      <c r="Z17" s="74">
        <f t="shared" si="11"/>
        <v>1.2553191489361701</v>
      </c>
      <c r="AA17" s="40">
        <f>'SEC Benches Data'!J61</f>
        <v>5</v>
      </c>
      <c r="AB17" s="40">
        <f>'SEC Benches Data'!V61</f>
        <v>11</v>
      </c>
      <c r="AC17" s="40">
        <f>'SEC Benches Data'!AH61</f>
        <v>11</v>
      </c>
      <c r="AD17" s="506">
        <f t="shared" si="12"/>
        <v>0.14285714285714285</v>
      </c>
      <c r="AE17" s="74">
        <f t="shared" si="13"/>
        <v>0.19230769230769232</v>
      </c>
      <c r="AF17" s="40">
        <f>'SEC Benches Data'!G61</f>
        <v>85</v>
      </c>
      <c r="AG17" s="40">
        <f>'SEC Benches Data'!S61</f>
        <v>61</v>
      </c>
      <c r="AH17" s="40">
        <f>'SEC Benches Data'!AE61</f>
        <v>68</v>
      </c>
      <c r="AI17" s="506">
        <f t="shared" si="14"/>
        <v>0.94444444444444442</v>
      </c>
      <c r="AJ17" s="74">
        <f t="shared" si="15"/>
        <v>1.2318840579710144</v>
      </c>
      <c r="AK17" s="40">
        <f>'SEC Benches Data'!H61</f>
        <v>64</v>
      </c>
      <c r="AL17" s="40">
        <f>'SEC Benches Data'!T61</f>
        <v>78</v>
      </c>
      <c r="AM17" s="40">
        <f>'SEC Benches Data'!AF61</f>
        <v>73</v>
      </c>
      <c r="AN17" s="506">
        <f t="shared" si="16"/>
        <v>0.98461538461538467</v>
      </c>
      <c r="AO17" s="74">
        <f t="shared" si="17"/>
        <v>1.2549019607843137</v>
      </c>
      <c r="AP17" s="40">
        <f>'SEC Benches Data'!J61</f>
        <v>5</v>
      </c>
      <c r="AQ17" s="40">
        <f>'SEC Benches Data'!V61</f>
        <v>11</v>
      </c>
      <c r="AR17" s="40">
        <f>'SEC Benches Data'!AH61</f>
        <v>11</v>
      </c>
      <c r="AS17" s="506">
        <f t="shared" si="18"/>
        <v>0.14285714285714285</v>
      </c>
      <c r="AT17" s="74">
        <f t="shared" si="19"/>
        <v>0.19230769230769232</v>
      </c>
      <c r="AU17" s="40">
        <f>'SEC Benches Data'!M61</f>
        <v>29</v>
      </c>
      <c r="AV17" s="40">
        <f>'SEC Benches Data'!Y61</f>
        <v>36</v>
      </c>
      <c r="AW17" s="40">
        <f>'SEC Benches Data'!AK61</f>
        <v>39</v>
      </c>
      <c r="AX17" s="506">
        <f t="shared" si="20"/>
        <v>0.5178571428571429</v>
      </c>
      <c r="AY17" s="74">
        <f t="shared" si="21"/>
        <v>0.65909090909090906</v>
      </c>
    </row>
    <row r="18" spans="1:51" x14ac:dyDescent="0.25">
      <c r="A18" s="497">
        <v>44908</v>
      </c>
      <c r="B18" s="7">
        <f>'SEC Benches Data'!AO62*('SEC Benches Data'!AL62/100)</f>
        <v>396</v>
      </c>
      <c r="C18" s="7">
        <f>'SEC Benches Data'!AP62*('SEC Benches Data'!AM62/100)</f>
        <v>387.60999999999996</v>
      </c>
      <c r="D18" s="7">
        <f>'SEC Benches Data'!AQ62*('SEC Benches Data'!AN62/100)</f>
        <v>480.2</v>
      </c>
      <c r="E18" s="74">
        <f t="shared" ref="E18" si="23">B18/C15</f>
        <v>0.54124979498113823</v>
      </c>
      <c r="F18" s="74">
        <f t="shared" si="2"/>
        <v>0.57742782152230965</v>
      </c>
      <c r="G18" s="64">
        <f>'SEC Benches Data'!B62</f>
        <v>15</v>
      </c>
      <c r="H18" s="40">
        <f>'SEC Benches Data'!N62</f>
        <v>13</v>
      </c>
      <c r="I18" s="40">
        <f>'SEC Benches Data'!Z62</f>
        <v>17</v>
      </c>
      <c r="J18" s="74">
        <f t="shared" si="4"/>
        <v>0.51724137931034486</v>
      </c>
      <c r="K18" s="74">
        <f t="shared" si="5"/>
        <v>0.625</v>
      </c>
      <c r="L18" s="40">
        <f>'SEC Benches Data'!C62</f>
        <v>13</v>
      </c>
      <c r="M18" s="40">
        <f>'SEC Benches Data'!O62</f>
        <v>19</v>
      </c>
      <c r="N18" s="40">
        <f>'SEC Benches Data'!AA62</f>
        <v>20</v>
      </c>
      <c r="O18" s="506">
        <f t="shared" si="6"/>
        <v>0.25490196078431371</v>
      </c>
      <c r="P18" s="74">
        <f t="shared" si="7"/>
        <v>0.203125</v>
      </c>
      <c r="Q18" s="40">
        <f>'SEC Benches Data'!D62</f>
        <v>15</v>
      </c>
      <c r="R18" s="40">
        <f>'SEC Benches Data'!P62</f>
        <v>7</v>
      </c>
      <c r="S18" s="40">
        <f>'SEC Benches Data'!AB62</f>
        <v>12</v>
      </c>
      <c r="T18" s="506">
        <f t="shared" si="8"/>
        <v>0.46875</v>
      </c>
      <c r="U18" s="74">
        <f t="shared" si="9"/>
        <v>0.68181818181818177</v>
      </c>
      <c r="V18" s="40">
        <f>'SEC Benches Data'!E62</f>
        <v>33</v>
      </c>
      <c r="W18" s="40">
        <f>'SEC Benches Data'!Q62</f>
        <v>51</v>
      </c>
      <c r="X18" s="40">
        <f>'SEC Benches Data'!AC62</f>
        <v>41</v>
      </c>
      <c r="Y18" s="506">
        <f t="shared" si="10"/>
        <v>0.44594594594594594</v>
      </c>
      <c r="Z18" s="74">
        <f t="shared" si="11"/>
        <v>0.66</v>
      </c>
      <c r="AA18" s="40">
        <f>'SEC Benches Data'!J62</f>
        <v>17</v>
      </c>
      <c r="AB18" s="40">
        <f>'SEC Benches Data'!V62</f>
        <v>9</v>
      </c>
      <c r="AC18" s="40">
        <f>'SEC Benches Data'!AH62</f>
        <v>10</v>
      </c>
      <c r="AD18" s="506">
        <f t="shared" si="12"/>
        <v>0.89473684210526316</v>
      </c>
      <c r="AE18" s="74">
        <f t="shared" si="13"/>
        <v>0.62962962962962965</v>
      </c>
      <c r="AF18" s="40">
        <f>'SEC Benches Data'!G62</f>
        <v>54</v>
      </c>
      <c r="AG18" s="40">
        <f>'SEC Benches Data'!S62</f>
        <v>46</v>
      </c>
      <c r="AH18" s="40">
        <f>'SEC Benches Data'!AE62</f>
        <v>40</v>
      </c>
      <c r="AI18" s="506">
        <f t="shared" si="14"/>
        <v>0.6506024096385542</v>
      </c>
      <c r="AJ18" s="74">
        <f t="shared" si="15"/>
        <v>0.76056338028169013</v>
      </c>
      <c r="AK18" s="40">
        <f>'SEC Benches Data'!H62</f>
        <v>56</v>
      </c>
      <c r="AL18" s="40">
        <f>'SEC Benches Data'!T62</f>
        <v>45</v>
      </c>
      <c r="AM18" s="40">
        <f>'SEC Benches Data'!AF62</f>
        <v>53</v>
      </c>
      <c r="AN18" s="506">
        <f t="shared" si="16"/>
        <v>0.88888888888888884</v>
      </c>
      <c r="AO18" s="74">
        <f t="shared" si="17"/>
        <v>1.037037037037037</v>
      </c>
      <c r="AP18" s="40">
        <f>'SEC Benches Data'!J62</f>
        <v>17</v>
      </c>
      <c r="AQ18" s="40">
        <f>'SEC Benches Data'!V62</f>
        <v>9</v>
      </c>
      <c r="AR18" s="40">
        <f>'SEC Benches Data'!AH62</f>
        <v>10</v>
      </c>
      <c r="AS18" s="506">
        <f t="shared" si="18"/>
        <v>0.89473684210526316</v>
      </c>
      <c r="AT18" s="74">
        <f t="shared" si="19"/>
        <v>0.62962962962962965</v>
      </c>
      <c r="AU18" s="40">
        <f>'SEC Benches Data'!M62</f>
        <v>23</v>
      </c>
      <c r="AV18" s="40">
        <f>'SEC Benches Data'!Y62</f>
        <v>23</v>
      </c>
      <c r="AW18" s="40">
        <f>'SEC Benches Data'!AK62</f>
        <v>30</v>
      </c>
      <c r="AX18" s="506">
        <f t="shared" si="20"/>
        <v>0.42592592592592593</v>
      </c>
      <c r="AY18" s="74">
        <f t="shared" si="21"/>
        <v>0.48936170212765956</v>
      </c>
    </row>
    <row r="19" spans="1:51" x14ac:dyDescent="0.25">
      <c r="A19" s="497">
        <v>44965</v>
      </c>
      <c r="B19" s="7">
        <f>'SEC Benches Data'!AO63*('SEC Benches Data'!AL63/100)</f>
        <v>208.37</v>
      </c>
      <c r="C19" s="7">
        <f>'SEC Benches Data'!AP63*('SEC Benches Data'!AM63/100)</f>
        <v>322.24</v>
      </c>
      <c r="D19" s="7">
        <f>'SEC Benches Data'!AQ63*('SEC Benches Data'!AN63/100)</f>
        <v>566.57999999999993</v>
      </c>
      <c r="E19" s="74">
        <f t="shared" ref="E19" si="24">B19/C16</f>
        <v>0.23523368706254236</v>
      </c>
      <c r="F19" s="74">
        <f t="shared" si="2"/>
        <v>0.26357599139839355</v>
      </c>
      <c r="G19" s="64">
        <f>'SEC Benches Data'!B63</f>
        <v>10</v>
      </c>
      <c r="H19" s="40">
        <f>'SEC Benches Data'!N63</f>
        <v>13</v>
      </c>
      <c r="I19" s="40">
        <f>'SEC Benches Data'!Z63</f>
        <v>26</v>
      </c>
      <c r="J19" s="74">
        <f t="shared" si="4"/>
        <v>0.34482758620689657</v>
      </c>
      <c r="K19" s="74">
        <f t="shared" si="5"/>
        <v>0.37037037037037035</v>
      </c>
      <c r="L19" s="40">
        <f>'SEC Benches Data'!C63</f>
        <v>1</v>
      </c>
      <c r="M19" s="40">
        <f>'SEC Benches Data'!O63</f>
        <v>7</v>
      </c>
      <c r="N19" s="40">
        <f>'SEC Benches Data'!AA63</f>
        <v>20</v>
      </c>
      <c r="O19" s="506">
        <f t="shared" si="6"/>
        <v>3.0303030303030304E-2</v>
      </c>
      <c r="P19" s="74">
        <f t="shared" si="7"/>
        <v>1.5384615384615385E-2</v>
      </c>
      <c r="Q19" s="40">
        <f>'SEC Benches Data'!D63</f>
        <v>53</v>
      </c>
      <c r="R19" s="40">
        <f>'SEC Benches Data'!P63</f>
        <v>5</v>
      </c>
      <c r="S19" s="40">
        <f>'SEC Benches Data'!AB63</f>
        <v>11</v>
      </c>
      <c r="T19" s="506">
        <f t="shared" si="8"/>
        <v>1.8928571428571428</v>
      </c>
      <c r="U19" s="74">
        <f t="shared" si="9"/>
        <v>2.65</v>
      </c>
      <c r="V19" s="40">
        <f>'SEC Benches Data'!E63</f>
        <v>31</v>
      </c>
      <c r="W19" s="40">
        <f>'SEC Benches Data'!Q63</f>
        <v>28</v>
      </c>
      <c r="X19" s="40">
        <f>'SEC Benches Data'!AC63</f>
        <v>50</v>
      </c>
      <c r="Y19" s="506">
        <f t="shared" si="10"/>
        <v>0.44927536231884058</v>
      </c>
      <c r="Z19" s="74">
        <f t="shared" si="11"/>
        <v>0.54385964912280704</v>
      </c>
      <c r="AA19" s="40">
        <f>'SEC Benches Data'!J63</f>
        <v>2</v>
      </c>
      <c r="AB19" s="40">
        <f>'SEC Benches Data'!V63</f>
        <v>6</v>
      </c>
      <c r="AC19" s="40">
        <f>'SEC Benches Data'!AH63</f>
        <v>12</v>
      </c>
      <c r="AD19" s="506">
        <f t="shared" si="12"/>
        <v>0.16666666666666666</v>
      </c>
      <c r="AE19" s="74">
        <f t="shared" si="13"/>
        <v>7.1428571428571425E-2</v>
      </c>
      <c r="AF19" s="40">
        <f>'SEC Benches Data'!G63</f>
        <v>18</v>
      </c>
      <c r="AG19" s="40">
        <f>'SEC Benches Data'!S63</f>
        <v>29</v>
      </c>
      <c r="AH19" s="40">
        <f>'SEC Benches Data'!AE63</f>
        <v>62</v>
      </c>
      <c r="AI19" s="506">
        <f t="shared" si="14"/>
        <v>0.19565217391304349</v>
      </c>
      <c r="AJ19" s="74">
        <f t="shared" si="15"/>
        <v>0.23076923076923078</v>
      </c>
      <c r="AK19" s="40">
        <f>'SEC Benches Data'!H63</f>
        <v>30</v>
      </c>
      <c r="AL19" s="40">
        <f>'SEC Benches Data'!T63</f>
        <v>25</v>
      </c>
      <c r="AM19" s="40">
        <f>'SEC Benches Data'!AF63</f>
        <v>53</v>
      </c>
      <c r="AN19" s="506">
        <f t="shared" si="16"/>
        <v>0.32608695652173914</v>
      </c>
      <c r="AO19" s="74">
        <f t="shared" si="17"/>
        <v>0.51724137931034486</v>
      </c>
      <c r="AP19" s="40">
        <f>'SEC Benches Data'!J63</f>
        <v>2</v>
      </c>
      <c r="AQ19" s="40">
        <f>'SEC Benches Data'!V63</f>
        <v>6</v>
      </c>
      <c r="AR19" s="40">
        <f>'SEC Benches Data'!AH63</f>
        <v>12</v>
      </c>
      <c r="AS19" s="506">
        <f t="shared" si="18"/>
        <v>0.16666666666666666</v>
      </c>
      <c r="AT19" s="74">
        <f t="shared" si="19"/>
        <v>7.1428571428571425E-2</v>
      </c>
      <c r="AU19" s="40">
        <f>'SEC Benches Data'!M63</f>
        <v>16</v>
      </c>
      <c r="AV19" s="40">
        <f>'SEC Benches Data'!Y63</f>
        <v>19</v>
      </c>
      <c r="AW19" s="40">
        <f>'SEC Benches Data'!AK63</f>
        <v>36</v>
      </c>
      <c r="AX19" s="506">
        <f t="shared" si="20"/>
        <v>0.2857142857142857</v>
      </c>
      <c r="AY19" s="74">
        <f t="shared" si="21"/>
        <v>0.31683168316831684</v>
      </c>
    </row>
    <row r="20" spans="1:51" x14ac:dyDescent="0.25">
      <c r="A20" s="497">
        <v>44992</v>
      </c>
      <c r="B20" s="7">
        <f>'SEC Benches Data'!AO64*('SEC Benches Data'!AL64/100)</f>
        <v>189.66</v>
      </c>
      <c r="C20" s="7">
        <f>'SEC Benches Data'!AP64*('SEC Benches Data'!AM64/100)</f>
        <v>208.01</v>
      </c>
      <c r="D20" s="7">
        <f>'SEC Benches Data'!AQ64*('SEC Benches Data'!AN64/100)</f>
        <v>422.40000000000003</v>
      </c>
      <c r="E20" s="74">
        <f t="shared" ref="E20:E52" si="25">B20/C17</f>
        <v>0.32372369296943004</v>
      </c>
      <c r="F20" s="74">
        <f t="shared" ref="F20:F52" si="26">B20/D14</f>
        <v>0.2276065668202765</v>
      </c>
      <c r="G20" s="64">
        <f>'SEC Benches Data'!B64</f>
        <v>10</v>
      </c>
      <c r="H20" s="40">
        <f>'SEC Benches Data'!N64</f>
        <v>5</v>
      </c>
      <c r="I20" s="40">
        <f>'SEC Benches Data'!Z64</f>
        <v>17</v>
      </c>
      <c r="J20" s="74">
        <f t="shared" si="4"/>
        <v>0.47619047619047616</v>
      </c>
      <c r="K20" s="74">
        <f>G20/I14</f>
        <v>0.35714285714285715</v>
      </c>
      <c r="L20" s="40">
        <f>'SEC Benches Data'!C64</f>
        <v>3</v>
      </c>
      <c r="M20" s="40">
        <f>'SEC Benches Data'!O64</f>
        <v>12</v>
      </c>
      <c r="N20" s="40">
        <f>'SEC Benches Data'!AA64</f>
        <v>23</v>
      </c>
      <c r="O20" s="506">
        <f t="shared" si="6"/>
        <v>0.12</v>
      </c>
      <c r="P20" s="74">
        <f t="shared" si="7"/>
        <v>4.6875E-2</v>
      </c>
      <c r="Q20" s="40">
        <f>'SEC Benches Data'!D64</f>
        <v>37</v>
      </c>
      <c r="R20" s="40">
        <f>'SEC Benches Data'!P64</f>
        <v>6</v>
      </c>
      <c r="S20" s="40">
        <f>'SEC Benches Data'!AB64</f>
        <v>10</v>
      </c>
      <c r="T20" s="506">
        <f t="shared" si="8"/>
        <v>3.0833333333333335</v>
      </c>
      <c r="U20" s="74">
        <f t="shared" si="9"/>
        <v>1.6818181818181819</v>
      </c>
      <c r="V20" s="40">
        <f>'SEC Benches Data'!E64</f>
        <v>21</v>
      </c>
      <c r="W20" s="40">
        <f>'SEC Benches Data'!Q64</f>
        <v>28</v>
      </c>
      <c r="X20" s="40">
        <f>'SEC Benches Data'!AC64</f>
        <v>37</v>
      </c>
      <c r="Y20" s="506">
        <f t="shared" si="10"/>
        <v>0.39622641509433965</v>
      </c>
      <c r="Z20" s="74">
        <f t="shared" si="11"/>
        <v>0.36842105263157893</v>
      </c>
      <c r="AA20" s="40">
        <f>'SEC Benches Data'!J64</f>
        <v>4</v>
      </c>
      <c r="AB20" s="40">
        <f>'SEC Benches Data'!V64</f>
        <v>6</v>
      </c>
      <c r="AC20" s="40">
        <f>'SEC Benches Data'!AH64</f>
        <v>10</v>
      </c>
      <c r="AD20" s="506">
        <f t="shared" si="12"/>
        <v>0.36363636363636365</v>
      </c>
      <c r="AE20" s="74">
        <f t="shared" si="13"/>
        <v>0.15384615384615385</v>
      </c>
      <c r="AF20" s="40">
        <f>'SEC Benches Data'!G64</f>
        <v>12</v>
      </c>
      <c r="AG20" s="40">
        <f>'SEC Benches Data'!S64</f>
        <v>24</v>
      </c>
      <c r="AH20" s="40">
        <f>'SEC Benches Data'!AE64</f>
        <v>46</v>
      </c>
      <c r="AI20" s="506">
        <f t="shared" si="14"/>
        <v>0.19672131147540983</v>
      </c>
      <c r="AJ20" s="74">
        <f t="shared" si="15"/>
        <v>0.15384615384615385</v>
      </c>
      <c r="AK20" s="40">
        <f>'SEC Benches Data'!H64</f>
        <v>18</v>
      </c>
      <c r="AL20" s="40">
        <f>'SEC Benches Data'!T64</f>
        <v>24</v>
      </c>
      <c r="AM20" s="40">
        <f>'SEC Benches Data'!AF64</f>
        <v>45</v>
      </c>
      <c r="AN20" s="506">
        <f t="shared" si="16"/>
        <v>0.23076923076923078</v>
      </c>
      <c r="AO20" s="74">
        <f t="shared" si="17"/>
        <v>0.31034482758620691</v>
      </c>
      <c r="AP20" s="40">
        <f>'SEC Benches Data'!J64</f>
        <v>4</v>
      </c>
      <c r="AQ20" s="40">
        <f>'SEC Benches Data'!V64</f>
        <v>6</v>
      </c>
      <c r="AR20" s="40">
        <f>'SEC Benches Data'!AH64</f>
        <v>10</v>
      </c>
      <c r="AS20" s="506">
        <f t="shared" si="18"/>
        <v>0.36363636363636365</v>
      </c>
      <c r="AT20" s="74">
        <f t="shared" si="19"/>
        <v>0.15384615384615385</v>
      </c>
      <c r="AU20" s="40">
        <f>'SEC Benches Data'!M64</f>
        <v>18</v>
      </c>
      <c r="AV20" s="40">
        <f>'SEC Benches Data'!Y64</f>
        <v>10</v>
      </c>
      <c r="AW20" s="40">
        <f>'SEC Benches Data'!AK64</f>
        <v>24</v>
      </c>
      <c r="AX20" s="506">
        <f t="shared" si="20"/>
        <v>0.5</v>
      </c>
      <c r="AY20" s="74">
        <f t="shared" si="21"/>
        <v>0.33333333333333331</v>
      </c>
    </row>
    <row r="21" spans="1:51" x14ac:dyDescent="0.25">
      <c r="A21" s="497">
        <v>45020</v>
      </c>
      <c r="B21" s="7">
        <f>'SEC Benches Data'!AO65*('SEC Benches Data'!AL65/100)</f>
        <v>258.99</v>
      </c>
      <c r="C21" s="7">
        <f>'SEC Benches Data'!AP65*('SEC Benches Data'!AM65/100)</f>
        <v>307.71999999999997</v>
      </c>
      <c r="D21" s="7">
        <f>'SEC Benches Data'!AQ65*('SEC Benches Data'!AN65/100)</f>
        <v>344.65</v>
      </c>
      <c r="E21" s="74">
        <f t="shared" si="25"/>
        <v>0.66817161579938611</v>
      </c>
      <c r="F21" s="74">
        <f t="shared" si="26"/>
        <v>0.28656944321501288</v>
      </c>
      <c r="G21" s="64">
        <f>'SEC Benches Data'!B65</f>
        <v>9</v>
      </c>
      <c r="H21" s="40">
        <f>'SEC Benches Data'!N65</f>
        <v>10</v>
      </c>
      <c r="I21" s="40">
        <f>'SEC Benches Data'!Z65</f>
        <v>15</v>
      </c>
      <c r="J21" s="74">
        <f t="shared" si="4"/>
        <v>0.69230769230769229</v>
      </c>
      <c r="K21" s="74">
        <f t="shared" si="5"/>
        <v>0.27272727272727271</v>
      </c>
      <c r="L21" s="40">
        <f>'SEC Benches Data'!C65</f>
        <v>14</v>
      </c>
      <c r="M21" s="40">
        <f>'SEC Benches Data'!O65</f>
        <v>18</v>
      </c>
      <c r="N21" s="40">
        <f>'SEC Benches Data'!AA65</f>
        <v>17</v>
      </c>
      <c r="O21" s="506">
        <f t="shared" si="6"/>
        <v>0.73684210526315785</v>
      </c>
      <c r="P21" s="74">
        <f t="shared" si="7"/>
        <v>0.4</v>
      </c>
      <c r="Q21" s="40">
        <f>'SEC Benches Data'!D65</f>
        <v>14</v>
      </c>
      <c r="R21" s="40">
        <f>'SEC Benches Data'!P65</f>
        <v>0</v>
      </c>
      <c r="S21" s="40">
        <f>'SEC Benches Data'!AB65</f>
        <v>2</v>
      </c>
      <c r="T21" s="506">
        <f t="shared" si="8"/>
        <v>2</v>
      </c>
      <c r="U21" s="74">
        <f t="shared" si="9"/>
        <v>0.41176470588235292</v>
      </c>
      <c r="V21" s="40">
        <f>'SEC Benches Data'!E65</f>
        <v>29</v>
      </c>
      <c r="W21" s="40">
        <f>'SEC Benches Data'!Q65</f>
        <v>37</v>
      </c>
      <c r="X21" s="40">
        <f>'SEC Benches Data'!AC65</f>
        <v>26</v>
      </c>
      <c r="Y21" s="506">
        <f t="shared" si="10"/>
        <v>0.56862745098039214</v>
      </c>
      <c r="Z21" s="74">
        <f t="shared" si="11"/>
        <v>0.46774193548387094</v>
      </c>
      <c r="AA21" s="40">
        <f>'SEC Benches Data'!J65</f>
        <v>5</v>
      </c>
      <c r="AB21" s="40">
        <f>'SEC Benches Data'!V65</f>
        <v>7</v>
      </c>
      <c r="AC21" s="40">
        <f>'SEC Benches Data'!AH65</f>
        <v>8</v>
      </c>
      <c r="AD21" s="506">
        <f t="shared" si="12"/>
        <v>0.55555555555555558</v>
      </c>
      <c r="AE21" s="74">
        <f t="shared" si="13"/>
        <v>0.5</v>
      </c>
      <c r="AF21" s="40">
        <f>'SEC Benches Data'!G65</f>
        <v>25</v>
      </c>
      <c r="AG21" s="40">
        <f>'SEC Benches Data'!S65</f>
        <v>28</v>
      </c>
      <c r="AH21" s="40">
        <f>'SEC Benches Data'!AE65</f>
        <v>39</v>
      </c>
      <c r="AI21" s="506">
        <f t="shared" si="14"/>
        <v>0.54347826086956519</v>
      </c>
      <c r="AJ21" s="74">
        <f t="shared" si="15"/>
        <v>0.27173913043478259</v>
      </c>
      <c r="AK21" s="40">
        <f>'SEC Benches Data'!H65</f>
        <v>30</v>
      </c>
      <c r="AL21" s="40">
        <f>'SEC Benches Data'!T65</f>
        <v>32</v>
      </c>
      <c r="AM21" s="40">
        <f>'SEC Benches Data'!AF65</f>
        <v>35</v>
      </c>
      <c r="AN21" s="506">
        <f t="shared" si="16"/>
        <v>0.66666666666666663</v>
      </c>
      <c r="AO21" s="74">
        <f t="shared" si="17"/>
        <v>0.46153846153846156</v>
      </c>
      <c r="AP21" s="40">
        <f>'SEC Benches Data'!J65</f>
        <v>5</v>
      </c>
      <c r="AQ21" s="40">
        <f>'SEC Benches Data'!V65</f>
        <v>7</v>
      </c>
      <c r="AR21" s="40">
        <f>'SEC Benches Data'!AH65</f>
        <v>8</v>
      </c>
      <c r="AS21" s="506">
        <f t="shared" si="18"/>
        <v>0.55555555555555558</v>
      </c>
      <c r="AT21" s="74">
        <f t="shared" si="19"/>
        <v>0.5</v>
      </c>
      <c r="AU21" s="40">
        <f>'SEC Benches Data'!M65</f>
        <v>19</v>
      </c>
      <c r="AV21" s="40">
        <f>'SEC Benches Data'!Y65</f>
        <v>19</v>
      </c>
      <c r="AW21" s="40">
        <f>'SEC Benches Data'!AK65</f>
        <v>25</v>
      </c>
      <c r="AX21" s="506">
        <f t="shared" si="20"/>
        <v>0.82608695652173914</v>
      </c>
      <c r="AY21" s="74">
        <f t="shared" si="21"/>
        <v>0.296875</v>
      </c>
    </row>
    <row r="22" spans="1:51" x14ac:dyDescent="0.25">
      <c r="A22" s="497">
        <v>45047</v>
      </c>
      <c r="B22" s="7">
        <f>'SEC Benches Data'!AO66*('SEC Benches Data'!AL66/100)</f>
        <v>278.10000000000002</v>
      </c>
      <c r="C22" s="7">
        <f>'SEC Benches Data'!AP66*('SEC Benches Data'!AM66/100)</f>
        <v>389.36</v>
      </c>
      <c r="D22" s="7">
        <f>'SEC Benches Data'!AQ66*('SEC Benches Data'!AN66/100)</f>
        <v>564.25</v>
      </c>
      <c r="E22" s="74">
        <f t="shared" si="25"/>
        <v>0.86302135054617679</v>
      </c>
      <c r="F22" s="74">
        <f t="shared" si="26"/>
        <v>0.31248946570032027</v>
      </c>
      <c r="G22" s="64">
        <f>'SEC Benches Data'!B66</f>
        <v>8</v>
      </c>
      <c r="H22" s="40">
        <f>'SEC Benches Data'!N66</f>
        <v>12</v>
      </c>
      <c r="I22" s="40">
        <f>'SEC Benches Data'!Z66</f>
        <v>16</v>
      </c>
      <c r="J22" s="74">
        <f t="shared" si="4"/>
        <v>0.61538461538461542</v>
      </c>
      <c r="K22" s="74">
        <f t="shared" si="5"/>
        <v>0.25806451612903225</v>
      </c>
      <c r="L22" s="40">
        <f>'SEC Benches Data'!C66</f>
        <v>30</v>
      </c>
      <c r="M22" s="40">
        <f>'SEC Benches Data'!O66</f>
        <v>37</v>
      </c>
      <c r="N22" s="40">
        <f>'SEC Benches Data'!AA66</f>
        <v>53</v>
      </c>
      <c r="O22" s="506">
        <f t="shared" si="6"/>
        <v>4.2857142857142856</v>
      </c>
      <c r="P22" s="74">
        <f t="shared" si="7"/>
        <v>1</v>
      </c>
      <c r="Q22" s="40">
        <f>'SEC Benches Data'!D66</f>
        <v>18</v>
      </c>
      <c r="R22" s="40">
        <f>'SEC Benches Data'!P66</f>
        <v>1</v>
      </c>
      <c r="S22" s="40">
        <f>'SEC Benches Data'!AB66</f>
        <v>2</v>
      </c>
      <c r="T22" s="506">
        <f t="shared" si="8"/>
        <v>3.6</v>
      </c>
      <c r="U22" s="74">
        <f t="shared" si="9"/>
        <v>0.54545454545454541</v>
      </c>
      <c r="V22" s="40">
        <f>'SEC Benches Data'!E66</f>
        <v>30</v>
      </c>
      <c r="W22" s="40">
        <f>'SEC Benches Data'!Q66</f>
        <v>45</v>
      </c>
      <c r="X22" s="40">
        <f>'SEC Benches Data'!AC66</f>
        <v>58</v>
      </c>
      <c r="Y22" s="506">
        <f t="shared" si="10"/>
        <v>1.0714285714285714</v>
      </c>
      <c r="Z22" s="74">
        <f t="shared" si="11"/>
        <v>0.47619047619047616</v>
      </c>
      <c r="AA22" s="40">
        <f>'SEC Benches Data'!J66</f>
        <v>16</v>
      </c>
      <c r="AB22" s="40">
        <f>'SEC Benches Data'!V66</f>
        <v>14</v>
      </c>
      <c r="AC22" s="40">
        <f>'SEC Benches Data'!AH66</f>
        <v>29</v>
      </c>
      <c r="AD22" s="506">
        <f t="shared" si="12"/>
        <v>2.6666666666666665</v>
      </c>
      <c r="AE22" s="74">
        <f t="shared" si="13"/>
        <v>1.6</v>
      </c>
      <c r="AF22" s="40">
        <f>'SEC Benches Data'!G66</f>
        <v>22</v>
      </c>
      <c r="AG22" s="40">
        <f>'SEC Benches Data'!S66</f>
        <v>36</v>
      </c>
      <c r="AH22" s="40">
        <f>'SEC Benches Data'!AE66</f>
        <v>69</v>
      </c>
      <c r="AI22" s="506">
        <f t="shared" si="14"/>
        <v>0.75862068965517238</v>
      </c>
      <c r="AJ22" s="74">
        <f t="shared" si="15"/>
        <v>0.26190476190476192</v>
      </c>
      <c r="AK22" s="40">
        <f>'SEC Benches Data'!H66</f>
        <v>28</v>
      </c>
      <c r="AL22" s="40">
        <f>'SEC Benches Data'!T66</f>
        <v>38</v>
      </c>
      <c r="AM22" s="40">
        <f>'SEC Benches Data'!AF66</f>
        <v>53</v>
      </c>
      <c r="AN22" s="506">
        <f t="shared" si="16"/>
        <v>1.1200000000000001</v>
      </c>
      <c r="AO22" s="74">
        <f t="shared" si="17"/>
        <v>0.33734939759036142</v>
      </c>
      <c r="AP22" s="40">
        <f>'SEC Benches Data'!J66</f>
        <v>16</v>
      </c>
      <c r="AQ22" s="40">
        <f>'SEC Benches Data'!V66</f>
        <v>14</v>
      </c>
      <c r="AR22" s="40">
        <f>'SEC Benches Data'!AH66</f>
        <v>29</v>
      </c>
      <c r="AS22" s="506">
        <f t="shared" si="18"/>
        <v>2.6666666666666665</v>
      </c>
      <c r="AT22" s="74">
        <f t="shared" si="19"/>
        <v>1.6</v>
      </c>
      <c r="AU22" s="40">
        <f>'SEC Benches Data'!M66</f>
        <v>15</v>
      </c>
      <c r="AV22" s="40">
        <f>'SEC Benches Data'!Y66</f>
        <v>21</v>
      </c>
      <c r="AW22" s="40">
        <f>'SEC Benches Data'!AK66</f>
        <v>30</v>
      </c>
      <c r="AX22" s="506">
        <f t="shared" si="20"/>
        <v>0.78947368421052633</v>
      </c>
      <c r="AY22" s="74">
        <f t="shared" si="21"/>
        <v>0.24590163934426229</v>
      </c>
    </row>
    <row r="23" spans="1:51" x14ac:dyDescent="0.25">
      <c r="B23" s="7">
        <f>'SEC Benches Data'!AO67*('SEC Benches Data'!AL67/100)</f>
        <v>0</v>
      </c>
      <c r="C23" s="7">
        <f>'SEC Benches Data'!AP67*('SEC Benches Data'!AM67/100)</f>
        <v>0</v>
      </c>
      <c r="D23" s="7">
        <f>'SEC Benches Data'!AQ67*('SEC Benches Data'!AN67/100)</f>
        <v>0</v>
      </c>
      <c r="E23" s="74">
        <f t="shared" si="25"/>
        <v>0</v>
      </c>
      <c r="F23" s="74">
        <f t="shared" si="26"/>
        <v>0</v>
      </c>
      <c r="G23" s="64">
        <f>'SEC Benches Data'!B67</f>
        <v>0</v>
      </c>
      <c r="H23" s="40">
        <f>'SEC Benches Data'!N67</f>
        <v>0</v>
      </c>
      <c r="I23" s="40">
        <f>'SEC Benches Data'!Z67</f>
        <v>0</v>
      </c>
      <c r="J23" s="74">
        <f t="shared" si="4"/>
        <v>0</v>
      </c>
      <c r="K23" s="74">
        <f t="shared" si="5"/>
        <v>0</v>
      </c>
      <c r="L23" s="40">
        <f>'SEC Benches Data'!C67</f>
        <v>0</v>
      </c>
      <c r="M23" s="40">
        <f>'SEC Benches Data'!O67</f>
        <v>0</v>
      </c>
      <c r="N23" s="40">
        <f>'SEC Benches Data'!AA67</f>
        <v>0</v>
      </c>
      <c r="O23" s="506">
        <f t="shared" si="6"/>
        <v>0</v>
      </c>
      <c r="P23" s="74">
        <f t="shared" si="7"/>
        <v>0</v>
      </c>
      <c r="Q23" s="40">
        <f>'SEC Benches Data'!D67</f>
        <v>0</v>
      </c>
      <c r="R23" s="40">
        <f>'SEC Benches Data'!P67</f>
        <v>0</v>
      </c>
      <c r="S23" s="40">
        <f>'SEC Benches Data'!AB67</f>
        <v>0</v>
      </c>
      <c r="T23" s="506">
        <f t="shared" si="8"/>
        <v>0</v>
      </c>
      <c r="U23" s="74">
        <f t="shared" si="9"/>
        <v>0</v>
      </c>
      <c r="V23" s="40">
        <f>'SEC Benches Data'!E67</f>
        <v>0</v>
      </c>
      <c r="W23" s="40">
        <f>'SEC Benches Data'!Q67</f>
        <v>0</v>
      </c>
      <c r="X23" s="40">
        <f>'SEC Benches Data'!AC67</f>
        <v>0</v>
      </c>
      <c r="Y23" s="506">
        <f t="shared" si="10"/>
        <v>0</v>
      </c>
      <c r="Z23" s="74">
        <f t="shared" si="11"/>
        <v>0</v>
      </c>
      <c r="AA23" s="40">
        <f>'SEC Benches Data'!J67</f>
        <v>0</v>
      </c>
      <c r="AB23" s="40">
        <f>'SEC Benches Data'!V67</f>
        <v>0</v>
      </c>
      <c r="AC23" s="40">
        <f>'SEC Benches Data'!AH67</f>
        <v>0</v>
      </c>
      <c r="AD23" s="506">
        <f t="shared" si="12"/>
        <v>0</v>
      </c>
      <c r="AE23" s="74">
        <f t="shared" si="13"/>
        <v>0</v>
      </c>
      <c r="AF23" s="40">
        <f>'SEC Benches Data'!G67</f>
        <v>0</v>
      </c>
      <c r="AG23" s="40">
        <f>'SEC Benches Data'!S67</f>
        <v>0</v>
      </c>
      <c r="AH23" s="40">
        <f>'SEC Benches Data'!AE67</f>
        <v>0</v>
      </c>
      <c r="AI23" s="506">
        <f t="shared" si="14"/>
        <v>0</v>
      </c>
      <c r="AJ23" s="74">
        <f t="shared" si="15"/>
        <v>0</v>
      </c>
      <c r="AK23" s="40">
        <f>'SEC Benches Data'!H67</f>
        <v>0</v>
      </c>
      <c r="AL23" s="40">
        <f>'SEC Benches Data'!T67</f>
        <v>0</v>
      </c>
      <c r="AM23" s="40">
        <f>'SEC Benches Data'!AF67</f>
        <v>0</v>
      </c>
      <c r="AN23" s="506">
        <f t="shared" si="16"/>
        <v>0</v>
      </c>
      <c r="AO23" s="74">
        <f t="shared" si="17"/>
        <v>0</v>
      </c>
      <c r="AP23" s="40">
        <f>'SEC Benches Data'!J67</f>
        <v>0</v>
      </c>
      <c r="AQ23" s="40">
        <f>'SEC Benches Data'!V67</f>
        <v>0</v>
      </c>
      <c r="AR23" s="40">
        <f>'SEC Benches Data'!AH67</f>
        <v>0</v>
      </c>
      <c r="AS23" s="506">
        <f t="shared" si="18"/>
        <v>0</v>
      </c>
      <c r="AT23" s="74">
        <f t="shared" si="19"/>
        <v>0</v>
      </c>
      <c r="AU23" s="40">
        <f>'SEC Benches Data'!M67</f>
        <v>0</v>
      </c>
      <c r="AV23" s="40">
        <f>'SEC Benches Data'!Y67</f>
        <v>0</v>
      </c>
      <c r="AW23" s="40">
        <f>'SEC Benches Data'!AK67</f>
        <v>0</v>
      </c>
      <c r="AX23" s="506">
        <f t="shared" si="20"/>
        <v>0</v>
      </c>
      <c r="AY23" s="74">
        <f t="shared" si="21"/>
        <v>0</v>
      </c>
    </row>
    <row r="24" spans="1:51" x14ac:dyDescent="0.25">
      <c r="B24" s="7">
        <f>'SEC Benches Data'!AO68*('SEC Benches Data'!AL68/100)</f>
        <v>0</v>
      </c>
      <c r="C24" s="7">
        <f>'SEC Benches Data'!AP68*('SEC Benches Data'!AM68/100)</f>
        <v>0</v>
      </c>
      <c r="D24" s="7">
        <f>'SEC Benches Data'!AQ68*('SEC Benches Data'!AN68/100)</f>
        <v>0</v>
      </c>
      <c r="E24" s="74">
        <f t="shared" si="25"/>
        <v>0</v>
      </c>
      <c r="F24" s="74">
        <f t="shared" si="26"/>
        <v>0</v>
      </c>
      <c r="G24" s="64">
        <f>'SEC Benches Data'!B68</f>
        <v>0</v>
      </c>
      <c r="H24" s="40">
        <f>'SEC Benches Data'!N68</f>
        <v>0</v>
      </c>
      <c r="I24" s="40">
        <f>'SEC Benches Data'!Z68</f>
        <v>0</v>
      </c>
      <c r="J24" s="74">
        <f t="shared" si="4"/>
        <v>0</v>
      </c>
      <c r="K24" s="74">
        <f t="shared" si="5"/>
        <v>0</v>
      </c>
      <c r="L24" s="40">
        <f>'SEC Benches Data'!C68</f>
        <v>0</v>
      </c>
      <c r="M24" s="40">
        <f>'SEC Benches Data'!O68</f>
        <v>0</v>
      </c>
      <c r="N24" s="40">
        <f>'SEC Benches Data'!AA68</f>
        <v>0</v>
      </c>
      <c r="O24" s="506">
        <f t="shared" si="6"/>
        <v>0</v>
      </c>
      <c r="P24" s="74">
        <f t="shared" si="7"/>
        <v>0</v>
      </c>
      <c r="Q24" s="40">
        <f>'SEC Benches Data'!D68</f>
        <v>0</v>
      </c>
      <c r="R24" s="40">
        <f>'SEC Benches Data'!P68</f>
        <v>0</v>
      </c>
      <c r="S24" s="40">
        <f>'SEC Benches Data'!AB68</f>
        <v>0</v>
      </c>
      <c r="T24" s="506" t="e">
        <f t="shared" si="8"/>
        <v>#DIV/0!</v>
      </c>
      <c r="U24" s="74">
        <f t="shared" si="9"/>
        <v>0</v>
      </c>
      <c r="V24" s="40">
        <f>'SEC Benches Data'!E68</f>
        <v>0</v>
      </c>
      <c r="W24" s="40">
        <f>'SEC Benches Data'!Q68</f>
        <v>0</v>
      </c>
      <c r="X24" s="40">
        <f>'SEC Benches Data'!AC68</f>
        <v>0</v>
      </c>
      <c r="Y24" s="506">
        <f t="shared" si="10"/>
        <v>0</v>
      </c>
      <c r="Z24" s="74">
        <f t="shared" si="11"/>
        <v>0</v>
      </c>
      <c r="AA24" s="40">
        <f>'SEC Benches Data'!J68</f>
        <v>0</v>
      </c>
      <c r="AB24" s="40">
        <f>'SEC Benches Data'!V68</f>
        <v>0</v>
      </c>
      <c r="AC24" s="40">
        <f>'SEC Benches Data'!AH68</f>
        <v>0</v>
      </c>
      <c r="AD24" s="506">
        <f t="shared" si="12"/>
        <v>0</v>
      </c>
      <c r="AE24" s="74">
        <f t="shared" si="13"/>
        <v>0</v>
      </c>
      <c r="AF24" s="40">
        <f>'SEC Benches Data'!G68</f>
        <v>0</v>
      </c>
      <c r="AG24" s="40">
        <f>'SEC Benches Data'!S68</f>
        <v>0</v>
      </c>
      <c r="AH24" s="40">
        <f>'SEC Benches Data'!AE68</f>
        <v>0</v>
      </c>
      <c r="AI24" s="506">
        <f t="shared" si="14"/>
        <v>0</v>
      </c>
      <c r="AJ24" s="74">
        <f t="shared" si="15"/>
        <v>0</v>
      </c>
      <c r="AK24" s="40">
        <f>'SEC Benches Data'!H68</f>
        <v>0</v>
      </c>
      <c r="AL24" s="40">
        <f>'SEC Benches Data'!T68</f>
        <v>0</v>
      </c>
      <c r="AM24" s="40">
        <f>'SEC Benches Data'!AF68</f>
        <v>0</v>
      </c>
      <c r="AN24" s="506">
        <f t="shared" si="16"/>
        <v>0</v>
      </c>
      <c r="AO24" s="74">
        <f t="shared" si="17"/>
        <v>0</v>
      </c>
      <c r="AP24" s="40">
        <f>'SEC Benches Data'!J68</f>
        <v>0</v>
      </c>
      <c r="AQ24" s="40">
        <f>'SEC Benches Data'!V68</f>
        <v>0</v>
      </c>
      <c r="AR24" s="40">
        <f>'SEC Benches Data'!AH68</f>
        <v>0</v>
      </c>
      <c r="AS24" s="506">
        <f t="shared" si="18"/>
        <v>0</v>
      </c>
      <c r="AT24" s="74">
        <f t="shared" si="19"/>
        <v>0</v>
      </c>
      <c r="AU24" s="40">
        <f>'SEC Benches Data'!M68</f>
        <v>0</v>
      </c>
      <c r="AV24" s="40">
        <f>'SEC Benches Data'!Y68</f>
        <v>0</v>
      </c>
      <c r="AW24" s="40">
        <f>'SEC Benches Data'!AK68</f>
        <v>0</v>
      </c>
      <c r="AX24" s="506">
        <f t="shared" si="20"/>
        <v>0</v>
      </c>
      <c r="AY24" s="74">
        <f t="shared" si="21"/>
        <v>0</v>
      </c>
    </row>
    <row r="25" spans="1:51" x14ac:dyDescent="0.25">
      <c r="B25" s="7">
        <f>'SEC Benches Data'!AO69*('SEC Benches Data'!AL69/100)</f>
        <v>0</v>
      </c>
      <c r="C25" s="7">
        <f>'SEC Benches Data'!AP69*('SEC Benches Data'!AM69/100)</f>
        <v>0</v>
      </c>
      <c r="D25" s="7">
        <f>'SEC Benches Data'!AQ69*('SEC Benches Data'!AN69/100)</f>
        <v>0</v>
      </c>
      <c r="E25" s="74">
        <f t="shared" si="25"/>
        <v>0</v>
      </c>
      <c r="F25" s="74">
        <f t="shared" si="26"/>
        <v>0</v>
      </c>
      <c r="G25" s="64">
        <f>'SEC Benches Data'!B69</f>
        <v>0</v>
      </c>
      <c r="H25" s="40">
        <f>'SEC Benches Data'!N69</f>
        <v>0</v>
      </c>
      <c r="I25" s="40">
        <f>'SEC Benches Data'!Z69</f>
        <v>0</v>
      </c>
      <c r="J25" s="74">
        <f t="shared" si="4"/>
        <v>0</v>
      </c>
      <c r="K25" s="74">
        <f t="shared" si="5"/>
        <v>0</v>
      </c>
      <c r="L25" s="40">
        <f>'SEC Benches Data'!C69</f>
        <v>0</v>
      </c>
      <c r="M25" s="40">
        <f>'SEC Benches Data'!O69</f>
        <v>0</v>
      </c>
      <c r="N25" s="40">
        <f>'SEC Benches Data'!AA69</f>
        <v>0</v>
      </c>
      <c r="O25" s="506">
        <f t="shared" si="6"/>
        <v>0</v>
      </c>
      <c r="P25" s="74">
        <f t="shared" si="7"/>
        <v>0</v>
      </c>
      <c r="Q25" s="40">
        <f>'SEC Benches Data'!D69</f>
        <v>0</v>
      </c>
      <c r="R25" s="40">
        <f>'SEC Benches Data'!P69</f>
        <v>0</v>
      </c>
      <c r="S25" s="40">
        <f>'SEC Benches Data'!AB69</f>
        <v>0</v>
      </c>
      <c r="T25" s="506">
        <f t="shared" si="8"/>
        <v>0</v>
      </c>
      <c r="U25" s="74">
        <f t="shared" si="9"/>
        <v>0</v>
      </c>
      <c r="V25" s="40">
        <f>'SEC Benches Data'!E69</f>
        <v>0</v>
      </c>
      <c r="W25" s="40">
        <f>'SEC Benches Data'!Q69</f>
        <v>0</v>
      </c>
      <c r="X25" s="40">
        <f>'SEC Benches Data'!AC69</f>
        <v>0</v>
      </c>
      <c r="Y25" s="506">
        <f t="shared" si="10"/>
        <v>0</v>
      </c>
      <c r="Z25" s="74">
        <f t="shared" si="11"/>
        <v>0</v>
      </c>
      <c r="AA25" s="40">
        <f>'SEC Benches Data'!J69</f>
        <v>0</v>
      </c>
      <c r="AB25" s="40">
        <f>'SEC Benches Data'!V69</f>
        <v>0</v>
      </c>
      <c r="AC25" s="40">
        <f>'SEC Benches Data'!AH69</f>
        <v>0</v>
      </c>
      <c r="AD25" s="506">
        <f t="shared" si="12"/>
        <v>0</v>
      </c>
      <c r="AE25" s="74">
        <f t="shared" si="13"/>
        <v>0</v>
      </c>
      <c r="AF25" s="40">
        <f>'SEC Benches Data'!G69</f>
        <v>0</v>
      </c>
      <c r="AG25" s="40">
        <f>'SEC Benches Data'!S69</f>
        <v>0</v>
      </c>
      <c r="AH25" s="40">
        <f>'SEC Benches Data'!AE69</f>
        <v>0</v>
      </c>
      <c r="AI25" s="506">
        <f t="shared" si="14"/>
        <v>0</v>
      </c>
      <c r="AJ25" s="74">
        <f t="shared" si="15"/>
        <v>0</v>
      </c>
      <c r="AK25" s="40">
        <f>'SEC Benches Data'!H69</f>
        <v>0</v>
      </c>
      <c r="AL25" s="40">
        <f>'SEC Benches Data'!T69</f>
        <v>0</v>
      </c>
      <c r="AM25" s="40">
        <f>'SEC Benches Data'!AF69</f>
        <v>0</v>
      </c>
      <c r="AN25" s="506">
        <f t="shared" si="16"/>
        <v>0</v>
      </c>
      <c r="AO25" s="74">
        <f t="shared" si="17"/>
        <v>0</v>
      </c>
      <c r="AP25" s="40">
        <f>'SEC Benches Data'!J69</f>
        <v>0</v>
      </c>
      <c r="AQ25" s="40">
        <f>'SEC Benches Data'!V69</f>
        <v>0</v>
      </c>
      <c r="AR25" s="40">
        <f>'SEC Benches Data'!AH69</f>
        <v>0</v>
      </c>
      <c r="AS25" s="506">
        <f t="shared" si="18"/>
        <v>0</v>
      </c>
      <c r="AT25" s="74">
        <f t="shared" si="19"/>
        <v>0</v>
      </c>
      <c r="AU25" s="40">
        <f>'SEC Benches Data'!M69</f>
        <v>0</v>
      </c>
      <c r="AV25" s="40">
        <f>'SEC Benches Data'!Y69</f>
        <v>0</v>
      </c>
      <c r="AW25" s="40">
        <f>'SEC Benches Data'!AK69</f>
        <v>0</v>
      </c>
      <c r="AX25" s="506">
        <f t="shared" si="20"/>
        <v>0</v>
      </c>
      <c r="AY25" s="74">
        <f t="shared" si="21"/>
        <v>0</v>
      </c>
    </row>
    <row r="26" spans="1:51" x14ac:dyDescent="0.25">
      <c r="B26" s="7">
        <f>'SEC Benches Data'!AO70*('SEC Benches Data'!AL70/100)</f>
        <v>0</v>
      </c>
      <c r="C26" s="7">
        <f>'SEC Benches Data'!AP70*('SEC Benches Data'!AM70/100)</f>
        <v>0</v>
      </c>
      <c r="D26" s="7">
        <f>'SEC Benches Data'!AQ70*('SEC Benches Data'!AN70/100)</f>
        <v>0</v>
      </c>
      <c r="E26" s="74" t="e">
        <f t="shared" si="25"/>
        <v>#DIV/0!</v>
      </c>
      <c r="F26" s="74">
        <f t="shared" si="26"/>
        <v>0</v>
      </c>
      <c r="G26" s="64">
        <f>'SEC Benches Data'!B70</f>
        <v>0</v>
      </c>
      <c r="H26" s="40">
        <f>'SEC Benches Data'!N70</f>
        <v>0</v>
      </c>
      <c r="I26" s="40">
        <f>'SEC Benches Data'!Z70</f>
        <v>0</v>
      </c>
      <c r="J26" s="74" t="e">
        <f t="shared" si="4"/>
        <v>#DIV/0!</v>
      </c>
      <c r="K26" s="74">
        <f t="shared" si="5"/>
        <v>0</v>
      </c>
      <c r="L26" s="40">
        <f>'SEC Benches Data'!C70</f>
        <v>0</v>
      </c>
      <c r="M26" s="40">
        <f>'SEC Benches Data'!O70</f>
        <v>0</v>
      </c>
      <c r="N26" s="40">
        <f>'SEC Benches Data'!AA70</f>
        <v>0</v>
      </c>
      <c r="O26" s="506" t="e">
        <f t="shared" si="6"/>
        <v>#DIV/0!</v>
      </c>
      <c r="P26" s="74">
        <f t="shared" si="7"/>
        <v>0</v>
      </c>
      <c r="Q26" s="40">
        <f>'SEC Benches Data'!D70</f>
        <v>0</v>
      </c>
      <c r="R26" s="40">
        <f>'SEC Benches Data'!P70</f>
        <v>0</v>
      </c>
      <c r="S26" s="40">
        <f>'SEC Benches Data'!AB70</f>
        <v>0</v>
      </c>
      <c r="T26" s="506" t="e">
        <f t="shared" si="8"/>
        <v>#DIV/0!</v>
      </c>
      <c r="U26" s="74">
        <f t="shared" si="9"/>
        <v>0</v>
      </c>
      <c r="V26" s="40">
        <f>'SEC Benches Data'!E70</f>
        <v>0</v>
      </c>
      <c r="W26" s="40">
        <f>'SEC Benches Data'!Q70</f>
        <v>0</v>
      </c>
      <c r="X26" s="40">
        <f>'SEC Benches Data'!AC70</f>
        <v>0</v>
      </c>
      <c r="Y26" s="506" t="e">
        <f t="shared" si="10"/>
        <v>#DIV/0!</v>
      </c>
      <c r="Z26" s="74">
        <f t="shared" si="11"/>
        <v>0</v>
      </c>
      <c r="AA26" s="40">
        <f>'SEC Benches Data'!J70</f>
        <v>0</v>
      </c>
      <c r="AB26" s="40">
        <f>'SEC Benches Data'!V70</f>
        <v>0</v>
      </c>
      <c r="AC26" s="40">
        <f>'SEC Benches Data'!AH70</f>
        <v>0</v>
      </c>
      <c r="AD26" s="506" t="e">
        <f t="shared" si="12"/>
        <v>#DIV/0!</v>
      </c>
      <c r="AE26" s="74">
        <f t="shared" si="13"/>
        <v>0</v>
      </c>
      <c r="AF26" s="40">
        <f>'SEC Benches Data'!G70</f>
        <v>0</v>
      </c>
      <c r="AG26" s="40">
        <f>'SEC Benches Data'!S70</f>
        <v>0</v>
      </c>
      <c r="AH26" s="40">
        <f>'SEC Benches Data'!AE70</f>
        <v>0</v>
      </c>
      <c r="AI26" s="506" t="e">
        <f t="shared" si="14"/>
        <v>#DIV/0!</v>
      </c>
      <c r="AJ26" s="74">
        <f t="shared" si="15"/>
        <v>0</v>
      </c>
      <c r="AK26" s="40">
        <f>'SEC Benches Data'!H70</f>
        <v>0</v>
      </c>
      <c r="AL26" s="40">
        <f>'SEC Benches Data'!T70</f>
        <v>0</v>
      </c>
      <c r="AM26" s="40">
        <f>'SEC Benches Data'!AF70</f>
        <v>0</v>
      </c>
      <c r="AN26" s="506" t="e">
        <f t="shared" si="16"/>
        <v>#DIV/0!</v>
      </c>
      <c r="AO26" s="74">
        <f t="shared" si="17"/>
        <v>0</v>
      </c>
      <c r="AP26" s="40">
        <f>'SEC Benches Data'!J70</f>
        <v>0</v>
      </c>
      <c r="AQ26" s="40">
        <f>'SEC Benches Data'!V70</f>
        <v>0</v>
      </c>
      <c r="AR26" s="40">
        <f>'SEC Benches Data'!AH70</f>
        <v>0</v>
      </c>
      <c r="AS26" s="506" t="e">
        <f t="shared" si="18"/>
        <v>#DIV/0!</v>
      </c>
      <c r="AT26" s="74">
        <f t="shared" si="19"/>
        <v>0</v>
      </c>
      <c r="AU26" s="40">
        <f>'SEC Benches Data'!M70</f>
        <v>0</v>
      </c>
      <c r="AV26" s="40">
        <f>'SEC Benches Data'!Y70</f>
        <v>0</v>
      </c>
      <c r="AW26" s="40">
        <f>'SEC Benches Data'!AK70</f>
        <v>0</v>
      </c>
      <c r="AX26" s="506" t="e">
        <f t="shared" si="20"/>
        <v>#DIV/0!</v>
      </c>
      <c r="AY26" s="74">
        <f t="shared" si="21"/>
        <v>0</v>
      </c>
    </row>
    <row r="27" spans="1:51" hidden="1" outlineLevel="1" x14ac:dyDescent="0.25">
      <c r="B27" s="7">
        <f>'SEC Benches Data'!AO71*('SEC Benches Data'!AL71/100)</f>
        <v>0</v>
      </c>
      <c r="C27" s="7">
        <f>'SEC Benches Data'!AP71*('SEC Benches Data'!AM71/100)</f>
        <v>0</v>
      </c>
      <c r="D27" s="7">
        <f>'SEC Benches Data'!AQ71*('SEC Benches Data'!AN71/100)</f>
        <v>0</v>
      </c>
      <c r="E27" s="74" t="e">
        <f t="shared" si="25"/>
        <v>#DIV/0!</v>
      </c>
      <c r="F27" s="74">
        <f t="shared" si="26"/>
        <v>0</v>
      </c>
      <c r="G27" s="64">
        <f>'SEC Benches Data'!B71</f>
        <v>0</v>
      </c>
      <c r="H27" s="40">
        <f>'SEC Benches Data'!N71</f>
        <v>0</v>
      </c>
      <c r="I27" s="40">
        <f>'SEC Benches Data'!Z71</f>
        <v>0</v>
      </c>
      <c r="J27" s="74" t="e">
        <f t="shared" si="4"/>
        <v>#DIV/0!</v>
      </c>
      <c r="K27" s="74">
        <f t="shared" si="5"/>
        <v>0</v>
      </c>
      <c r="L27" s="40">
        <f>'SEC Benches Data'!C71</f>
        <v>0</v>
      </c>
      <c r="M27" s="40">
        <f>'SEC Benches Data'!O71</f>
        <v>0</v>
      </c>
      <c r="N27" s="40">
        <f>'SEC Benches Data'!AA71</f>
        <v>0</v>
      </c>
      <c r="O27" s="506" t="e">
        <f t="shared" si="6"/>
        <v>#DIV/0!</v>
      </c>
      <c r="P27" s="74">
        <f t="shared" si="7"/>
        <v>0</v>
      </c>
      <c r="Q27" s="40">
        <f>'SEC Benches Data'!D71</f>
        <v>0</v>
      </c>
      <c r="R27" s="40">
        <f>'SEC Benches Data'!P71</f>
        <v>0</v>
      </c>
      <c r="S27" s="40">
        <f>'SEC Benches Data'!AB71</f>
        <v>0</v>
      </c>
      <c r="T27" s="506" t="e">
        <f t="shared" si="8"/>
        <v>#DIV/0!</v>
      </c>
      <c r="U27" s="74">
        <f t="shared" si="9"/>
        <v>0</v>
      </c>
      <c r="V27" s="40">
        <f>'SEC Benches Data'!E71</f>
        <v>0</v>
      </c>
      <c r="W27" s="40">
        <f>'SEC Benches Data'!Q71</f>
        <v>0</v>
      </c>
      <c r="X27" s="40">
        <f>'SEC Benches Data'!AC71</f>
        <v>0</v>
      </c>
      <c r="Y27" s="506" t="e">
        <f t="shared" si="10"/>
        <v>#DIV/0!</v>
      </c>
      <c r="Z27" s="74">
        <f t="shared" si="11"/>
        <v>0</v>
      </c>
      <c r="AA27" s="40">
        <f>'SEC Benches Data'!J71</f>
        <v>0</v>
      </c>
      <c r="AB27" s="40">
        <f>'SEC Benches Data'!V71</f>
        <v>0</v>
      </c>
      <c r="AC27" s="40">
        <f>'SEC Benches Data'!AH71</f>
        <v>0</v>
      </c>
      <c r="AD27" s="506" t="e">
        <f t="shared" si="12"/>
        <v>#DIV/0!</v>
      </c>
      <c r="AE27" s="74">
        <f t="shared" si="13"/>
        <v>0</v>
      </c>
      <c r="AF27" s="40">
        <f>'SEC Benches Data'!G71</f>
        <v>0</v>
      </c>
      <c r="AG27" s="40">
        <f>'SEC Benches Data'!S71</f>
        <v>0</v>
      </c>
      <c r="AH27" s="40">
        <f>'SEC Benches Data'!AE71</f>
        <v>0</v>
      </c>
      <c r="AI27" s="506" t="e">
        <f t="shared" si="14"/>
        <v>#DIV/0!</v>
      </c>
      <c r="AJ27" s="74">
        <f t="shared" si="15"/>
        <v>0</v>
      </c>
      <c r="AK27" s="40">
        <f>'SEC Benches Data'!H71</f>
        <v>0</v>
      </c>
      <c r="AL27" s="40">
        <f>'SEC Benches Data'!T71</f>
        <v>0</v>
      </c>
      <c r="AM27" s="40">
        <f>'SEC Benches Data'!AF71</f>
        <v>0</v>
      </c>
      <c r="AN27" s="506" t="e">
        <f t="shared" si="16"/>
        <v>#DIV/0!</v>
      </c>
      <c r="AO27" s="74">
        <f t="shared" si="17"/>
        <v>0</v>
      </c>
      <c r="AP27" s="40">
        <f>'SEC Benches Data'!J71</f>
        <v>0</v>
      </c>
      <c r="AQ27" s="40">
        <f>'SEC Benches Data'!V71</f>
        <v>0</v>
      </c>
      <c r="AR27" s="40">
        <f>'SEC Benches Data'!AH71</f>
        <v>0</v>
      </c>
      <c r="AS27" s="506" t="e">
        <f t="shared" si="18"/>
        <v>#DIV/0!</v>
      </c>
      <c r="AT27" s="74">
        <f t="shared" si="19"/>
        <v>0</v>
      </c>
      <c r="AU27" s="40">
        <f>'SEC Benches Data'!M71</f>
        <v>0</v>
      </c>
      <c r="AV27" s="40">
        <f>'SEC Benches Data'!Y71</f>
        <v>0</v>
      </c>
      <c r="AW27" s="40">
        <f>'SEC Benches Data'!AK71</f>
        <v>0</v>
      </c>
      <c r="AX27" s="506" t="e">
        <f t="shared" si="20"/>
        <v>#DIV/0!</v>
      </c>
      <c r="AY27" s="74">
        <f t="shared" si="21"/>
        <v>0</v>
      </c>
    </row>
    <row r="28" spans="1:51" hidden="1" outlineLevel="1" x14ac:dyDescent="0.25">
      <c r="B28" s="7">
        <f>'SEC Benches Data'!AO72*('SEC Benches Data'!AL72/100)</f>
        <v>0</v>
      </c>
      <c r="C28" s="7">
        <f>'SEC Benches Data'!AP72*('SEC Benches Data'!AM72/100)</f>
        <v>0</v>
      </c>
      <c r="D28" s="7">
        <f>'SEC Benches Data'!AQ72*('SEC Benches Data'!AN72/100)</f>
        <v>0</v>
      </c>
      <c r="E28" s="74" t="e">
        <f t="shared" si="25"/>
        <v>#DIV/0!</v>
      </c>
      <c r="F28" s="74">
        <f t="shared" si="26"/>
        <v>0</v>
      </c>
      <c r="G28" s="64">
        <f>'SEC Benches Data'!B72</f>
        <v>0</v>
      </c>
      <c r="H28" s="40">
        <f>'SEC Benches Data'!N72</f>
        <v>0</v>
      </c>
      <c r="I28" s="40">
        <f>'SEC Benches Data'!Z72</f>
        <v>0</v>
      </c>
      <c r="J28" s="74" t="e">
        <f t="shared" si="4"/>
        <v>#DIV/0!</v>
      </c>
      <c r="K28" s="74">
        <f t="shared" si="5"/>
        <v>0</v>
      </c>
      <c r="L28" s="40">
        <f>'SEC Benches Data'!C72</f>
        <v>0</v>
      </c>
      <c r="M28" s="40">
        <f>'SEC Benches Data'!O72</f>
        <v>0</v>
      </c>
      <c r="N28" s="40">
        <f>'SEC Benches Data'!AA72</f>
        <v>0</v>
      </c>
      <c r="O28" s="506" t="e">
        <f t="shared" si="6"/>
        <v>#DIV/0!</v>
      </c>
      <c r="P28" s="74">
        <f t="shared" si="7"/>
        <v>0</v>
      </c>
      <c r="Q28" s="40">
        <f>'SEC Benches Data'!D72</f>
        <v>0</v>
      </c>
      <c r="R28" s="40">
        <f>'SEC Benches Data'!P72</f>
        <v>0</v>
      </c>
      <c r="S28" s="40">
        <f>'SEC Benches Data'!AB72</f>
        <v>0</v>
      </c>
      <c r="T28" s="506" t="e">
        <f t="shared" si="8"/>
        <v>#DIV/0!</v>
      </c>
      <c r="U28" s="74">
        <f t="shared" si="9"/>
        <v>0</v>
      </c>
      <c r="V28" s="40">
        <f>'SEC Benches Data'!E72</f>
        <v>0</v>
      </c>
      <c r="W28" s="40">
        <f>'SEC Benches Data'!Q72</f>
        <v>0</v>
      </c>
      <c r="X28" s="40">
        <f>'SEC Benches Data'!AC72</f>
        <v>0</v>
      </c>
      <c r="Y28" s="506" t="e">
        <f t="shared" si="10"/>
        <v>#DIV/0!</v>
      </c>
      <c r="Z28" s="74">
        <f t="shared" si="11"/>
        <v>0</v>
      </c>
      <c r="AA28" s="40">
        <f>'SEC Benches Data'!J72</f>
        <v>0</v>
      </c>
      <c r="AB28" s="40">
        <f>'SEC Benches Data'!V72</f>
        <v>0</v>
      </c>
      <c r="AC28" s="40">
        <f>'SEC Benches Data'!AH72</f>
        <v>0</v>
      </c>
      <c r="AD28" s="506" t="e">
        <f t="shared" si="12"/>
        <v>#DIV/0!</v>
      </c>
      <c r="AE28" s="74">
        <f t="shared" si="13"/>
        <v>0</v>
      </c>
      <c r="AF28" s="40">
        <f>'SEC Benches Data'!G72</f>
        <v>0</v>
      </c>
      <c r="AG28" s="40">
        <f>'SEC Benches Data'!S72</f>
        <v>0</v>
      </c>
      <c r="AH28" s="40">
        <f>'SEC Benches Data'!AE72</f>
        <v>0</v>
      </c>
      <c r="AI28" s="506" t="e">
        <f t="shared" si="14"/>
        <v>#DIV/0!</v>
      </c>
      <c r="AJ28" s="74">
        <f t="shared" si="15"/>
        <v>0</v>
      </c>
      <c r="AK28" s="40">
        <f>'SEC Benches Data'!H72</f>
        <v>0</v>
      </c>
      <c r="AL28" s="40">
        <f>'SEC Benches Data'!T72</f>
        <v>0</v>
      </c>
      <c r="AM28" s="40">
        <f>'SEC Benches Data'!AF72</f>
        <v>0</v>
      </c>
      <c r="AN28" s="506" t="e">
        <f t="shared" si="16"/>
        <v>#DIV/0!</v>
      </c>
      <c r="AO28" s="74">
        <f t="shared" si="17"/>
        <v>0</v>
      </c>
      <c r="AP28" s="40">
        <f>'SEC Benches Data'!J72</f>
        <v>0</v>
      </c>
      <c r="AQ28" s="40">
        <f>'SEC Benches Data'!V72</f>
        <v>0</v>
      </c>
      <c r="AR28" s="40">
        <f>'SEC Benches Data'!AH72</f>
        <v>0</v>
      </c>
      <c r="AS28" s="506" t="e">
        <f t="shared" si="18"/>
        <v>#DIV/0!</v>
      </c>
      <c r="AT28" s="74">
        <f t="shared" si="19"/>
        <v>0</v>
      </c>
      <c r="AU28" s="40">
        <f>'SEC Benches Data'!M72</f>
        <v>0</v>
      </c>
      <c r="AV28" s="40">
        <f>'SEC Benches Data'!Y72</f>
        <v>0</v>
      </c>
      <c r="AW28" s="40">
        <f>'SEC Benches Data'!AK72</f>
        <v>0</v>
      </c>
      <c r="AX28" s="506" t="e">
        <f t="shared" si="20"/>
        <v>#DIV/0!</v>
      </c>
      <c r="AY28" s="74">
        <f t="shared" si="21"/>
        <v>0</v>
      </c>
    </row>
    <row r="29" spans="1:51" hidden="1" outlineLevel="1" x14ac:dyDescent="0.25">
      <c r="B29" s="7">
        <f>'SEC Benches Data'!AO73*('SEC Benches Data'!AL73/100)</f>
        <v>0</v>
      </c>
      <c r="C29" s="7">
        <f>'SEC Benches Data'!AP73*('SEC Benches Data'!AM73/100)</f>
        <v>0</v>
      </c>
      <c r="D29" s="7">
        <f>'SEC Benches Data'!AQ73*('SEC Benches Data'!AN73/100)</f>
        <v>0</v>
      </c>
      <c r="E29" s="74" t="e">
        <f t="shared" si="25"/>
        <v>#DIV/0!</v>
      </c>
      <c r="F29" s="74" t="e">
        <f t="shared" si="26"/>
        <v>#DIV/0!</v>
      </c>
      <c r="G29" s="64">
        <f>'SEC Benches Data'!B73</f>
        <v>0</v>
      </c>
      <c r="H29" s="40">
        <f>'SEC Benches Data'!N73</f>
        <v>0</v>
      </c>
      <c r="I29" s="40">
        <f>'SEC Benches Data'!Z73</f>
        <v>0</v>
      </c>
      <c r="J29" s="74" t="e">
        <f t="shared" si="4"/>
        <v>#DIV/0!</v>
      </c>
      <c r="K29" s="74" t="e">
        <f t="shared" si="5"/>
        <v>#DIV/0!</v>
      </c>
      <c r="L29" s="40">
        <f>'SEC Benches Data'!C73</f>
        <v>0</v>
      </c>
      <c r="M29" s="40">
        <f>'SEC Benches Data'!O73</f>
        <v>0</v>
      </c>
      <c r="N29" s="40">
        <f>'SEC Benches Data'!AA73</f>
        <v>0</v>
      </c>
      <c r="O29" s="506" t="e">
        <f t="shared" si="6"/>
        <v>#DIV/0!</v>
      </c>
      <c r="P29" s="74" t="e">
        <f t="shared" si="7"/>
        <v>#DIV/0!</v>
      </c>
      <c r="Q29" s="40">
        <f>'SEC Benches Data'!D73</f>
        <v>0</v>
      </c>
      <c r="R29" s="40">
        <f>'SEC Benches Data'!P73</f>
        <v>0</v>
      </c>
      <c r="S29" s="40">
        <f>'SEC Benches Data'!AB73</f>
        <v>0</v>
      </c>
      <c r="T29" s="506" t="e">
        <f t="shared" si="8"/>
        <v>#DIV/0!</v>
      </c>
      <c r="U29" s="74" t="e">
        <f t="shared" si="9"/>
        <v>#DIV/0!</v>
      </c>
      <c r="V29" s="40">
        <f>'SEC Benches Data'!E73</f>
        <v>0</v>
      </c>
      <c r="W29" s="40">
        <f>'SEC Benches Data'!Q73</f>
        <v>0</v>
      </c>
      <c r="X29" s="40">
        <f>'SEC Benches Data'!AC73</f>
        <v>0</v>
      </c>
      <c r="Y29" s="506" t="e">
        <f t="shared" si="10"/>
        <v>#DIV/0!</v>
      </c>
      <c r="Z29" s="74" t="e">
        <f t="shared" si="11"/>
        <v>#DIV/0!</v>
      </c>
      <c r="AA29" s="40">
        <f>'SEC Benches Data'!J73</f>
        <v>0</v>
      </c>
      <c r="AB29" s="40">
        <f>'SEC Benches Data'!V73</f>
        <v>0</v>
      </c>
      <c r="AC29" s="40">
        <f>'SEC Benches Data'!AH73</f>
        <v>0</v>
      </c>
      <c r="AD29" s="506" t="e">
        <f t="shared" si="12"/>
        <v>#DIV/0!</v>
      </c>
      <c r="AE29" s="74" t="e">
        <f t="shared" si="13"/>
        <v>#DIV/0!</v>
      </c>
      <c r="AF29" s="40">
        <f>'SEC Benches Data'!G73</f>
        <v>0</v>
      </c>
      <c r="AG29" s="40">
        <f>'SEC Benches Data'!S73</f>
        <v>0</v>
      </c>
      <c r="AH29" s="40">
        <f>'SEC Benches Data'!AE73</f>
        <v>0</v>
      </c>
      <c r="AI29" s="506" t="e">
        <f t="shared" si="14"/>
        <v>#DIV/0!</v>
      </c>
      <c r="AJ29" s="74" t="e">
        <f t="shared" si="15"/>
        <v>#DIV/0!</v>
      </c>
      <c r="AK29" s="40">
        <f>'SEC Benches Data'!H73</f>
        <v>0</v>
      </c>
      <c r="AL29" s="40">
        <f>'SEC Benches Data'!T73</f>
        <v>0</v>
      </c>
      <c r="AM29" s="40">
        <f>'SEC Benches Data'!AF73</f>
        <v>0</v>
      </c>
      <c r="AN29" s="506" t="e">
        <f t="shared" si="16"/>
        <v>#DIV/0!</v>
      </c>
      <c r="AO29" s="74" t="e">
        <f t="shared" si="17"/>
        <v>#DIV/0!</v>
      </c>
      <c r="AP29" s="40">
        <f>'SEC Benches Data'!J73</f>
        <v>0</v>
      </c>
      <c r="AQ29" s="40">
        <f>'SEC Benches Data'!V73</f>
        <v>0</v>
      </c>
      <c r="AR29" s="40">
        <f>'SEC Benches Data'!AH73</f>
        <v>0</v>
      </c>
      <c r="AS29" s="506" t="e">
        <f t="shared" si="18"/>
        <v>#DIV/0!</v>
      </c>
      <c r="AT29" s="74" t="e">
        <f t="shared" si="19"/>
        <v>#DIV/0!</v>
      </c>
      <c r="AU29" s="40">
        <f>'SEC Benches Data'!M73</f>
        <v>0</v>
      </c>
      <c r="AV29" s="40">
        <f>'SEC Benches Data'!Y73</f>
        <v>0</v>
      </c>
      <c r="AW29" s="40">
        <f>'SEC Benches Data'!AK73</f>
        <v>0</v>
      </c>
      <c r="AX29" s="506" t="e">
        <f t="shared" si="20"/>
        <v>#DIV/0!</v>
      </c>
      <c r="AY29" s="74" t="e">
        <f t="shared" si="21"/>
        <v>#DIV/0!</v>
      </c>
    </row>
    <row r="30" spans="1:51" hidden="1" outlineLevel="1" x14ac:dyDescent="0.25">
      <c r="B30" s="7">
        <f>'SEC Benches Data'!AO74*('SEC Benches Data'!AL74/100)</f>
        <v>0</v>
      </c>
      <c r="C30" s="7">
        <f>'SEC Benches Data'!AP74*('SEC Benches Data'!AM74/100)</f>
        <v>0</v>
      </c>
      <c r="D30" s="7">
        <f>'SEC Benches Data'!AQ74*('SEC Benches Data'!AN74/100)</f>
        <v>0</v>
      </c>
      <c r="E30" s="74" t="e">
        <f t="shared" si="25"/>
        <v>#DIV/0!</v>
      </c>
      <c r="F30" s="74" t="e">
        <f t="shared" si="26"/>
        <v>#DIV/0!</v>
      </c>
      <c r="G30" s="64">
        <f>'SEC Benches Data'!B74</f>
        <v>0</v>
      </c>
      <c r="H30" s="40">
        <f>'SEC Benches Data'!N74</f>
        <v>0</v>
      </c>
      <c r="I30" s="40">
        <f>'SEC Benches Data'!Z74</f>
        <v>0</v>
      </c>
      <c r="J30" s="74" t="e">
        <f t="shared" si="4"/>
        <v>#DIV/0!</v>
      </c>
      <c r="K30" s="74" t="e">
        <f t="shared" si="5"/>
        <v>#DIV/0!</v>
      </c>
      <c r="L30" s="40">
        <f>'SEC Benches Data'!C74</f>
        <v>0</v>
      </c>
      <c r="M30" s="40">
        <f>'SEC Benches Data'!O74</f>
        <v>0</v>
      </c>
      <c r="N30" s="40">
        <f>'SEC Benches Data'!AA74</f>
        <v>0</v>
      </c>
      <c r="O30" s="506" t="e">
        <f t="shared" si="6"/>
        <v>#DIV/0!</v>
      </c>
      <c r="P30" s="74" t="e">
        <f t="shared" si="7"/>
        <v>#DIV/0!</v>
      </c>
      <c r="Q30" s="40">
        <f>'SEC Benches Data'!D74</f>
        <v>0</v>
      </c>
      <c r="R30" s="40">
        <f>'SEC Benches Data'!P74</f>
        <v>0</v>
      </c>
      <c r="S30" s="40">
        <f>'SEC Benches Data'!AB74</f>
        <v>0</v>
      </c>
      <c r="T30" s="506" t="e">
        <f t="shared" si="8"/>
        <v>#DIV/0!</v>
      </c>
      <c r="U30" s="74" t="e">
        <f t="shared" si="9"/>
        <v>#DIV/0!</v>
      </c>
      <c r="V30" s="40">
        <f>'SEC Benches Data'!E74</f>
        <v>0</v>
      </c>
      <c r="W30" s="40">
        <f>'SEC Benches Data'!Q74</f>
        <v>0</v>
      </c>
      <c r="X30" s="40">
        <f>'SEC Benches Data'!AC74</f>
        <v>0</v>
      </c>
      <c r="Y30" s="506" t="e">
        <f t="shared" si="10"/>
        <v>#DIV/0!</v>
      </c>
      <c r="Z30" s="74" t="e">
        <f t="shared" si="11"/>
        <v>#DIV/0!</v>
      </c>
      <c r="AA30" s="40">
        <f>'SEC Benches Data'!J74</f>
        <v>0</v>
      </c>
      <c r="AB30" s="40">
        <f>'SEC Benches Data'!V74</f>
        <v>0</v>
      </c>
      <c r="AC30" s="40">
        <f>'SEC Benches Data'!AH74</f>
        <v>0</v>
      </c>
      <c r="AD30" s="506" t="e">
        <f t="shared" si="12"/>
        <v>#DIV/0!</v>
      </c>
      <c r="AE30" s="74" t="e">
        <f t="shared" si="13"/>
        <v>#DIV/0!</v>
      </c>
      <c r="AF30" s="40">
        <f>'SEC Benches Data'!G74</f>
        <v>0</v>
      </c>
      <c r="AG30" s="40">
        <f>'SEC Benches Data'!S74</f>
        <v>0</v>
      </c>
      <c r="AH30" s="40">
        <f>'SEC Benches Data'!AE74</f>
        <v>0</v>
      </c>
      <c r="AI30" s="506" t="e">
        <f t="shared" si="14"/>
        <v>#DIV/0!</v>
      </c>
      <c r="AJ30" s="74" t="e">
        <f t="shared" si="15"/>
        <v>#DIV/0!</v>
      </c>
      <c r="AK30" s="40">
        <f>'SEC Benches Data'!H74</f>
        <v>0</v>
      </c>
      <c r="AL30" s="40">
        <f>'SEC Benches Data'!T74</f>
        <v>0</v>
      </c>
      <c r="AM30" s="40">
        <f>'SEC Benches Data'!AF74</f>
        <v>0</v>
      </c>
      <c r="AN30" s="506" t="e">
        <f t="shared" si="16"/>
        <v>#DIV/0!</v>
      </c>
      <c r="AO30" s="74" t="e">
        <f t="shared" si="17"/>
        <v>#DIV/0!</v>
      </c>
      <c r="AP30" s="40">
        <f>'SEC Benches Data'!J74</f>
        <v>0</v>
      </c>
      <c r="AQ30" s="40">
        <f>'SEC Benches Data'!V74</f>
        <v>0</v>
      </c>
      <c r="AR30" s="40">
        <f>'SEC Benches Data'!AH74</f>
        <v>0</v>
      </c>
      <c r="AS30" s="506" t="e">
        <f t="shared" si="18"/>
        <v>#DIV/0!</v>
      </c>
      <c r="AT30" s="74" t="e">
        <f t="shared" si="19"/>
        <v>#DIV/0!</v>
      </c>
      <c r="AU30" s="40">
        <f>'SEC Benches Data'!M74</f>
        <v>0</v>
      </c>
      <c r="AV30" s="40">
        <f>'SEC Benches Data'!Y74</f>
        <v>0</v>
      </c>
      <c r="AW30" s="40">
        <f>'SEC Benches Data'!AK74</f>
        <v>0</v>
      </c>
      <c r="AX30" s="506" t="e">
        <f t="shared" si="20"/>
        <v>#DIV/0!</v>
      </c>
      <c r="AY30" s="74" t="e">
        <f t="shared" si="21"/>
        <v>#DIV/0!</v>
      </c>
    </row>
    <row r="31" spans="1:51" hidden="1" outlineLevel="1" x14ac:dyDescent="0.25">
      <c r="B31" s="7">
        <f>'SEC Benches Data'!AO75*('SEC Benches Data'!AL75/100)</f>
        <v>0</v>
      </c>
      <c r="C31" s="7">
        <f>'SEC Benches Data'!AP75*('SEC Benches Data'!AM75/100)</f>
        <v>0</v>
      </c>
      <c r="D31" s="7">
        <f>'SEC Benches Data'!AQ75*('SEC Benches Data'!AN75/100)</f>
        <v>0</v>
      </c>
      <c r="E31" s="74" t="e">
        <f t="shared" si="25"/>
        <v>#DIV/0!</v>
      </c>
      <c r="F31" s="74" t="e">
        <f t="shared" si="26"/>
        <v>#DIV/0!</v>
      </c>
      <c r="G31" s="64">
        <f>'SEC Benches Data'!B75</f>
        <v>0</v>
      </c>
      <c r="H31" s="40">
        <f>'SEC Benches Data'!N75</f>
        <v>0</v>
      </c>
      <c r="I31" s="40">
        <f>'SEC Benches Data'!Z75</f>
        <v>0</v>
      </c>
      <c r="J31" s="74" t="e">
        <f t="shared" si="4"/>
        <v>#DIV/0!</v>
      </c>
      <c r="K31" s="74" t="e">
        <f t="shared" si="5"/>
        <v>#DIV/0!</v>
      </c>
      <c r="L31" s="40">
        <f>'SEC Benches Data'!C75</f>
        <v>0</v>
      </c>
      <c r="M31" s="40">
        <f>'SEC Benches Data'!O75</f>
        <v>0</v>
      </c>
      <c r="N31" s="40">
        <f>'SEC Benches Data'!AA75</f>
        <v>0</v>
      </c>
      <c r="O31" s="506" t="e">
        <f t="shared" si="6"/>
        <v>#DIV/0!</v>
      </c>
      <c r="P31" s="74" t="e">
        <f t="shared" si="7"/>
        <v>#DIV/0!</v>
      </c>
      <c r="Q31" s="40">
        <f>'SEC Benches Data'!D75</f>
        <v>0</v>
      </c>
      <c r="R31" s="40">
        <f>'SEC Benches Data'!P75</f>
        <v>0</v>
      </c>
      <c r="S31" s="40">
        <f>'SEC Benches Data'!AB75</f>
        <v>0</v>
      </c>
      <c r="T31" s="506" t="e">
        <f t="shared" si="8"/>
        <v>#DIV/0!</v>
      </c>
      <c r="U31" s="74" t="e">
        <f t="shared" si="9"/>
        <v>#DIV/0!</v>
      </c>
      <c r="V31" s="40">
        <f>'SEC Benches Data'!E75</f>
        <v>0</v>
      </c>
      <c r="W31" s="40">
        <f>'SEC Benches Data'!Q75</f>
        <v>0</v>
      </c>
      <c r="X31" s="40">
        <f>'SEC Benches Data'!AC75</f>
        <v>0</v>
      </c>
      <c r="Y31" s="506" t="e">
        <f t="shared" si="10"/>
        <v>#DIV/0!</v>
      </c>
      <c r="Z31" s="74" t="e">
        <f t="shared" si="11"/>
        <v>#DIV/0!</v>
      </c>
      <c r="AA31" s="40">
        <f>'SEC Benches Data'!J75</f>
        <v>0</v>
      </c>
      <c r="AB31" s="40">
        <f>'SEC Benches Data'!V75</f>
        <v>0</v>
      </c>
      <c r="AC31" s="40">
        <f>'SEC Benches Data'!AH75</f>
        <v>0</v>
      </c>
      <c r="AD31" s="506" t="e">
        <f t="shared" si="12"/>
        <v>#DIV/0!</v>
      </c>
      <c r="AE31" s="74" t="e">
        <f t="shared" si="13"/>
        <v>#DIV/0!</v>
      </c>
      <c r="AF31" s="40">
        <f>'SEC Benches Data'!G75</f>
        <v>0</v>
      </c>
      <c r="AG31" s="40">
        <f>'SEC Benches Data'!S75</f>
        <v>0</v>
      </c>
      <c r="AH31" s="40">
        <f>'SEC Benches Data'!AE75</f>
        <v>0</v>
      </c>
      <c r="AI31" s="506" t="e">
        <f t="shared" si="14"/>
        <v>#DIV/0!</v>
      </c>
      <c r="AJ31" s="74" t="e">
        <f t="shared" si="15"/>
        <v>#DIV/0!</v>
      </c>
      <c r="AK31" s="40">
        <f>'SEC Benches Data'!H75</f>
        <v>0</v>
      </c>
      <c r="AL31" s="40">
        <f>'SEC Benches Data'!T75</f>
        <v>0</v>
      </c>
      <c r="AM31" s="40">
        <f>'SEC Benches Data'!AF75</f>
        <v>0</v>
      </c>
      <c r="AN31" s="506" t="e">
        <f t="shared" si="16"/>
        <v>#DIV/0!</v>
      </c>
      <c r="AO31" s="74" t="e">
        <f t="shared" si="17"/>
        <v>#DIV/0!</v>
      </c>
      <c r="AP31" s="40">
        <f>'SEC Benches Data'!J75</f>
        <v>0</v>
      </c>
      <c r="AQ31" s="40">
        <f>'SEC Benches Data'!V75</f>
        <v>0</v>
      </c>
      <c r="AR31" s="40">
        <f>'SEC Benches Data'!AH75</f>
        <v>0</v>
      </c>
      <c r="AS31" s="506" t="e">
        <f t="shared" si="18"/>
        <v>#DIV/0!</v>
      </c>
      <c r="AT31" s="74" t="e">
        <f t="shared" si="19"/>
        <v>#DIV/0!</v>
      </c>
      <c r="AU31" s="40">
        <f>'SEC Benches Data'!M75</f>
        <v>0</v>
      </c>
      <c r="AV31" s="40">
        <f>'SEC Benches Data'!Y75</f>
        <v>0</v>
      </c>
      <c r="AW31" s="40">
        <f>'SEC Benches Data'!AK75</f>
        <v>0</v>
      </c>
      <c r="AX31" s="506" t="e">
        <f t="shared" si="20"/>
        <v>#DIV/0!</v>
      </c>
      <c r="AY31" s="74" t="e">
        <f t="shared" si="21"/>
        <v>#DIV/0!</v>
      </c>
    </row>
    <row r="32" spans="1:51" hidden="1" outlineLevel="1" x14ac:dyDescent="0.25">
      <c r="B32" s="7">
        <f>'SEC Benches Data'!AO76*('SEC Benches Data'!AL76/100)</f>
        <v>0</v>
      </c>
      <c r="C32" s="7">
        <f>'SEC Benches Data'!AP76*('SEC Benches Data'!AM76/100)</f>
        <v>0</v>
      </c>
      <c r="D32" s="7">
        <f>'SEC Benches Data'!AQ76*('SEC Benches Data'!AN76/100)</f>
        <v>0</v>
      </c>
      <c r="E32" s="74" t="e">
        <f t="shared" si="25"/>
        <v>#DIV/0!</v>
      </c>
      <c r="F32" s="74" t="e">
        <f t="shared" si="26"/>
        <v>#DIV/0!</v>
      </c>
      <c r="G32" s="64">
        <f>'SEC Benches Data'!B76</f>
        <v>0</v>
      </c>
      <c r="H32" s="40">
        <f>'SEC Benches Data'!N76</f>
        <v>0</v>
      </c>
      <c r="I32" s="40">
        <f>'SEC Benches Data'!Z76</f>
        <v>0</v>
      </c>
      <c r="J32" s="74" t="e">
        <f t="shared" si="4"/>
        <v>#DIV/0!</v>
      </c>
      <c r="K32" s="74" t="e">
        <f t="shared" si="5"/>
        <v>#DIV/0!</v>
      </c>
      <c r="L32" s="40">
        <f>'SEC Benches Data'!C76</f>
        <v>0</v>
      </c>
      <c r="M32" s="40">
        <f>'SEC Benches Data'!O76</f>
        <v>0</v>
      </c>
      <c r="N32" s="40">
        <f>'SEC Benches Data'!AA76</f>
        <v>0</v>
      </c>
      <c r="O32" s="506" t="e">
        <f t="shared" si="6"/>
        <v>#DIV/0!</v>
      </c>
      <c r="P32" s="74" t="e">
        <f t="shared" si="7"/>
        <v>#DIV/0!</v>
      </c>
      <c r="Q32" s="40">
        <f>'SEC Benches Data'!D76</f>
        <v>0</v>
      </c>
      <c r="R32" s="40">
        <f>'SEC Benches Data'!P76</f>
        <v>0</v>
      </c>
      <c r="S32" s="40">
        <f>'SEC Benches Data'!AB76</f>
        <v>0</v>
      </c>
      <c r="T32" s="506" t="e">
        <f t="shared" si="8"/>
        <v>#DIV/0!</v>
      </c>
      <c r="U32" s="74" t="e">
        <f t="shared" si="9"/>
        <v>#DIV/0!</v>
      </c>
      <c r="V32" s="40">
        <f>'SEC Benches Data'!E76</f>
        <v>0</v>
      </c>
      <c r="W32" s="40">
        <f>'SEC Benches Data'!Q76</f>
        <v>0</v>
      </c>
      <c r="X32" s="40">
        <f>'SEC Benches Data'!AC76</f>
        <v>0</v>
      </c>
      <c r="Y32" s="506" t="e">
        <f t="shared" si="10"/>
        <v>#DIV/0!</v>
      </c>
      <c r="Z32" s="74" t="e">
        <f t="shared" si="11"/>
        <v>#DIV/0!</v>
      </c>
      <c r="AA32" s="40">
        <f>'SEC Benches Data'!J76</f>
        <v>0</v>
      </c>
      <c r="AB32" s="40">
        <f>'SEC Benches Data'!V76</f>
        <v>0</v>
      </c>
      <c r="AC32" s="40">
        <f>'SEC Benches Data'!AH76</f>
        <v>0</v>
      </c>
      <c r="AD32" s="506" t="e">
        <f t="shared" si="12"/>
        <v>#DIV/0!</v>
      </c>
      <c r="AE32" s="74" t="e">
        <f t="shared" si="13"/>
        <v>#DIV/0!</v>
      </c>
      <c r="AF32" s="40">
        <f>'SEC Benches Data'!G76</f>
        <v>0</v>
      </c>
      <c r="AG32" s="40">
        <f>'SEC Benches Data'!S76</f>
        <v>0</v>
      </c>
      <c r="AH32" s="40">
        <f>'SEC Benches Data'!AE76</f>
        <v>0</v>
      </c>
      <c r="AI32" s="506" t="e">
        <f t="shared" si="14"/>
        <v>#DIV/0!</v>
      </c>
      <c r="AJ32" s="74" t="e">
        <f t="shared" si="15"/>
        <v>#DIV/0!</v>
      </c>
      <c r="AK32" s="40">
        <f>'SEC Benches Data'!H76</f>
        <v>0</v>
      </c>
      <c r="AL32" s="40">
        <f>'SEC Benches Data'!T76</f>
        <v>0</v>
      </c>
      <c r="AM32" s="40">
        <f>'SEC Benches Data'!AF76</f>
        <v>0</v>
      </c>
      <c r="AN32" s="506" t="e">
        <f t="shared" si="16"/>
        <v>#DIV/0!</v>
      </c>
      <c r="AO32" s="74" t="e">
        <f t="shared" si="17"/>
        <v>#DIV/0!</v>
      </c>
      <c r="AP32" s="40">
        <f>'SEC Benches Data'!J76</f>
        <v>0</v>
      </c>
      <c r="AQ32" s="40">
        <f>'SEC Benches Data'!V76</f>
        <v>0</v>
      </c>
      <c r="AR32" s="40">
        <f>'SEC Benches Data'!AH76</f>
        <v>0</v>
      </c>
      <c r="AS32" s="506" t="e">
        <f t="shared" si="18"/>
        <v>#DIV/0!</v>
      </c>
      <c r="AT32" s="74" t="e">
        <f t="shared" si="19"/>
        <v>#DIV/0!</v>
      </c>
      <c r="AU32" s="40">
        <f>'SEC Benches Data'!M76</f>
        <v>0</v>
      </c>
      <c r="AV32" s="40">
        <f>'SEC Benches Data'!Y76</f>
        <v>0</v>
      </c>
      <c r="AW32" s="40">
        <f>'SEC Benches Data'!AK76</f>
        <v>0</v>
      </c>
      <c r="AX32" s="506" t="e">
        <f t="shared" si="20"/>
        <v>#DIV/0!</v>
      </c>
      <c r="AY32" s="74" t="e">
        <f t="shared" si="21"/>
        <v>#DIV/0!</v>
      </c>
    </row>
    <row r="33" spans="2:51" hidden="1" outlineLevel="1" x14ac:dyDescent="0.25">
      <c r="B33" s="7">
        <f>'SEC Benches Data'!AO77*('SEC Benches Data'!AL77/100)</f>
        <v>0</v>
      </c>
      <c r="C33" s="7">
        <f>'SEC Benches Data'!AP77*('SEC Benches Data'!AM77/100)</f>
        <v>0</v>
      </c>
      <c r="D33" s="7">
        <f>'SEC Benches Data'!AQ77*('SEC Benches Data'!AN77/100)</f>
        <v>0</v>
      </c>
      <c r="E33" s="74" t="e">
        <f t="shared" si="25"/>
        <v>#DIV/0!</v>
      </c>
      <c r="F33" s="74" t="e">
        <f t="shared" si="26"/>
        <v>#DIV/0!</v>
      </c>
      <c r="G33" s="64">
        <f>'SEC Benches Data'!B77</f>
        <v>0</v>
      </c>
      <c r="H33" s="40">
        <f>'SEC Benches Data'!N77</f>
        <v>0</v>
      </c>
      <c r="I33" s="40">
        <f>'SEC Benches Data'!Z77</f>
        <v>0</v>
      </c>
      <c r="J33" s="74" t="e">
        <f t="shared" si="4"/>
        <v>#DIV/0!</v>
      </c>
      <c r="K33" s="74" t="e">
        <f t="shared" si="5"/>
        <v>#DIV/0!</v>
      </c>
      <c r="L33" s="40">
        <f>'SEC Benches Data'!C77</f>
        <v>0</v>
      </c>
      <c r="M33" s="40">
        <f>'SEC Benches Data'!O77</f>
        <v>0</v>
      </c>
      <c r="N33" s="40">
        <f>'SEC Benches Data'!AA77</f>
        <v>0</v>
      </c>
      <c r="O33" s="506" t="e">
        <f t="shared" si="6"/>
        <v>#DIV/0!</v>
      </c>
      <c r="P33" s="74" t="e">
        <f t="shared" si="7"/>
        <v>#DIV/0!</v>
      </c>
      <c r="Q33" s="40">
        <f>'SEC Benches Data'!D77</f>
        <v>0</v>
      </c>
      <c r="R33" s="40">
        <f>'SEC Benches Data'!P77</f>
        <v>0</v>
      </c>
      <c r="S33" s="40">
        <f>'SEC Benches Data'!AB77</f>
        <v>0</v>
      </c>
      <c r="T33" s="506" t="e">
        <f t="shared" si="8"/>
        <v>#DIV/0!</v>
      </c>
      <c r="U33" s="74" t="e">
        <f t="shared" si="9"/>
        <v>#DIV/0!</v>
      </c>
      <c r="V33" s="40">
        <f>'SEC Benches Data'!E77</f>
        <v>0</v>
      </c>
      <c r="W33" s="40">
        <f>'SEC Benches Data'!Q77</f>
        <v>0</v>
      </c>
      <c r="X33" s="40">
        <f>'SEC Benches Data'!AC77</f>
        <v>0</v>
      </c>
      <c r="Y33" s="506" t="e">
        <f t="shared" si="10"/>
        <v>#DIV/0!</v>
      </c>
      <c r="Z33" s="74" t="e">
        <f t="shared" si="11"/>
        <v>#DIV/0!</v>
      </c>
      <c r="AA33" s="40">
        <f>'SEC Benches Data'!J77</f>
        <v>0</v>
      </c>
      <c r="AB33" s="40">
        <f>'SEC Benches Data'!V77</f>
        <v>0</v>
      </c>
      <c r="AC33" s="40">
        <f>'SEC Benches Data'!AH77</f>
        <v>0</v>
      </c>
      <c r="AD33" s="506" t="e">
        <f t="shared" si="12"/>
        <v>#DIV/0!</v>
      </c>
      <c r="AE33" s="74" t="e">
        <f t="shared" si="13"/>
        <v>#DIV/0!</v>
      </c>
      <c r="AF33" s="40">
        <f>'SEC Benches Data'!G77</f>
        <v>0</v>
      </c>
      <c r="AG33" s="40">
        <f>'SEC Benches Data'!S77</f>
        <v>0</v>
      </c>
      <c r="AH33" s="40">
        <f>'SEC Benches Data'!AE77</f>
        <v>0</v>
      </c>
      <c r="AI33" s="506" t="e">
        <f t="shared" si="14"/>
        <v>#DIV/0!</v>
      </c>
      <c r="AJ33" s="74" t="e">
        <f t="shared" si="15"/>
        <v>#DIV/0!</v>
      </c>
      <c r="AK33" s="40">
        <f>'SEC Benches Data'!H77</f>
        <v>0</v>
      </c>
      <c r="AL33" s="40">
        <f>'SEC Benches Data'!T77</f>
        <v>0</v>
      </c>
      <c r="AM33" s="40">
        <f>'SEC Benches Data'!AF77</f>
        <v>0</v>
      </c>
      <c r="AN33" s="506" t="e">
        <f t="shared" si="16"/>
        <v>#DIV/0!</v>
      </c>
      <c r="AO33" s="74" t="e">
        <f t="shared" si="17"/>
        <v>#DIV/0!</v>
      </c>
      <c r="AP33" s="40">
        <f>'SEC Benches Data'!J77</f>
        <v>0</v>
      </c>
      <c r="AQ33" s="40">
        <f>'SEC Benches Data'!V77</f>
        <v>0</v>
      </c>
      <c r="AR33" s="40">
        <f>'SEC Benches Data'!AH77</f>
        <v>0</v>
      </c>
      <c r="AS33" s="506" t="e">
        <f t="shared" si="18"/>
        <v>#DIV/0!</v>
      </c>
      <c r="AT33" s="74" t="e">
        <f t="shared" si="19"/>
        <v>#DIV/0!</v>
      </c>
      <c r="AU33" s="40">
        <f>'SEC Benches Data'!M77</f>
        <v>0</v>
      </c>
      <c r="AV33" s="40">
        <f>'SEC Benches Data'!Y77</f>
        <v>0</v>
      </c>
      <c r="AW33" s="40">
        <f>'SEC Benches Data'!AK77</f>
        <v>0</v>
      </c>
      <c r="AX33" s="506" t="e">
        <f t="shared" si="20"/>
        <v>#DIV/0!</v>
      </c>
      <c r="AY33" s="74" t="e">
        <f t="shared" si="21"/>
        <v>#DIV/0!</v>
      </c>
    </row>
    <row r="34" spans="2:51" hidden="1" outlineLevel="1" x14ac:dyDescent="0.25">
      <c r="B34" s="7">
        <f>'SEC Benches Data'!AO78*('SEC Benches Data'!AL78/100)</f>
        <v>0</v>
      </c>
      <c r="C34" s="7">
        <f>'SEC Benches Data'!AP78*('SEC Benches Data'!AM78/100)</f>
        <v>0</v>
      </c>
      <c r="D34" s="7">
        <f>'SEC Benches Data'!AQ78*('SEC Benches Data'!AN78/100)</f>
        <v>0</v>
      </c>
      <c r="E34" s="74" t="e">
        <f t="shared" si="25"/>
        <v>#DIV/0!</v>
      </c>
      <c r="F34" s="74" t="e">
        <f t="shared" si="26"/>
        <v>#DIV/0!</v>
      </c>
      <c r="G34" s="64">
        <f>'SEC Benches Data'!B78</f>
        <v>0</v>
      </c>
      <c r="H34" s="40">
        <f>'SEC Benches Data'!N78</f>
        <v>0</v>
      </c>
      <c r="I34" s="40">
        <f>'SEC Benches Data'!Z78</f>
        <v>0</v>
      </c>
      <c r="J34" s="74" t="e">
        <f t="shared" si="4"/>
        <v>#DIV/0!</v>
      </c>
      <c r="K34" s="74" t="e">
        <f t="shared" si="5"/>
        <v>#DIV/0!</v>
      </c>
      <c r="L34" s="40">
        <f>'SEC Benches Data'!C78</f>
        <v>0</v>
      </c>
      <c r="M34" s="40">
        <f>'SEC Benches Data'!O78</f>
        <v>0</v>
      </c>
      <c r="N34" s="40">
        <f>'SEC Benches Data'!AA78</f>
        <v>0</v>
      </c>
      <c r="O34" s="506" t="e">
        <f t="shared" si="6"/>
        <v>#DIV/0!</v>
      </c>
      <c r="P34" s="74" t="e">
        <f t="shared" si="7"/>
        <v>#DIV/0!</v>
      </c>
      <c r="Q34" s="40">
        <f>'SEC Benches Data'!D78</f>
        <v>0</v>
      </c>
      <c r="R34" s="40">
        <f>'SEC Benches Data'!P78</f>
        <v>0</v>
      </c>
      <c r="S34" s="40">
        <f>'SEC Benches Data'!AB78</f>
        <v>0</v>
      </c>
      <c r="T34" s="506" t="e">
        <f t="shared" si="8"/>
        <v>#DIV/0!</v>
      </c>
      <c r="U34" s="74" t="e">
        <f t="shared" si="9"/>
        <v>#DIV/0!</v>
      </c>
      <c r="V34" s="40">
        <f>'SEC Benches Data'!E78</f>
        <v>0</v>
      </c>
      <c r="W34" s="40">
        <f>'SEC Benches Data'!Q78</f>
        <v>0</v>
      </c>
      <c r="X34" s="40">
        <f>'SEC Benches Data'!AC78</f>
        <v>0</v>
      </c>
      <c r="Y34" s="506" t="e">
        <f t="shared" si="10"/>
        <v>#DIV/0!</v>
      </c>
      <c r="Z34" s="74" t="e">
        <f t="shared" si="11"/>
        <v>#DIV/0!</v>
      </c>
      <c r="AA34" s="40">
        <f>'SEC Benches Data'!J78</f>
        <v>0</v>
      </c>
      <c r="AB34" s="40">
        <f>'SEC Benches Data'!V78</f>
        <v>0</v>
      </c>
      <c r="AC34" s="40">
        <f>'SEC Benches Data'!AH78</f>
        <v>0</v>
      </c>
      <c r="AD34" s="506" t="e">
        <f t="shared" si="12"/>
        <v>#DIV/0!</v>
      </c>
      <c r="AE34" s="74" t="e">
        <f t="shared" si="13"/>
        <v>#DIV/0!</v>
      </c>
      <c r="AF34" s="40">
        <f>'SEC Benches Data'!G78</f>
        <v>0</v>
      </c>
      <c r="AG34" s="40">
        <f>'SEC Benches Data'!S78</f>
        <v>0</v>
      </c>
      <c r="AH34" s="40">
        <f>'SEC Benches Data'!AE78</f>
        <v>0</v>
      </c>
      <c r="AI34" s="506" t="e">
        <f t="shared" si="14"/>
        <v>#DIV/0!</v>
      </c>
      <c r="AJ34" s="74" t="e">
        <f t="shared" si="15"/>
        <v>#DIV/0!</v>
      </c>
      <c r="AK34" s="40">
        <f>'SEC Benches Data'!H78</f>
        <v>0</v>
      </c>
      <c r="AL34" s="40">
        <f>'SEC Benches Data'!T78</f>
        <v>0</v>
      </c>
      <c r="AM34" s="40">
        <f>'SEC Benches Data'!AF78</f>
        <v>0</v>
      </c>
      <c r="AN34" s="506" t="e">
        <f t="shared" si="16"/>
        <v>#DIV/0!</v>
      </c>
      <c r="AO34" s="74" t="e">
        <f t="shared" si="17"/>
        <v>#DIV/0!</v>
      </c>
      <c r="AP34" s="40">
        <f>'SEC Benches Data'!J78</f>
        <v>0</v>
      </c>
      <c r="AQ34" s="40">
        <f>'SEC Benches Data'!V78</f>
        <v>0</v>
      </c>
      <c r="AR34" s="40">
        <f>'SEC Benches Data'!AH78</f>
        <v>0</v>
      </c>
      <c r="AS34" s="506" t="e">
        <f t="shared" si="18"/>
        <v>#DIV/0!</v>
      </c>
      <c r="AT34" s="74" t="e">
        <f t="shared" si="19"/>
        <v>#DIV/0!</v>
      </c>
      <c r="AU34" s="40">
        <f>'SEC Benches Data'!M78</f>
        <v>0</v>
      </c>
      <c r="AV34" s="40">
        <f>'SEC Benches Data'!Y78</f>
        <v>0</v>
      </c>
      <c r="AW34" s="40">
        <f>'SEC Benches Data'!AK78</f>
        <v>0</v>
      </c>
      <c r="AX34" s="506" t="e">
        <f t="shared" si="20"/>
        <v>#DIV/0!</v>
      </c>
      <c r="AY34" s="74" t="e">
        <f t="shared" si="21"/>
        <v>#DIV/0!</v>
      </c>
    </row>
    <row r="35" spans="2:51" hidden="1" outlineLevel="1" x14ac:dyDescent="0.25">
      <c r="B35" s="7">
        <f>'SEC Benches Data'!AO79*('SEC Benches Data'!AL79/100)</f>
        <v>0</v>
      </c>
      <c r="C35" s="7">
        <f>'SEC Benches Data'!AP79*('SEC Benches Data'!AM79/100)</f>
        <v>0</v>
      </c>
      <c r="D35" s="7">
        <f>'SEC Benches Data'!AQ79*('SEC Benches Data'!AN79/100)</f>
        <v>0</v>
      </c>
      <c r="E35" s="74" t="e">
        <f t="shared" si="25"/>
        <v>#DIV/0!</v>
      </c>
      <c r="F35" s="74" t="e">
        <f t="shared" si="26"/>
        <v>#DIV/0!</v>
      </c>
      <c r="G35" s="64">
        <f>'SEC Benches Data'!B79</f>
        <v>0</v>
      </c>
      <c r="H35" s="40">
        <f>'SEC Benches Data'!N79</f>
        <v>0</v>
      </c>
      <c r="I35" s="40">
        <f>'SEC Benches Data'!Z79</f>
        <v>0</v>
      </c>
      <c r="J35" s="74" t="e">
        <f t="shared" si="4"/>
        <v>#DIV/0!</v>
      </c>
      <c r="K35" s="74" t="e">
        <f t="shared" si="5"/>
        <v>#DIV/0!</v>
      </c>
      <c r="L35" s="40">
        <f>'SEC Benches Data'!C79</f>
        <v>0</v>
      </c>
      <c r="M35" s="40">
        <f>'SEC Benches Data'!O79</f>
        <v>0</v>
      </c>
      <c r="N35" s="40">
        <f>'SEC Benches Data'!AA79</f>
        <v>0</v>
      </c>
      <c r="O35" s="506" t="e">
        <f t="shared" si="6"/>
        <v>#DIV/0!</v>
      </c>
      <c r="P35" s="74" t="e">
        <f t="shared" si="7"/>
        <v>#DIV/0!</v>
      </c>
      <c r="Q35" s="40">
        <f>'SEC Benches Data'!D79</f>
        <v>0</v>
      </c>
      <c r="R35" s="40">
        <f>'SEC Benches Data'!P79</f>
        <v>0</v>
      </c>
      <c r="S35" s="40">
        <f>'SEC Benches Data'!AB79</f>
        <v>0</v>
      </c>
      <c r="T35" s="506" t="e">
        <f t="shared" si="8"/>
        <v>#DIV/0!</v>
      </c>
      <c r="U35" s="74" t="e">
        <f t="shared" si="9"/>
        <v>#DIV/0!</v>
      </c>
      <c r="V35" s="40">
        <f>'SEC Benches Data'!E79</f>
        <v>0</v>
      </c>
      <c r="W35" s="40">
        <f>'SEC Benches Data'!Q79</f>
        <v>0</v>
      </c>
      <c r="X35" s="40">
        <f>'SEC Benches Data'!AC79</f>
        <v>0</v>
      </c>
      <c r="Y35" s="506" t="e">
        <f t="shared" si="10"/>
        <v>#DIV/0!</v>
      </c>
      <c r="Z35" s="74" t="e">
        <f t="shared" si="11"/>
        <v>#DIV/0!</v>
      </c>
      <c r="AA35" s="40">
        <f>'SEC Benches Data'!J79</f>
        <v>0</v>
      </c>
      <c r="AB35" s="40">
        <f>'SEC Benches Data'!V79</f>
        <v>0</v>
      </c>
      <c r="AC35" s="40">
        <f>'SEC Benches Data'!AH79</f>
        <v>0</v>
      </c>
      <c r="AD35" s="506" t="e">
        <f t="shared" si="12"/>
        <v>#DIV/0!</v>
      </c>
      <c r="AE35" s="74" t="e">
        <f t="shared" si="13"/>
        <v>#DIV/0!</v>
      </c>
      <c r="AF35" s="40">
        <f>'SEC Benches Data'!G79</f>
        <v>0</v>
      </c>
      <c r="AG35" s="40">
        <f>'SEC Benches Data'!S79</f>
        <v>0</v>
      </c>
      <c r="AH35" s="40">
        <f>'SEC Benches Data'!AE79</f>
        <v>0</v>
      </c>
      <c r="AI35" s="506" t="e">
        <f t="shared" si="14"/>
        <v>#DIV/0!</v>
      </c>
      <c r="AJ35" s="74" t="e">
        <f t="shared" si="15"/>
        <v>#DIV/0!</v>
      </c>
      <c r="AK35" s="40">
        <f>'SEC Benches Data'!H79</f>
        <v>0</v>
      </c>
      <c r="AL35" s="40">
        <f>'SEC Benches Data'!T79</f>
        <v>0</v>
      </c>
      <c r="AM35" s="40">
        <f>'SEC Benches Data'!AF79</f>
        <v>0</v>
      </c>
      <c r="AN35" s="506" t="e">
        <f t="shared" si="16"/>
        <v>#DIV/0!</v>
      </c>
      <c r="AO35" s="74" t="e">
        <f t="shared" si="17"/>
        <v>#DIV/0!</v>
      </c>
      <c r="AP35" s="40">
        <f>'SEC Benches Data'!J79</f>
        <v>0</v>
      </c>
      <c r="AQ35" s="40">
        <f>'SEC Benches Data'!V79</f>
        <v>0</v>
      </c>
      <c r="AR35" s="40">
        <f>'SEC Benches Data'!AH79</f>
        <v>0</v>
      </c>
      <c r="AS35" s="506" t="e">
        <f t="shared" si="18"/>
        <v>#DIV/0!</v>
      </c>
      <c r="AT35" s="74" t="e">
        <f t="shared" si="19"/>
        <v>#DIV/0!</v>
      </c>
      <c r="AU35" s="40">
        <f>'SEC Benches Data'!M79</f>
        <v>0</v>
      </c>
      <c r="AV35" s="40">
        <f>'SEC Benches Data'!Y79</f>
        <v>0</v>
      </c>
      <c r="AW35" s="40">
        <f>'SEC Benches Data'!AK79</f>
        <v>0</v>
      </c>
      <c r="AX35" s="506" t="e">
        <f t="shared" si="20"/>
        <v>#DIV/0!</v>
      </c>
      <c r="AY35" s="74" t="e">
        <f t="shared" si="21"/>
        <v>#DIV/0!</v>
      </c>
    </row>
    <row r="36" spans="2:51" hidden="1" outlineLevel="1" x14ac:dyDescent="0.25">
      <c r="B36" s="7">
        <f>'SEC Benches Data'!AO80*('SEC Benches Data'!AL80/100)</f>
        <v>0</v>
      </c>
      <c r="C36" s="7">
        <f>'SEC Benches Data'!AP80*('SEC Benches Data'!AM80/100)</f>
        <v>0</v>
      </c>
      <c r="D36" s="7">
        <f>'SEC Benches Data'!AQ80*('SEC Benches Data'!AN80/100)</f>
        <v>0</v>
      </c>
      <c r="E36" s="74" t="e">
        <f t="shared" si="25"/>
        <v>#DIV/0!</v>
      </c>
      <c r="F36" s="74" t="e">
        <f t="shared" si="26"/>
        <v>#DIV/0!</v>
      </c>
      <c r="G36" s="64">
        <f>'SEC Benches Data'!B80</f>
        <v>0</v>
      </c>
      <c r="H36" s="40">
        <f>'SEC Benches Data'!N80</f>
        <v>0</v>
      </c>
      <c r="I36" s="40">
        <f>'SEC Benches Data'!Z80</f>
        <v>0</v>
      </c>
      <c r="J36" s="74" t="e">
        <f t="shared" si="4"/>
        <v>#DIV/0!</v>
      </c>
      <c r="K36" s="74" t="e">
        <f t="shared" si="5"/>
        <v>#DIV/0!</v>
      </c>
      <c r="L36" s="40">
        <f>'SEC Benches Data'!C80</f>
        <v>0</v>
      </c>
      <c r="M36" s="40">
        <f>'SEC Benches Data'!O80</f>
        <v>0</v>
      </c>
      <c r="N36" s="40">
        <f>'SEC Benches Data'!AA80</f>
        <v>0</v>
      </c>
      <c r="O36" s="506" t="e">
        <f t="shared" si="6"/>
        <v>#DIV/0!</v>
      </c>
      <c r="P36" s="74" t="e">
        <f t="shared" si="7"/>
        <v>#DIV/0!</v>
      </c>
      <c r="Q36" s="40">
        <f>'SEC Benches Data'!D80</f>
        <v>0</v>
      </c>
      <c r="R36" s="40">
        <f>'SEC Benches Data'!P80</f>
        <v>0</v>
      </c>
      <c r="S36" s="40">
        <f>'SEC Benches Data'!AB80</f>
        <v>0</v>
      </c>
      <c r="T36" s="506" t="e">
        <f t="shared" si="8"/>
        <v>#DIV/0!</v>
      </c>
      <c r="U36" s="74" t="e">
        <f t="shared" si="9"/>
        <v>#DIV/0!</v>
      </c>
      <c r="V36" s="40">
        <f>'SEC Benches Data'!E80</f>
        <v>0</v>
      </c>
      <c r="W36" s="40">
        <f>'SEC Benches Data'!Q80</f>
        <v>0</v>
      </c>
      <c r="X36" s="40">
        <f>'SEC Benches Data'!AC80</f>
        <v>0</v>
      </c>
      <c r="Y36" s="506" t="e">
        <f t="shared" si="10"/>
        <v>#DIV/0!</v>
      </c>
      <c r="Z36" s="74" t="e">
        <f t="shared" si="11"/>
        <v>#DIV/0!</v>
      </c>
      <c r="AA36" s="40">
        <f>'SEC Benches Data'!J80</f>
        <v>0</v>
      </c>
      <c r="AB36" s="40">
        <f>'SEC Benches Data'!V80</f>
        <v>0</v>
      </c>
      <c r="AC36" s="40">
        <f>'SEC Benches Data'!AH80</f>
        <v>0</v>
      </c>
      <c r="AD36" s="506" t="e">
        <f t="shared" si="12"/>
        <v>#DIV/0!</v>
      </c>
      <c r="AE36" s="74" t="e">
        <f t="shared" si="13"/>
        <v>#DIV/0!</v>
      </c>
      <c r="AF36" s="40">
        <f>'SEC Benches Data'!G80</f>
        <v>0</v>
      </c>
      <c r="AG36" s="40">
        <f>'SEC Benches Data'!S80</f>
        <v>0</v>
      </c>
      <c r="AH36" s="40">
        <f>'SEC Benches Data'!AE80</f>
        <v>0</v>
      </c>
      <c r="AI36" s="506" t="e">
        <f t="shared" si="14"/>
        <v>#DIV/0!</v>
      </c>
      <c r="AJ36" s="74" t="e">
        <f t="shared" si="15"/>
        <v>#DIV/0!</v>
      </c>
      <c r="AK36" s="40">
        <f>'SEC Benches Data'!H80</f>
        <v>0</v>
      </c>
      <c r="AL36" s="40">
        <f>'SEC Benches Data'!T80</f>
        <v>0</v>
      </c>
      <c r="AM36" s="40">
        <f>'SEC Benches Data'!AF80</f>
        <v>0</v>
      </c>
      <c r="AN36" s="506" t="e">
        <f t="shared" si="16"/>
        <v>#DIV/0!</v>
      </c>
      <c r="AO36" s="74" t="e">
        <f t="shared" si="17"/>
        <v>#DIV/0!</v>
      </c>
      <c r="AP36" s="40">
        <f>'SEC Benches Data'!J80</f>
        <v>0</v>
      </c>
      <c r="AQ36" s="40">
        <f>'SEC Benches Data'!V80</f>
        <v>0</v>
      </c>
      <c r="AR36" s="40">
        <f>'SEC Benches Data'!AH80</f>
        <v>0</v>
      </c>
      <c r="AS36" s="506" t="e">
        <f t="shared" si="18"/>
        <v>#DIV/0!</v>
      </c>
      <c r="AT36" s="74" t="e">
        <f t="shared" si="19"/>
        <v>#DIV/0!</v>
      </c>
      <c r="AU36" s="40">
        <f>'SEC Benches Data'!M80</f>
        <v>0</v>
      </c>
      <c r="AV36" s="40">
        <f>'SEC Benches Data'!Y80</f>
        <v>0</v>
      </c>
      <c r="AW36" s="40">
        <f>'SEC Benches Data'!AK80</f>
        <v>0</v>
      </c>
      <c r="AX36" s="506" t="e">
        <f t="shared" si="20"/>
        <v>#DIV/0!</v>
      </c>
      <c r="AY36" s="74" t="e">
        <f t="shared" si="21"/>
        <v>#DIV/0!</v>
      </c>
    </row>
    <row r="37" spans="2:51" hidden="1" outlineLevel="1" x14ac:dyDescent="0.25">
      <c r="B37" s="7">
        <f>'SEC Benches Data'!AO81*('SEC Benches Data'!AL81/100)</f>
        <v>0</v>
      </c>
      <c r="C37" s="7">
        <f>'SEC Benches Data'!AP81*('SEC Benches Data'!AM81/100)</f>
        <v>0</v>
      </c>
      <c r="D37" s="7">
        <f>'SEC Benches Data'!AQ81*('SEC Benches Data'!AN81/100)</f>
        <v>0</v>
      </c>
      <c r="E37" s="74" t="e">
        <f t="shared" si="25"/>
        <v>#DIV/0!</v>
      </c>
      <c r="F37" s="74" t="e">
        <f t="shared" si="26"/>
        <v>#DIV/0!</v>
      </c>
      <c r="G37" s="64">
        <f>'SEC Benches Data'!B81</f>
        <v>0</v>
      </c>
      <c r="H37" s="40">
        <f>'SEC Benches Data'!N81</f>
        <v>0</v>
      </c>
      <c r="I37" s="40">
        <f>'SEC Benches Data'!Z81</f>
        <v>0</v>
      </c>
      <c r="J37" s="74" t="e">
        <f t="shared" si="4"/>
        <v>#DIV/0!</v>
      </c>
      <c r="K37" s="74" t="e">
        <f t="shared" si="5"/>
        <v>#DIV/0!</v>
      </c>
      <c r="L37" s="40">
        <f>'SEC Benches Data'!C81</f>
        <v>0</v>
      </c>
      <c r="M37" s="40">
        <f>'SEC Benches Data'!O81</f>
        <v>0</v>
      </c>
      <c r="N37" s="40">
        <f>'SEC Benches Data'!AA81</f>
        <v>0</v>
      </c>
      <c r="O37" s="506" t="e">
        <f t="shared" si="6"/>
        <v>#DIV/0!</v>
      </c>
      <c r="P37" s="74" t="e">
        <f t="shared" si="7"/>
        <v>#DIV/0!</v>
      </c>
      <c r="Q37" s="40">
        <f>'SEC Benches Data'!D81</f>
        <v>0</v>
      </c>
      <c r="R37" s="40">
        <f>'SEC Benches Data'!P81</f>
        <v>0</v>
      </c>
      <c r="S37" s="40">
        <f>'SEC Benches Data'!AB81</f>
        <v>0</v>
      </c>
      <c r="T37" s="506" t="e">
        <f t="shared" si="8"/>
        <v>#DIV/0!</v>
      </c>
      <c r="U37" s="74" t="e">
        <f t="shared" si="9"/>
        <v>#DIV/0!</v>
      </c>
      <c r="V37" s="40">
        <f>'SEC Benches Data'!E81</f>
        <v>0</v>
      </c>
      <c r="W37" s="40">
        <f>'SEC Benches Data'!Q81</f>
        <v>0</v>
      </c>
      <c r="X37" s="40">
        <f>'SEC Benches Data'!AC81</f>
        <v>0</v>
      </c>
      <c r="Y37" s="506" t="e">
        <f t="shared" si="10"/>
        <v>#DIV/0!</v>
      </c>
      <c r="Z37" s="74" t="e">
        <f t="shared" si="11"/>
        <v>#DIV/0!</v>
      </c>
      <c r="AA37" s="40">
        <f>'SEC Benches Data'!J81</f>
        <v>0</v>
      </c>
      <c r="AB37" s="40">
        <f>'SEC Benches Data'!V81</f>
        <v>0</v>
      </c>
      <c r="AC37" s="40">
        <f>'SEC Benches Data'!AH81</f>
        <v>0</v>
      </c>
      <c r="AD37" s="506" t="e">
        <f t="shared" si="12"/>
        <v>#DIV/0!</v>
      </c>
      <c r="AE37" s="74" t="e">
        <f t="shared" si="13"/>
        <v>#DIV/0!</v>
      </c>
      <c r="AF37" s="40">
        <f>'SEC Benches Data'!G81</f>
        <v>0</v>
      </c>
      <c r="AG37" s="40">
        <f>'SEC Benches Data'!S81</f>
        <v>0</v>
      </c>
      <c r="AH37" s="40">
        <f>'SEC Benches Data'!AE81</f>
        <v>0</v>
      </c>
      <c r="AI37" s="506" t="e">
        <f t="shared" si="14"/>
        <v>#DIV/0!</v>
      </c>
      <c r="AJ37" s="74" t="e">
        <f t="shared" si="15"/>
        <v>#DIV/0!</v>
      </c>
      <c r="AK37" s="40">
        <f>'SEC Benches Data'!H81</f>
        <v>0</v>
      </c>
      <c r="AL37" s="40">
        <f>'SEC Benches Data'!T81</f>
        <v>0</v>
      </c>
      <c r="AM37" s="40">
        <f>'SEC Benches Data'!AF81</f>
        <v>0</v>
      </c>
      <c r="AN37" s="506" t="e">
        <f t="shared" si="16"/>
        <v>#DIV/0!</v>
      </c>
      <c r="AO37" s="74" t="e">
        <f t="shared" si="17"/>
        <v>#DIV/0!</v>
      </c>
      <c r="AP37" s="40">
        <f>'SEC Benches Data'!J81</f>
        <v>0</v>
      </c>
      <c r="AQ37" s="40">
        <f>'SEC Benches Data'!V81</f>
        <v>0</v>
      </c>
      <c r="AR37" s="40">
        <f>'SEC Benches Data'!AH81</f>
        <v>0</v>
      </c>
      <c r="AS37" s="506" t="e">
        <f t="shared" si="18"/>
        <v>#DIV/0!</v>
      </c>
      <c r="AT37" s="74" t="e">
        <f t="shared" si="19"/>
        <v>#DIV/0!</v>
      </c>
      <c r="AU37" s="40">
        <f>'SEC Benches Data'!M81</f>
        <v>0</v>
      </c>
      <c r="AV37" s="40">
        <f>'SEC Benches Data'!Y81</f>
        <v>0</v>
      </c>
      <c r="AW37" s="40">
        <f>'SEC Benches Data'!AK81</f>
        <v>0</v>
      </c>
      <c r="AX37" s="506" t="e">
        <f t="shared" si="20"/>
        <v>#DIV/0!</v>
      </c>
      <c r="AY37" s="74" t="e">
        <f t="shared" si="21"/>
        <v>#DIV/0!</v>
      </c>
    </row>
    <row r="38" spans="2:51" hidden="1" outlineLevel="1" x14ac:dyDescent="0.25">
      <c r="B38" s="7">
        <f>'SEC Benches Data'!AO82*('SEC Benches Data'!AL82/100)</f>
        <v>0</v>
      </c>
      <c r="C38" s="7">
        <f>'SEC Benches Data'!AP82*('SEC Benches Data'!AM82/100)</f>
        <v>0</v>
      </c>
      <c r="D38" s="7">
        <f>'SEC Benches Data'!AQ82*('SEC Benches Data'!AN82/100)</f>
        <v>0</v>
      </c>
      <c r="E38" s="74" t="e">
        <f t="shared" si="25"/>
        <v>#DIV/0!</v>
      </c>
      <c r="F38" s="74" t="e">
        <f t="shared" si="26"/>
        <v>#DIV/0!</v>
      </c>
      <c r="G38" s="64">
        <f>'SEC Benches Data'!B82</f>
        <v>0</v>
      </c>
      <c r="H38" s="40">
        <f>'SEC Benches Data'!N82</f>
        <v>0</v>
      </c>
      <c r="I38" s="40">
        <f>'SEC Benches Data'!Z82</f>
        <v>0</v>
      </c>
      <c r="J38" s="74" t="e">
        <f t="shared" si="4"/>
        <v>#DIV/0!</v>
      </c>
      <c r="K38" s="74" t="e">
        <f t="shared" si="5"/>
        <v>#DIV/0!</v>
      </c>
      <c r="L38" s="40">
        <f>'SEC Benches Data'!C82</f>
        <v>0</v>
      </c>
      <c r="M38" s="40">
        <f>'SEC Benches Data'!O82</f>
        <v>0</v>
      </c>
      <c r="N38" s="40">
        <f>'SEC Benches Data'!AA82</f>
        <v>0</v>
      </c>
      <c r="O38" s="506" t="e">
        <f t="shared" si="6"/>
        <v>#DIV/0!</v>
      </c>
      <c r="P38" s="74" t="e">
        <f t="shared" si="7"/>
        <v>#DIV/0!</v>
      </c>
      <c r="Q38" s="40">
        <f>'SEC Benches Data'!D82</f>
        <v>0</v>
      </c>
      <c r="R38" s="40">
        <f>'SEC Benches Data'!P82</f>
        <v>0</v>
      </c>
      <c r="S38" s="40">
        <f>'SEC Benches Data'!AB82</f>
        <v>0</v>
      </c>
      <c r="T38" s="506" t="e">
        <f t="shared" si="8"/>
        <v>#DIV/0!</v>
      </c>
      <c r="U38" s="74" t="e">
        <f t="shared" si="9"/>
        <v>#DIV/0!</v>
      </c>
      <c r="V38" s="40">
        <f>'SEC Benches Data'!E82</f>
        <v>0</v>
      </c>
      <c r="W38" s="40">
        <f>'SEC Benches Data'!Q82</f>
        <v>0</v>
      </c>
      <c r="X38" s="40">
        <f>'SEC Benches Data'!AC82</f>
        <v>0</v>
      </c>
      <c r="Y38" s="506" t="e">
        <f t="shared" si="10"/>
        <v>#DIV/0!</v>
      </c>
      <c r="Z38" s="74" t="e">
        <f t="shared" si="11"/>
        <v>#DIV/0!</v>
      </c>
      <c r="AA38" s="40">
        <f>'SEC Benches Data'!J82</f>
        <v>0</v>
      </c>
      <c r="AB38" s="40">
        <f>'SEC Benches Data'!V82</f>
        <v>0</v>
      </c>
      <c r="AC38" s="40">
        <f>'SEC Benches Data'!AH82</f>
        <v>0</v>
      </c>
      <c r="AD38" s="506" t="e">
        <f t="shared" si="12"/>
        <v>#DIV/0!</v>
      </c>
      <c r="AE38" s="74" t="e">
        <f t="shared" si="13"/>
        <v>#DIV/0!</v>
      </c>
      <c r="AF38" s="40">
        <f>'SEC Benches Data'!G82</f>
        <v>0</v>
      </c>
      <c r="AG38" s="40">
        <f>'SEC Benches Data'!S82</f>
        <v>0</v>
      </c>
      <c r="AH38" s="40">
        <f>'SEC Benches Data'!AE82</f>
        <v>0</v>
      </c>
      <c r="AI38" s="506" t="e">
        <f t="shared" si="14"/>
        <v>#DIV/0!</v>
      </c>
      <c r="AJ38" s="74" t="e">
        <f t="shared" si="15"/>
        <v>#DIV/0!</v>
      </c>
      <c r="AK38" s="40">
        <f>'SEC Benches Data'!H82</f>
        <v>0</v>
      </c>
      <c r="AL38" s="40">
        <f>'SEC Benches Data'!T82</f>
        <v>0</v>
      </c>
      <c r="AM38" s="40">
        <f>'SEC Benches Data'!AF82</f>
        <v>0</v>
      </c>
      <c r="AN38" s="506" t="e">
        <f t="shared" si="16"/>
        <v>#DIV/0!</v>
      </c>
      <c r="AO38" s="74" t="e">
        <f t="shared" si="17"/>
        <v>#DIV/0!</v>
      </c>
      <c r="AP38" s="40">
        <f>'SEC Benches Data'!J82</f>
        <v>0</v>
      </c>
      <c r="AQ38" s="40">
        <f>'SEC Benches Data'!V82</f>
        <v>0</v>
      </c>
      <c r="AR38" s="40">
        <f>'SEC Benches Data'!AH82</f>
        <v>0</v>
      </c>
      <c r="AS38" s="506" t="e">
        <f t="shared" si="18"/>
        <v>#DIV/0!</v>
      </c>
      <c r="AT38" s="74" t="e">
        <f t="shared" si="19"/>
        <v>#DIV/0!</v>
      </c>
      <c r="AU38" s="40">
        <f>'SEC Benches Data'!M82</f>
        <v>0</v>
      </c>
      <c r="AV38" s="40">
        <f>'SEC Benches Data'!Y82</f>
        <v>0</v>
      </c>
      <c r="AW38" s="40">
        <f>'SEC Benches Data'!AK82</f>
        <v>0</v>
      </c>
      <c r="AX38" s="506" t="e">
        <f t="shared" si="20"/>
        <v>#DIV/0!</v>
      </c>
      <c r="AY38" s="74" t="e">
        <f t="shared" si="21"/>
        <v>#DIV/0!</v>
      </c>
    </row>
    <row r="39" spans="2:51" hidden="1" outlineLevel="1" x14ac:dyDescent="0.25">
      <c r="B39" s="7">
        <f>'SEC Benches Data'!AO83*('SEC Benches Data'!AL83/100)</f>
        <v>0</v>
      </c>
      <c r="C39" s="7">
        <f>'SEC Benches Data'!AP83*('SEC Benches Data'!AM83/100)</f>
        <v>0</v>
      </c>
      <c r="D39" s="7">
        <f>'SEC Benches Data'!AQ83*('SEC Benches Data'!AN83/100)</f>
        <v>0</v>
      </c>
      <c r="E39" s="74" t="e">
        <f t="shared" si="25"/>
        <v>#DIV/0!</v>
      </c>
      <c r="F39" s="74" t="e">
        <f t="shared" si="26"/>
        <v>#DIV/0!</v>
      </c>
      <c r="G39" s="64">
        <f>'SEC Benches Data'!B83</f>
        <v>0</v>
      </c>
      <c r="H39" s="40">
        <f>'SEC Benches Data'!N83</f>
        <v>0</v>
      </c>
      <c r="I39" s="40">
        <f>'SEC Benches Data'!Z83</f>
        <v>0</v>
      </c>
      <c r="J39" s="74" t="e">
        <f t="shared" si="4"/>
        <v>#DIV/0!</v>
      </c>
      <c r="K39" s="74" t="e">
        <f t="shared" si="5"/>
        <v>#DIV/0!</v>
      </c>
      <c r="L39" s="40">
        <f>'SEC Benches Data'!C83</f>
        <v>0</v>
      </c>
      <c r="M39" s="40">
        <f>'SEC Benches Data'!O83</f>
        <v>0</v>
      </c>
      <c r="N39" s="40">
        <f>'SEC Benches Data'!AA83</f>
        <v>0</v>
      </c>
      <c r="O39" s="506" t="e">
        <f t="shared" si="6"/>
        <v>#DIV/0!</v>
      </c>
      <c r="P39" s="74" t="e">
        <f t="shared" si="7"/>
        <v>#DIV/0!</v>
      </c>
      <c r="Q39" s="40">
        <f>'SEC Benches Data'!D83</f>
        <v>0</v>
      </c>
      <c r="R39" s="40">
        <f>'SEC Benches Data'!P83</f>
        <v>0</v>
      </c>
      <c r="S39" s="40">
        <f>'SEC Benches Data'!AB83</f>
        <v>0</v>
      </c>
      <c r="T39" s="506" t="e">
        <f t="shared" si="8"/>
        <v>#DIV/0!</v>
      </c>
      <c r="U39" s="74" t="e">
        <f t="shared" si="9"/>
        <v>#DIV/0!</v>
      </c>
      <c r="V39" s="40">
        <f>'SEC Benches Data'!E83</f>
        <v>0</v>
      </c>
      <c r="W39" s="40">
        <f>'SEC Benches Data'!Q83</f>
        <v>0</v>
      </c>
      <c r="X39" s="40">
        <f>'SEC Benches Data'!AC83</f>
        <v>0</v>
      </c>
      <c r="Y39" s="506" t="e">
        <f t="shared" si="10"/>
        <v>#DIV/0!</v>
      </c>
      <c r="Z39" s="74" t="e">
        <f t="shared" si="11"/>
        <v>#DIV/0!</v>
      </c>
      <c r="AA39" s="40">
        <f>'SEC Benches Data'!J83</f>
        <v>0</v>
      </c>
      <c r="AB39" s="40">
        <f>'SEC Benches Data'!V83</f>
        <v>0</v>
      </c>
      <c r="AC39" s="40">
        <f>'SEC Benches Data'!AH83</f>
        <v>0</v>
      </c>
      <c r="AD39" s="506" t="e">
        <f t="shared" si="12"/>
        <v>#DIV/0!</v>
      </c>
      <c r="AE39" s="74" t="e">
        <f t="shared" si="13"/>
        <v>#DIV/0!</v>
      </c>
      <c r="AF39" s="40">
        <f>'SEC Benches Data'!G83</f>
        <v>0</v>
      </c>
      <c r="AG39" s="40">
        <f>'SEC Benches Data'!S83</f>
        <v>0</v>
      </c>
      <c r="AH39" s="40">
        <f>'SEC Benches Data'!AE83</f>
        <v>0</v>
      </c>
      <c r="AI39" s="506" t="e">
        <f t="shared" si="14"/>
        <v>#DIV/0!</v>
      </c>
      <c r="AJ39" s="74" t="e">
        <f t="shared" si="15"/>
        <v>#DIV/0!</v>
      </c>
      <c r="AK39" s="40">
        <f>'SEC Benches Data'!H83</f>
        <v>0</v>
      </c>
      <c r="AL39" s="40">
        <f>'SEC Benches Data'!T83</f>
        <v>0</v>
      </c>
      <c r="AM39" s="40">
        <f>'SEC Benches Data'!AF83</f>
        <v>0</v>
      </c>
      <c r="AN39" s="506" t="e">
        <f t="shared" si="16"/>
        <v>#DIV/0!</v>
      </c>
      <c r="AO39" s="74" t="e">
        <f t="shared" si="17"/>
        <v>#DIV/0!</v>
      </c>
      <c r="AP39" s="40">
        <f>'SEC Benches Data'!J83</f>
        <v>0</v>
      </c>
      <c r="AQ39" s="40">
        <f>'SEC Benches Data'!V83</f>
        <v>0</v>
      </c>
      <c r="AR39" s="40">
        <f>'SEC Benches Data'!AH83</f>
        <v>0</v>
      </c>
      <c r="AS39" s="506" t="e">
        <f t="shared" si="18"/>
        <v>#DIV/0!</v>
      </c>
      <c r="AT39" s="74" t="e">
        <f t="shared" si="19"/>
        <v>#DIV/0!</v>
      </c>
      <c r="AU39" s="40">
        <f>'SEC Benches Data'!M83</f>
        <v>0</v>
      </c>
      <c r="AV39" s="40">
        <f>'SEC Benches Data'!Y83</f>
        <v>0</v>
      </c>
      <c r="AW39" s="40">
        <f>'SEC Benches Data'!AK83</f>
        <v>0</v>
      </c>
      <c r="AX39" s="506" t="e">
        <f t="shared" si="20"/>
        <v>#DIV/0!</v>
      </c>
      <c r="AY39" s="74" t="e">
        <f t="shared" si="21"/>
        <v>#DIV/0!</v>
      </c>
    </row>
    <row r="40" spans="2:51" hidden="1" outlineLevel="1" x14ac:dyDescent="0.25">
      <c r="B40" s="7">
        <f>'SEC Benches Data'!AO84*('SEC Benches Data'!AL84/100)</f>
        <v>0</v>
      </c>
      <c r="C40" s="7">
        <f>'SEC Benches Data'!AP84*('SEC Benches Data'!AM84/100)</f>
        <v>0</v>
      </c>
      <c r="D40" s="7">
        <f>'SEC Benches Data'!AQ84*('SEC Benches Data'!AN84/100)</f>
        <v>0</v>
      </c>
      <c r="E40" s="74" t="e">
        <f t="shared" si="25"/>
        <v>#DIV/0!</v>
      </c>
      <c r="F40" s="74" t="e">
        <f t="shared" si="26"/>
        <v>#DIV/0!</v>
      </c>
      <c r="G40" s="64">
        <f>'SEC Benches Data'!B84</f>
        <v>0</v>
      </c>
      <c r="H40" s="40">
        <f>'SEC Benches Data'!N84</f>
        <v>0</v>
      </c>
      <c r="I40" s="40">
        <f>'SEC Benches Data'!Z84</f>
        <v>0</v>
      </c>
      <c r="J40" s="74" t="e">
        <f t="shared" si="4"/>
        <v>#DIV/0!</v>
      </c>
      <c r="K40" s="74" t="e">
        <f t="shared" si="5"/>
        <v>#DIV/0!</v>
      </c>
      <c r="L40" s="40">
        <f>'SEC Benches Data'!C84</f>
        <v>0</v>
      </c>
      <c r="M40" s="40">
        <f>'SEC Benches Data'!O84</f>
        <v>0</v>
      </c>
      <c r="N40" s="40">
        <f>'SEC Benches Data'!AA84</f>
        <v>0</v>
      </c>
      <c r="O40" s="506" t="e">
        <f t="shared" si="6"/>
        <v>#DIV/0!</v>
      </c>
      <c r="P40" s="74" t="e">
        <f t="shared" si="7"/>
        <v>#DIV/0!</v>
      </c>
      <c r="Q40" s="40">
        <f>'SEC Benches Data'!D84</f>
        <v>0</v>
      </c>
      <c r="R40" s="40">
        <f>'SEC Benches Data'!P84</f>
        <v>0</v>
      </c>
      <c r="S40" s="40">
        <f>'SEC Benches Data'!AB84</f>
        <v>0</v>
      </c>
      <c r="T40" s="506" t="e">
        <f t="shared" si="8"/>
        <v>#DIV/0!</v>
      </c>
      <c r="U40" s="74" t="e">
        <f t="shared" si="9"/>
        <v>#DIV/0!</v>
      </c>
      <c r="V40" s="40">
        <f>'SEC Benches Data'!E84</f>
        <v>0</v>
      </c>
      <c r="W40" s="40">
        <f>'SEC Benches Data'!Q84</f>
        <v>0</v>
      </c>
      <c r="X40" s="40">
        <f>'SEC Benches Data'!AC84</f>
        <v>0</v>
      </c>
      <c r="Y40" s="506" t="e">
        <f t="shared" si="10"/>
        <v>#DIV/0!</v>
      </c>
      <c r="Z40" s="74" t="e">
        <f t="shared" si="11"/>
        <v>#DIV/0!</v>
      </c>
      <c r="AA40" s="40">
        <f>'SEC Benches Data'!J84</f>
        <v>0</v>
      </c>
      <c r="AB40" s="40">
        <f>'SEC Benches Data'!V84</f>
        <v>0</v>
      </c>
      <c r="AC40" s="40">
        <f>'SEC Benches Data'!AH84</f>
        <v>0</v>
      </c>
      <c r="AD40" s="506" t="e">
        <f t="shared" si="12"/>
        <v>#DIV/0!</v>
      </c>
      <c r="AE40" s="74" t="e">
        <f t="shared" si="13"/>
        <v>#DIV/0!</v>
      </c>
      <c r="AF40" s="40">
        <f>'SEC Benches Data'!G84</f>
        <v>0</v>
      </c>
      <c r="AG40" s="40">
        <f>'SEC Benches Data'!S84</f>
        <v>0</v>
      </c>
      <c r="AH40" s="40">
        <f>'SEC Benches Data'!AE84</f>
        <v>0</v>
      </c>
      <c r="AI40" s="506" t="e">
        <f t="shared" si="14"/>
        <v>#DIV/0!</v>
      </c>
      <c r="AJ40" s="74" t="e">
        <f t="shared" si="15"/>
        <v>#DIV/0!</v>
      </c>
      <c r="AK40" s="40">
        <f>'SEC Benches Data'!H84</f>
        <v>0</v>
      </c>
      <c r="AL40" s="40">
        <f>'SEC Benches Data'!T84</f>
        <v>0</v>
      </c>
      <c r="AM40" s="40">
        <f>'SEC Benches Data'!AF84</f>
        <v>0</v>
      </c>
      <c r="AN40" s="506" t="e">
        <f t="shared" si="16"/>
        <v>#DIV/0!</v>
      </c>
      <c r="AO40" s="74" t="e">
        <f t="shared" si="17"/>
        <v>#DIV/0!</v>
      </c>
      <c r="AP40" s="40">
        <f>'SEC Benches Data'!J84</f>
        <v>0</v>
      </c>
      <c r="AQ40" s="40">
        <f>'SEC Benches Data'!V84</f>
        <v>0</v>
      </c>
      <c r="AR40" s="40">
        <f>'SEC Benches Data'!AH84</f>
        <v>0</v>
      </c>
      <c r="AS40" s="506" t="e">
        <f t="shared" si="18"/>
        <v>#DIV/0!</v>
      </c>
      <c r="AT40" s="74" t="e">
        <f t="shared" si="19"/>
        <v>#DIV/0!</v>
      </c>
      <c r="AU40" s="40">
        <f>'SEC Benches Data'!M84</f>
        <v>0</v>
      </c>
      <c r="AV40" s="40">
        <f>'SEC Benches Data'!Y84</f>
        <v>0</v>
      </c>
      <c r="AW40" s="40">
        <f>'SEC Benches Data'!AK84</f>
        <v>0</v>
      </c>
      <c r="AX40" s="506" t="e">
        <f t="shared" si="20"/>
        <v>#DIV/0!</v>
      </c>
      <c r="AY40" s="74" t="e">
        <f t="shared" si="21"/>
        <v>#DIV/0!</v>
      </c>
    </row>
    <row r="41" spans="2:51" hidden="1" outlineLevel="1" x14ac:dyDescent="0.25">
      <c r="B41" s="7">
        <f>'SEC Benches Data'!AO85*('SEC Benches Data'!AL85/100)</f>
        <v>0</v>
      </c>
      <c r="C41" s="7">
        <f>'SEC Benches Data'!AP85*('SEC Benches Data'!AM85/100)</f>
        <v>0</v>
      </c>
      <c r="D41" s="7">
        <f>'SEC Benches Data'!AQ85*('SEC Benches Data'!AN85/100)</f>
        <v>0</v>
      </c>
      <c r="E41" s="74" t="e">
        <f t="shared" si="25"/>
        <v>#DIV/0!</v>
      </c>
      <c r="F41" s="74" t="e">
        <f t="shared" si="26"/>
        <v>#DIV/0!</v>
      </c>
      <c r="G41" s="64">
        <f>'SEC Benches Data'!B85</f>
        <v>0</v>
      </c>
      <c r="H41" s="40">
        <f>'SEC Benches Data'!N85</f>
        <v>0</v>
      </c>
      <c r="I41" s="40">
        <f>'SEC Benches Data'!Z85</f>
        <v>0</v>
      </c>
      <c r="J41" s="74" t="e">
        <f t="shared" si="4"/>
        <v>#DIV/0!</v>
      </c>
      <c r="K41" s="74" t="e">
        <f t="shared" si="5"/>
        <v>#DIV/0!</v>
      </c>
      <c r="L41" s="40">
        <f>'SEC Benches Data'!C85</f>
        <v>0</v>
      </c>
      <c r="M41" s="40">
        <f>'SEC Benches Data'!O85</f>
        <v>0</v>
      </c>
      <c r="N41" s="40">
        <f>'SEC Benches Data'!AA85</f>
        <v>0</v>
      </c>
      <c r="O41" s="506" t="e">
        <f t="shared" si="6"/>
        <v>#DIV/0!</v>
      </c>
      <c r="P41" s="74" t="e">
        <f t="shared" si="7"/>
        <v>#DIV/0!</v>
      </c>
      <c r="Q41" s="40">
        <f>'SEC Benches Data'!D85</f>
        <v>0</v>
      </c>
      <c r="R41" s="40">
        <f>'SEC Benches Data'!P85</f>
        <v>0</v>
      </c>
      <c r="S41" s="40">
        <f>'SEC Benches Data'!AB85</f>
        <v>0</v>
      </c>
      <c r="T41" s="506" t="e">
        <f t="shared" si="8"/>
        <v>#DIV/0!</v>
      </c>
      <c r="U41" s="74" t="e">
        <f t="shared" si="9"/>
        <v>#DIV/0!</v>
      </c>
      <c r="V41" s="40">
        <f>'SEC Benches Data'!E85</f>
        <v>0</v>
      </c>
      <c r="W41" s="40">
        <f>'SEC Benches Data'!Q85</f>
        <v>0</v>
      </c>
      <c r="X41" s="40">
        <f>'SEC Benches Data'!AC85</f>
        <v>0</v>
      </c>
      <c r="Y41" s="506" t="e">
        <f t="shared" si="10"/>
        <v>#DIV/0!</v>
      </c>
      <c r="Z41" s="74" t="e">
        <f t="shared" si="11"/>
        <v>#DIV/0!</v>
      </c>
      <c r="AA41" s="40">
        <f>'SEC Benches Data'!J85</f>
        <v>0</v>
      </c>
      <c r="AB41" s="40">
        <f>'SEC Benches Data'!V85</f>
        <v>0</v>
      </c>
      <c r="AC41" s="40">
        <f>'SEC Benches Data'!AH85</f>
        <v>0</v>
      </c>
      <c r="AD41" s="506" t="e">
        <f t="shared" si="12"/>
        <v>#DIV/0!</v>
      </c>
      <c r="AE41" s="74" t="e">
        <f t="shared" si="13"/>
        <v>#DIV/0!</v>
      </c>
      <c r="AF41" s="40">
        <f>'SEC Benches Data'!G85</f>
        <v>0</v>
      </c>
      <c r="AG41" s="40">
        <f>'SEC Benches Data'!S85</f>
        <v>0</v>
      </c>
      <c r="AH41" s="40">
        <f>'SEC Benches Data'!AE85</f>
        <v>0</v>
      </c>
      <c r="AI41" s="506" t="e">
        <f t="shared" si="14"/>
        <v>#DIV/0!</v>
      </c>
      <c r="AJ41" s="74" t="e">
        <f t="shared" si="15"/>
        <v>#DIV/0!</v>
      </c>
      <c r="AK41" s="40">
        <f>'SEC Benches Data'!H85</f>
        <v>0</v>
      </c>
      <c r="AL41" s="40">
        <f>'SEC Benches Data'!T85</f>
        <v>0</v>
      </c>
      <c r="AM41" s="40">
        <f>'SEC Benches Data'!AF85</f>
        <v>0</v>
      </c>
      <c r="AN41" s="506" t="e">
        <f t="shared" si="16"/>
        <v>#DIV/0!</v>
      </c>
      <c r="AO41" s="74" t="e">
        <f t="shared" si="17"/>
        <v>#DIV/0!</v>
      </c>
      <c r="AP41" s="40">
        <f>'SEC Benches Data'!J85</f>
        <v>0</v>
      </c>
      <c r="AQ41" s="40">
        <f>'SEC Benches Data'!V85</f>
        <v>0</v>
      </c>
      <c r="AR41" s="40">
        <f>'SEC Benches Data'!AH85</f>
        <v>0</v>
      </c>
      <c r="AS41" s="506" t="e">
        <f t="shared" si="18"/>
        <v>#DIV/0!</v>
      </c>
      <c r="AT41" s="74" t="e">
        <f t="shared" si="19"/>
        <v>#DIV/0!</v>
      </c>
      <c r="AU41" s="40">
        <f>'SEC Benches Data'!M85</f>
        <v>0</v>
      </c>
      <c r="AV41" s="40">
        <f>'SEC Benches Data'!Y85</f>
        <v>0</v>
      </c>
      <c r="AW41" s="40">
        <f>'SEC Benches Data'!AK85</f>
        <v>0</v>
      </c>
      <c r="AX41" s="506" t="e">
        <f t="shared" si="20"/>
        <v>#DIV/0!</v>
      </c>
      <c r="AY41" s="74" t="e">
        <f t="shared" si="21"/>
        <v>#DIV/0!</v>
      </c>
    </row>
    <row r="42" spans="2:51" hidden="1" outlineLevel="1" x14ac:dyDescent="0.25">
      <c r="B42" s="7">
        <f>'SEC Benches Data'!AO86*('SEC Benches Data'!AL86/100)</f>
        <v>0</v>
      </c>
      <c r="C42" s="7">
        <f>'SEC Benches Data'!AP86*('SEC Benches Data'!AM86/100)</f>
        <v>0</v>
      </c>
      <c r="D42" s="7">
        <f>'SEC Benches Data'!AQ86*('SEC Benches Data'!AN86/100)</f>
        <v>0</v>
      </c>
      <c r="E42" s="74" t="e">
        <f t="shared" si="25"/>
        <v>#DIV/0!</v>
      </c>
      <c r="F42" s="74" t="e">
        <f t="shared" si="26"/>
        <v>#DIV/0!</v>
      </c>
      <c r="G42" s="64">
        <f>'SEC Benches Data'!B86</f>
        <v>0</v>
      </c>
      <c r="H42" s="40">
        <f>'SEC Benches Data'!N86</f>
        <v>0</v>
      </c>
      <c r="I42" s="40">
        <f>'SEC Benches Data'!Z86</f>
        <v>0</v>
      </c>
      <c r="J42" s="74" t="e">
        <f t="shared" si="4"/>
        <v>#DIV/0!</v>
      </c>
      <c r="K42" s="74" t="e">
        <f t="shared" si="5"/>
        <v>#DIV/0!</v>
      </c>
      <c r="L42" s="40">
        <f>'SEC Benches Data'!C86</f>
        <v>0</v>
      </c>
      <c r="M42" s="40">
        <f>'SEC Benches Data'!O86</f>
        <v>0</v>
      </c>
      <c r="N42" s="40">
        <f>'SEC Benches Data'!AA86</f>
        <v>0</v>
      </c>
      <c r="O42" s="506" t="e">
        <f t="shared" si="6"/>
        <v>#DIV/0!</v>
      </c>
      <c r="P42" s="74" t="e">
        <f t="shared" si="7"/>
        <v>#DIV/0!</v>
      </c>
      <c r="Q42" s="40">
        <f>'SEC Benches Data'!D86</f>
        <v>0</v>
      </c>
      <c r="R42" s="40">
        <f>'SEC Benches Data'!P86</f>
        <v>0</v>
      </c>
      <c r="S42" s="40">
        <f>'SEC Benches Data'!AB86</f>
        <v>0</v>
      </c>
      <c r="T42" s="506" t="e">
        <f t="shared" si="8"/>
        <v>#DIV/0!</v>
      </c>
      <c r="U42" s="74" t="e">
        <f t="shared" si="9"/>
        <v>#DIV/0!</v>
      </c>
      <c r="V42" s="40">
        <f>'SEC Benches Data'!E86</f>
        <v>0</v>
      </c>
      <c r="W42" s="40">
        <f>'SEC Benches Data'!Q86</f>
        <v>0</v>
      </c>
      <c r="X42" s="40">
        <f>'SEC Benches Data'!AC86</f>
        <v>0</v>
      </c>
      <c r="Y42" s="506" t="e">
        <f t="shared" si="10"/>
        <v>#DIV/0!</v>
      </c>
      <c r="Z42" s="74" t="e">
        <f t="shared" si="11"/>
        <v>#DIV/0!</v>
      </c>
      <c r="AA42" s="40">
        <f>'SEC Benches Data'!J86</f>
        <v>0</v>
      </c>
      <c r="AB42" s="40">
        <f>'SEC Benches Data'!V86</f>
        <v>0</v>
      </c>
      <c r="AC42" s="40">
        <f>'SEC Benches Data'!AH86</f>
        <v>0</v>
      </c>
      <c r="AD42" s="506" t="e">
        <f t="shared" si="12"/>
        <v>#DIV/0!</v>
      </c>
      <c r="AE42" s="74" t="e">
        <f t="shared" si="13"/>
        <v>#DIV/0!</v>
      </c>
      <c r="AF42" s="40">
        <f>'SEC Benches Data'!G86</f>
        <v>0</v>
      </c>
      <c r="AG42" s="40">
        <f>'SEC Benches Data'!S86</f>
        <v>0</v>
      </c>
      <c r="AH42" s="40">
        <f>'SEC Benches Data'!AE86</f>
        <v>0</v>
      </c>
      <c r="AI42" s="506" t="e">
        <f t="shared" si="14"/>
        <v>#DIV/0!</v>
      </c>
      <c r="AJ42" s="74" t="e">
        <f t="shared" si="15"/>
        <v>#DIV/0!</v>
      </c>
      <c r="AK42" s="40">
        <f>'SEC Benches Data'!H86</f>
        <v>0</v>
      </c>
      <c r="AL42" s="40">
        <f>'SEC Benches Data'!T86</f>
        <v>0</v>
      </c>
      <c r="AM42" s="40">
        <f>'SEC Benches Data'!AF86</f>
        <v>0</v>
      </c>
      <c r="AN42" s="506" t="e">
        <f t="shared" si="16"/>
        <v>#DIV/0!</v>
      </c>
      <c r="AO42" s="74" t="e">
        <f t="shared" si="17"/>
        <v>#DIV/0!</v>
      </c>
      <c r="AP42" s="40">
        <f>'SEC Benches Data'!J86</f>
        <v>0</v>
      </c>
      <c r="AQ42" s="40">
        <f>'SEC Benches Data'!V86</f>
        <v>0</v>
      </c>
      <c r="AR42" s="40">
        <f>'SEC Benches Data'!AH86</f>
        <v>0</v>
      </c>
      <c r="AS42" s="506" t="e">
        <f t="shared" si="18"/>
        <v>#DIV/0!</v>
      </c>
      <c r="AT42" s="74" t="e">
        <f t="shared" si="19"/>
        <v>#DIV/0!</v>
      </c>
      <c r="AU42" s="40">
        <f>'SEC Benches Data'!M86</f>
        <v>0</v>
      </c>
      <c r="AV42" s="40">
        <f>'SEC Benches Data'!Y86</f>
        <v>0</v>
      </c>
      <c r="AW42" s="40">
        <f>'SEC Benches Data'!AK86</f>
        <v>0</v>
      </c>
      <c r="AX42" s="506" t="e">
        <f t="shared" si="20"/>
        <v>#DIV/0!</v>
      </c>
      <c r="AY42" s="74" t="e">
        <f t="shared" si="21"/>
        <v>#DIV/0!</v>
      </c>
    </row>
    <row r="43" spans="2:51" hidden="1" outlineLevel="1" x14ac:dyDescent="0.25">
      <c r="B43" s="7">
        <f>'SEC Benches Data'!AO87*('SEC Benches Data'!AL87/100)</f>
        <v>0</v>
      </c>
      <c r="C43" s="7">
        <f>'SEC Benches Data'!AP87*('SEC Benches Data'!AM87/100)</f>
        <v>0</v>
      </c>
      <c r="D43" s="7">
        <f>'SEC Benches Data'!AQ87*('SEC Benches Data'!AN87/100)</f>
        <v>0</v>
      </c>
      <c r="E43" s="74" t="e">
        <f t="shared" si="25"/>
        <v>#DIV/0!</v>
      </c>
      <c r="F43" s="74" t="e">
        <f t="shared" si="26"/>
        <v>#DIV/0!</v>
      </c>
      <c r="G43" s="64">
        <f>'SEC Benches Data'!B87</f>
        <v>0</v>
      </c>
      <c r="H43" s="40">
        <f>'SEC Benches Data'!N87</f>
        <v>0</v>
      </c>
      <c r="I43" s="40">
        <f>'SEC Benches Data'!Z87</f>
        <v>0</v>
      </c>
      <c r="J43" s="74" t="e">
        <f t="shared" si="4"/>
        <v>#DIV/0!</v>
      </c>
      <c r="K43" s="74" t="e">
        <f t="shared" si="5"/>
        <v>#DIV/0!</v>
      </c>
      <c r="L43" s="40">
        <f>'SEC Benches Data'!C87</f>
        <v>0</v>
      </c>
      <c r="M43" s="40">
        <f>'SEC Benches Data'!O87</f>
        <v>0</v>
      </c>
      <c r="N43" s="40">
        <f>'SEC Benches Data'!AA87</f>
        <v>0</v>
      </c>
      <c r="O43" s="506" t="e">
        <f t="shared" si="6"/>
        <v>#DIV/0!</v>
      </c>
      <c r="P43" s="74" t="e">
        <f t="shared" si="7"/>
        <v>#DIV/0!</v>
      </c>
      <c r="Q43" s="40">
        <f>'SEC Benches Data'!D87</f>
        <v>0</v>
      </c>
      <c r="R43" s="40">
        <f>'SEC Benches Data'!P87</f>
        <v>0</v>
      </c>
      <c r="S43" s="40">
        <f>'SEC Benches Data'!AB87</f>
        <v>0</v>
      </c>
      <c r="T43" s="506" t="e">
        <f t="shared" si="8"/>
        <v>#DIV/0!</v>
      </c>
      <c r="U43" s="74" t="e">
        <f t="shared" si="9"/>
        <v>#DIV/0!</v>
      </c>
      <c r="V43" s="40">
        <f>'SEC Benches Data'!E87</f>
        <v>0</v>
      </c>
      <c r="W43" s="40">
        <f>'SEC Benches Data'!Q87</f>
        <v>0</v>
      </c>
      <c r="X43" s="40">
        <f>'SEC Benches Data'!AC87</f>
        <v>0</v>
      </c>
      <c r="Y43" s="506" t="e">
        <f t="shared" si="10"/>
        <v>#DIV/0!</v>
      </c>
      <c r="Z43" s="74" t="e">
        <f t="shared" si="11"/>
        <v>#DIV/0!</v>
      </c>
      <c r="AA43" s="40">
        <f>'SEC Benches Data'!J87</f>
        <v>0</v>
      </c>
      <c r="AB43" s="40">
        <f>'SEC Benches Data'!V87</f>
        <v>0</v>
      </c>
      <c r="AC43" s="40">
        <f>'SEC Benches Data'!AH87</f>
        <v>0</v>
      </c>
      <c r="AD43" s="506" t="e">
        <f t="shared" si="12"/>
        <v>#DIV/0!</v>
      </c>
      <c r="AE43" s="74" t="e">
        <f t="shared" si="13"/>
        <v>#DIV/0!</v>
      </c>
      <c r="AF43" s="40">
        <f>'SEC Benches Data'!G87</f>
        <v>0</v>
      </c>
      <c r="AG43" s="40">
        <f>'SEC Benches Data'!S87</f>
        <v>0</v>
      </c>
      <c r="AH43" s="40">
        <f>'SEC Benches Data'!AE87</f>
        <v>0</v>
      </c>
      <c r="AI43" s="506" t="e">
        <f t="shared" si="14"/>
        <v>#DIV/0!</v>
      </c>
      <c r="AJ43" s="74" t="e">
        <f t="shared" si="15"/>
        <v>#DIV/0!</v>
      </c>
      <c r="AK43" s="40">
        <f>'SEC Benches Data'!H87</f>
        <v>0</v>
      </c>
      <c r="AL43" s="40">
        <f>'SEC Benches Data'!T87</f>
        <v>0</v>
      </c>
      <c r="AM43" s="40">
        <f>'SEC Benches Data'!AF87</f>
        <v>0</v>
      </c>
      <c r="AN43" s="506" t="e">
        <f t="shared" si="16"/>
        <v>#DIV/0!</v>
      </c>
      <c r="AO43" s="74" t="e">
        <f t="shared" si="17"/>
        <v>#DIV/0!</v>
      </c>
      <c r="AP43" s="40">
        <f>'SEC Benches Data'!J87</f>
        <v>0</v>
      </c>
      <c r="AQ43" s="40">
        <f>'SEC Benches Data'!V87</f>
        <v>0</v>
      </c>
      <c r="AR43" s="40">
        <f>'SEC Benches Data'!AH87</f>
        <v>0</v>
      </c>
      <c r="AS43" s="506" t="e">
        <f t="shared" si="18"/>
        <v>#DIV/0!</v>
      </c>
      <c r="AT43" s="74" t="e">
        <f t="shared" si="19"/>
        <v>#DIV/0!</v>
      </c>
      <c r="AU43" s="40">
        <f>'SEC Benches Data'!M87</f>
        <v>0</v>
      </c>
      <c r="AV43" s="40">
        <f>'SEC Benches Data'!Y87</f>
        <v>0</v>
      </c>
      <c r="AW43" s="40">
        <f>'SEC Benches Data'!AK87</f>
        <v>0</v>
      </c>
      <c r="AX43" s="506" t="e">
        <f t="shared" si="20"/>
        <v>#DIV/0!</v>
      </c>
      <c r="AY43" s="74" t="e">
        <f t="shared" si="21"/>
        <v>#DIV/0!</v>
      </c>
    </row>
    <row r="44" spans="2:51" hidden="1" outlineLevel="1" x14ac:dyDescent="0.25">
      <c r="B44" s="7">
        <f>'SEC Benches Data'!AO88*('SEC Benches Data'!AL88/100)</f>
        <v>0</v>
      </c>
      <c r="C44" s="7">
        <f>'SEC Benches Data'!AP88*('SEC Benches Data'!AM88/100)</f>
        <v>0</v>
      </c>
      <c r="D44" s="7">
        <f>'SEC Benches Data'!AQ88*('SEC Benches Data'!AN88/100)</f>
        <v>0</v>
      </c>
      <c r="E44" s="74" t="e">
        <f t="shared" si="25"/>
        <v>#DIV/0!</v>
      </c>
      <c r="F44" s="74" t="e">
        <f t="shared" si="26"/>
        <v>#DIV/0!</v>
      </c>
      <c r="G44" s="64">
        <f>'SEC Benches Data'!B88</f>
        <v>0</v>
      </c>
      <c r="H44" s="40">
        <f>'SEC Benches Data'!N88</f>
        <v>0</v>
      </c>
      <c r="I44" s="40">
        <f>'SEC Benches Data'!Z88</f>
        <v>0</v>
      </c>
      <c r="J44" s="74" t="e">
        <f t="shared" si="4"/>
        <v>#DIV/0!</v>
      </c>
      <c r="K44" s="74" t="e">
        <f t="shared" si="5"/>
        <v>#DIV/0!</v>
      </c>
      <c r="L44" s="40">
        <f>'SEC Benches Data'!C88</f>
        <v>0</v>
      </c>
      <c r="M44" s="40">
        <f>'SEC Benches Data'!O88</f>
        <v>0</v>
      </c>
      <c r="N44" s="40">
        <f>'SEC Benches Data'!AA88</f>
        <v>0</v>
      </c>
      <c r="O44" s="506" t="e">
        <f t="shared" si="6"/>
        <v>#DIV/0!</v>
      </c>
      <c r="P44" s="74" t="e">
        <f t="shared" si="7"/>
        <v>#DIV/0!</v>
      </c>
      <c r="Q44" s="40">
        <f>'SEC Benches Data'!D88</f>
        <v>0</v>
      </c>
      <c r="R44" s="40">
        <f>'SEC Benches Data'!P88</f>
        <v>0</v>
      </c>
      <c r="S44" s="40">
        <f>'SEC Benches Data'!AB88</f>
        <v>0</v>
      </c>
      <c r="T44" s="506" t="e">
        <f t="shared" si="8"/>
        <v>#DIV/0!</v>
      </c>
      <c r="U44" s="74" t="e">
        <f t="shared" si="9"/>
        <v>#DIV/0!</v>
      </c>
      <c r="V44" s="40">
        <f>'SEC Benches Data'!E88</f>
        <v>0</v>
      </c>
      <c r="W44" s="40">
        <f>'SEC Benches Data'!Q88</f>
        <v>0</v>
      </c>
      <c r="X44" s="40">
        <f>'SEC Benches Data'!AC88</f>
        <v>0</v>
      </c>
      <c r="Y44" s="506" t="e">
        <f t="shared" si="10"/>
        <v>#DIV/0!</v>
      </c>
      <c r="Z44" s="74" t="e">
        <f t="shared" si="11"/>
        <v>#DIV/0!</v>
      </c>
      <c r="AA44" s="40">
        <f>'SEC Benches Data'!J88</f>
        <v>0</v>
      </c>
      <c r="AB44" s="40">
        <f>'SEC Benches Data'!V88</f>
        <v>0</v>
      </c>
      <c r="AC44" s="40">
        <f>'SEC Benches Data'!AH88</f>
        <v>0</v>
      </c>
      <c r="AD44" s="506" t="e">
        <f t="shared" si="12"/>
        <v>#DIV/0!</v>
      </c>
      <c r="AE44" s="74" t="e">
        <f t="shared" si="13"/>
        <v>#DIV/0!</v>
      </c>
      <c r="AF44" s="40">
        <f>'SEC Benches Data'!G88</f>
        <v>0</v>
      </c>
      <c r="AG44" s="40">
        <f>'SEC Benches Data'!S88</f>
        <v>0</v>
      </c>
      <c r="AH44" s="40">
        <f>'SEC Benches Data'!AE88</f>
        <v>0</v>
      </c>
      <c r="AI44" s="506" t="e">
        <f t="shared" si="14"/>
        <v>#DIV/0!</v>
      </c>
      <c r="AJ44" s="74" t="e">
        <f t="shared" si="15"/>
        <v>#DIV/0!</v>
      </c>
      <c r="AK44" s="40">
        <f>'SEC Benches Data'!H88</f>
        <v>0</v>
      </c>
      <c r="AL44" s="40">
        <f>'SEC Benches Data'!T88</f>
        <v>0</v>
      </c>
      <c r="AM44" s="40">
        <f>'SEC Benches Data'!AF88</f>
        <v>0</v>
      </c>
      <c r="AN44" s="506" t="e">
        <f t="shared" si="16"/>
        <v>#DIV/0!</v>
      </c>
      <c r="AO44" s="74" t="e">
        <f t="shared" si="17"/>
        <v>#DIV/0!</v>
      </c>
      <c r="AP44" s="40">
        <f>'SEC Benches Data'!J88</f>
        <v>0</v>
      </c>
      <c r="AQ44" s="40">
        <f>'SEC Benches Data'!V88</f>
        <v>0</v>
      </c>
      <c r="AR44" s="40">
        <f>'SEC Benches Data'!AH88</f>
        <v>0</v>
      </c>
      <c r="AS44" s="506" t="e">
        <f t="shared" si="18"/>
        <v>#DIV/0!</v>
      </c>
      <c r="AT44" s="74" t="e">
        <f t="shared" si="19"/>
        <v>#DIV/0!</v>
      </c>
      <c r="AU44" s="40">
        <f>'SEC Benches Data'!M88</f>
        <v>0</v>
      </c>
      <c r="AV44" s="40">
        <f>'SEC Benches Data'!Y88</f>
        <v>0</v>
      </c>
      <c r="AW44" s="40">
        <f>'SEC Benches Data'!AK88</f>
        <v>0</v>
      </c>
      <c r="AX44" s="506" t="e">
        <f t="shared" si="20"/>
        <v>#DIV/0!</v>
      </c>
      <c r="AY44" s="74" t="e">
        <f t="shared" si="21"/>
        <v>#DIV/0!</v>
      </c>
    </row>
    <row r="45" spans="2:51" hidden="1" outlineLevel="1" x14ac:dyDescent="0.25">
      <c r="B45" s="7">
        <f>'SEC Benches Data'!AO89*('SEC Benches Data'!AL89/100)</f>
        <v>0</v>
      </c>
      <c r="C45" s="7">
        <f>'SEC Benches Data'!AP89*('SEC Benches Data'!AM89/100)</f>
        <v>0</v>
      </c>
      <c r="D45" s="7">
        <f>'SEC Benches Data'!AQ89*('SEC Benches Data'!AN89/100)</f>
        <v>0</v>
      </c>
      <c r="E45" s="74" t="e">
        <f t="shared" si="25"/>
        <v>#DIV/0!</v>
      </c>
      <c r="F45" s="74" t="e">
        <f t="shared" si="26"/>
        <v>#DIV/0!</v>
      </c>
      <c r="G45" s="64">
        <f>'SEC Benches Data'!B89</f>
        <v>0</v>
      </c>
      <c r="H45" s="40">
        <f>'SEC Benches Data'!N89</f>
        <v>0</v>
      </c>
      <c r="I45" s="40">
        <f>'SEC Benches Data'!Z89</f>
        <v>0</v>
      </c>
      <c r="J45" s="74" t="e">
        <f t="shared" si="4"/>
        <v>#DIV/0!</v>
      </c>
      <c r="K45" s="74" t="e">
        <f t="shared" si="5"/>
        <v>#DIV/0!</v>
      </c>
      <c r="L45" s="40">
        <f>'SEC Benches Data'!C89</f>
        <v>0</v>
      </c>
      <c r="M45" s="40">
        <f>'SEC Benches Data'!O89</f>
        <v>0</v>
      </c>
      <c r="N45" s="40">
        <f>'SEC Benches Data'!AA89</f>
        <v>0</v>
      </c>
      <c r="O45" s="506" t="e">
        <f t="shared" si="6"/>
        <v>#DIV/0!</v>
      </c>
      <c r="P45" s="74" t="e">
        <f t="shared" si="7"/>
        <v>#DIV/0!</v>
      </c>
      <c r="Q45" s="40">
        <f>'SEC Benches Data'!D89</f>
        <v>0</v>
      </c>
      <c r="R45" s="40">
        <f>'SEC Benches Data'!P89</f>
        <v>0</v>
      </c>
      <c r="S45" s="40">
        <f>'SEC Benches Data'!AB89</f>
        <v>0</v>
      </c>
      <c r="T45" s="506" t="e">
        <f t="shared" si="8"/>
        <v>#DIV/0!</v>
      </c>
      <c r="U45" s="74" t="e">
        <f t="shared" si="9"/>
        <v>#DIV/0!</v>
      </c>
      <c r="V45" s="40">
        <f>'SEC Benches Data'!E89</f>
        <v>0</v>
      </c>
      <c r="W45" s="40">
        <f>'SEC Benches Data'!Q89</f>
        <v>0</v>
      </c>
      <c r="X45" s="40">
        <f>'SEC Benches Data'!AC89</f>
        <v>0</v>
      </c>
      <c r="Y45" s="506" t="e">
        <f t="shared" si="10"/>
        <v>#DIV/0!</v>
      </c>
      <c r="Z45" s="74" t="e">
        <f t="shared" si="11"/>
        <v>#DIV/0!</v>
      </c>
      <c r="AA45" s="40">
        <f>'SEC Benches Data'!J89</f>
        <v>0</v>
      </c>
      <c r="AB45" s="40">
        <f>'SEC Benches Data'!V89</f>
        <v>0</v>
      </c>
      <c r="AC45" s="40">
        <f>'SEC Benches Data'!AH89</f>
        <v>0</v>
      </c>
      <c r="AD45" s="506" t="e">
        <f t="shared" si="12"/>
        <v>#DIV/0!</v>
      </c>
      <c r="AE45" s="74" t="e">
        <f t="shared" si="13"/>
        <v>#DIV/0!</v>
      </c>
      <c r="AF45" s="40">
        <f>'SEC Benches Data'!G89</f>
        <v>0</v>
      </c>
      <c r="AG45" s="40">
        <f>'SEC Benches Data'!S89</f>
        <v>0</v>
      </c>
      <c r="AH45" s="40">
        <f>'SEC Benches Data'!AE89</f>
        <v>0</v>
      </c>
      <c r="AI45" s="506" t="e">
        <f t="shared" si="14"/>
        <v>#DIV/0!</v>
      </c>
      <c r="AJ45" s="74" t="e">
        <f t="shared" si="15"/>
        <v>#DIV/0!</v>
      </c>
      <c r="AK45" s="40">
        <f>'SEC Benches Data'!H89</f>
        <v>0</v>
      </c>
      <c r="AL45" s="40">
        <f>'SEC Benches Data'!T89</f>
        <v>0</v>
      </c>
      <c r="AM45" s="40">
        <f>'SEC Benches Data'!AF89</f>
        <v>0</v>
      </c>
      <c r="AN45" s="506" t="e">
        <f t="shared" si="16"/>
        <v>#DIV/0!</v>
      </c>
      <c r="AO45" s="74" t="e">
        <f t="shared" si="17"/>
        <v>#DIV/0!</v>
      </c>
      <c r="AP45" s="40">
        <f>'SEC Benches Data'!J89</f>
        <v>0</v>
      </c>
      <c r="AQ45" s="40">
        <f>'SEC Benches Data'!V89</f>
        <v>0</v>
      </c>
      <c r="AR45" s="40">
        <f>'SEC Benches Data'!AH89</f>
        <v>0</v>
      </c>
      <c r="AS45" s="506" t="e">
        <f t="shared" si="18"/>
        <v>#DIV/0!</v>
      </c>
      <c r="AT45" s="74" t="e">
        <f t="shared" si="19"/>
        <v>#DIV/0!</v>
      </c>
      <c r="AU45" s="40">
        <f>'SEC Benches Data'!M89</f>
        <v>0</v>
      </c>
      <c r="AV45" s="40">
        <f>'SEC Benches Data'!Y89</f>
        <v>0</v>
      </c>
      <c r="AW45" s="40">
        <f>'SEC Benches Data'!AK89</f>
        <v>0</v>
      </c>
      <c r="AX45" s="506" t="e">
        <f t="shared" si="20"/>
        <v>#DIV/0!</v>
      </c>
      <c r="AY45" s="74" t="e">
        <f t="shared" si="21"/>
        <v>#DIV/0!</v>
      </c>
    </row>
    <row r="46" spans="2:51" hidden="1" outlineLevel="1" x14ac:dyDescent="0.25">
      <c r="B46" s="7">
        <f>'SEC Benches Data'!AO90*('SEC Benches Data'!AL90/100)</f>
        <v>0</v>
      </c>
      <c r="C46" s="7">
        <f>'SEC Benches Data'!AP90*('SEC Benches Data'!AM90/100)</f>
        <v>0</v>
      </c>
      <c r="D46" s="7">
        <f>'SEC Benches Data'!AQ90*('SEC Benches Data'!AN90/100)</f>
        <v>0</v>
      </c>
      <c r="E46" s="74" t="e">
        <f t="shared" si="25"/>
        <v>#DIV/0!</v>
      </c>
      <c r="F46" s="74" t="e">
        <f t="shared" si="26"/>
        <v>#DIV/0!</v>
      </c>
      <c r="G46" s="64">
        <f>'SEC Benches Data'!B90</f>
        <v>0</v>
      </c>
      <c r="H46" s="40">
        <f>'SEC Benches Data'!N90</f>
        <v>0</v>
      </c>
      <c r="I46" s="40">
        <f>'SEC Benches Data'!Z90</f>
        <v>0</v>
      </c>
      <c r="J46" s="74" t="e">
        <f t="shared" si="4"/>
        <v>#DIV/0!</v>
      </c>
      <c r="K46" s="74" t="e">
        <f t="shared" si="5"/>
        <v>#DIV/0!</v>
      </c>
      <c r="L46" s="40">
        <f>'SEC Benches Data'!C90</f>
        <v>0</v>
      </c>
      <c r="M46" s="40">
        <f>'SEC Benches Data'!O90</f>
        <v>0</v>
      </c>
      <c r="N46" s="40">
        <f>'SEC Benches Data'!AA90</f>
        <v>0</v>
      </c>
      <c r="O46" s="506" t="e">
        <f t="shared" si="6"/>
        <v>#DIV/0!</v>
      </c>
      <c r="P46" s="74" t="e">
        <f t="shared" si="7"/>
        <v>#DIV/0!</v>
      </c>
      <c r="Q46" s="40">
        <f>'SEC Benches Data'!D90</f>
        <v>0</v>
      </c>
      <c r="R46" s="40">
        <f>'SEC Benches Data'!P90</f>
        <v>0</v>
      </c>
      <c r="S46" s="40">
        <f>'SEC Benches Data'!AB90</f>
        <v>0</v>
      </c>
      <c r="T46" s="506" t="e">
        <f t="shared" si="8"/>
        <v>#DIV/0!</v>
      </c>
      <c r="U46" s="74" t="e">
        <f t="shared" si="9"/>
        <v>#DIV/0!</v>
      </c>
      <c r="V46" s="40">
        <f>'SEC Benches Data'!E90</f>
        <v>0</v>
      </c>
      <c r="W46" s="40">
        <f>'SEC Benches Data'!Q90</f>
        <v>0</v>
      </c>
      <c r="X46" s="40">
        <f>'SEC Benches Data'!AC90</f>
        <v>0</v>
      </c>
      <c r="Y46" s="506" t="e">
        <f t="shared" si="10"/>
        <v>#DIV/0!</v>
      </c>
      <c r="Z46" s="74" t="e">
        <f t="shared" si="11"/>
        <v>#DIV/0!</v>
      </c>
      <c r="AA46" s="40">
        <f>'SEC Benches Data'!J90</f>
        <v>0</v>
      </c>
      <c r="AB46" s="40">
        <f>'SEC Benches Data'!V90</f>
        <v>0</v>
      </c>
      <c r="AC46" s="40">
        <f>'SEC Benches Data'!AH90</f>
        <v>0</v>
      </c>
      <c r="AD46" s="506" t="e">
        <f t="shared" si="12"/>
        <v>#DIV/0!</v>
      </c>
      <c r="AE46" s="74" t="e">
        <f t="shared" si="13"/>
        <v>#DIV/0!</v>
      </c>
      <c r="AF46" s="40">
        <f>'SEC Benches Data'!G90</f>
        <v>0</v>
      </c>
      <c r="AG46" s="40">
        <f>'SEC Benches Data'!S90</f>
        <v>0</v>
      </c>
      <c r="AH46" s="40">
        <f>'SEC Benches Data'!AE90</f>
        <v>0</v>
      </c>
      <c r="AI46" s="506" t="e">
        <f t="shared" si="14"/>
        <v>#DIV/0!</v>
      </c>
      <c r="AJ46" s="74" t="e">
        <f t="shared" si="15"/>
        <v>#DIV/0!</v>
      </c>
      <c r="AK46" s="40">
        <f>'SEC Benches Data'!H90</f>
        <v>0</v>
      </c>
      <c r="AL46" s="40">
        <f>'SEC Benches Data'!T90</f>
        <v>0</v>
      </c>
      <c r="AM46" s="40">
        <f>'SEC Benches Data'!AF90</f>
        <v>0</v>
      </c>
      <c r="AN46" s="506" t="e">
        <f t="shared" si="16"/>
        <v>#DIV/0!</v>
      </c>
      <c r="AO46" s="74" t="e">
        <f t="shared" si="17"/>
        <v>#DIV/0!</v>
      </c>
      <c r="AP46" s="40">
        <f>'SEC Benches Data'!J90</f>
        <v>0</v>
      </c>
      <c r="AQ46" s="40">
        <f>'SEC Benches Data'!V90</f>
        <v>0</v>
      </c>
      <c r="AR46" s="40">
        <f>'SEC Benches Data'!AH90</f>
        <v>0</v>
      </c>
      <c r="AS46" s="506" t="e">
        <f t="shared" si="18"/>
        <v>#DIV/0!</v>
      </c>
      <c r="AT46" s="74" t="e">
        <f t="shared" si="19"/>
        <v>#DIV/0!</v>
      </c>
      <c r="AU46" s="40">
        <f>'SEC Benches Data'!M90</f>
        <v>0</v>
      </c>
      <c r="AV46" s="40">
        <f>'SEC Benches Data'!Y90</f>
        <v>0</v>
      </c>
      <c r="AW46" s="40">
        <f>'SEC Benches Data'!AK90</f>
        <v>0</v>
      </c>
      <c r="AX46" s="506" t="e">
        <f t="shared" si="20"/>
        <v>#DIV/0!</v>
      </c>
      <c r="AY46" s="74" t="e">
        <f t="shared" si="21"/>
        <v>#DIV/0!</v>
      </c>
    </row>
    <row r="47" spans="2:51" hidden="1" outlineLevel="1" x14ac:dyDescent="0.25">
      <c r="B47" s="7">
        <f>'SEC Benches Data'!AO91*('SEC Benches Data'!AL91/100)</f>
        <v>0</v>
      </c>
      <c r="C47" s="7">
        <f>'SEC Benches Data'!AP91*('SEC Benches Data'!AM91/100)</f>
        <v>0</v>
      </c>
      <c r="D47" s="7">
        <f>'SEC Benches Data'!AQ91*('SEC Benches Data'!AN91/100)</f>
        <v>0</v>
      </c>
      <c r="E47" s="74" t="e">
        <f t="shared" si="25"/>
        <v>#DIV/0!</v>
      </c>
      <c r="F47" s="74" t="e">
        <f t="shared" si="26"/>
        <v>#DIV/0!</v>
      </c>
      <c r="G47" s="64">
        <f>'SEC Benches Data'!B91</f>
        <v>0</v>
      </c>
      <c r="H47" s="40">
        <f>'SEC Benches Data'!N91</f>
        <v>0</v>
      </c>
      <c r="I47" s="40">
        <f>'SEC Benches Data'!Z91</f>
        <v>0</v>
      </c>
      <c r="J47" s="74" t="e">
        <f t="shared" si="4"/>
        <v>#DIV/0!</v>
      </c>
      <c r="K47" s="74" t="e">
        <f t="shared" si="5"/>
        <v>#DIV/0!</v>
      </c>
      <c r="L47" s="40">
        <f>'SEC Benches Data'!C91</f>
        <v>0</v>
      </c>
      <c r="M47" s="40">
        <f>'SEC Benches Data'!O91</f>
        <v>0</v>
      </c>
      <c r="N47" s="40">
        <f>'SEC Benches Data'!AA91</f>
        <v>0</v>
      </c>
      <c r="O47" s="506" t="e">
        <f t="shared" si="6"/>
        <v>#DIV/0!</v>
      </c>
      <c r="P47" s="74" t="e">
        <f t="shared" si="7"/>
        <v>#DIV/0!</v>
      </c>
      <c r="Q47" s="40">
        <f>'SEC Benches Data'!D91</f>
        <v>0</v>
      </c>
      <c r="R47" s="40">
        <f>'SEC Benches Data'!P91</f>
        <v>0</v>
      </c>
      <c r="S47" s="40">
        <f>'SEC Benches Data'!AB91</f>
        <v>0</v>
      </c>
      <c r="T47" s="506" t="e">
        <f t="shared" si="8"/>
        <v>#DIV/0!</v>
      </c>
      <c r="U47" s="74" t="e">
        <f t="shared" si="9"/>
        <v>#DIV/0!</v>
      </c>
      <c r="V47" s="40">
        <f>'SEC Benches Data'!E91</f>
        <v>0</v>
      </c>
      <c r="W47" s="40">
        <f>'SEC Benches Data'!Q91</f>
        <v>0</v>
      </c>
      <c r="X47" s="40">
        <f>'SEC Benches Data'!AC91</f>
        <v>0</v>
      </c>
      <c r="Y47" s="506" t="e">
        <f t="shared" si="10"/>
        <v>#DIV/0!</v>
      </c>
      <c r="Z47" s="74" t="e">
        <f t="shared" si="11"/>
        <v>#DIV/0!</v>
      </c>
      <c r="AA47" s="40">
        <f>'SEC Benches Data'!J91</f>
        <v>0</v>
      </c>
      <c r="AB47" s="40">
        <f>'SEC Benches Data'!V91</f>
        <v>0</v>
      </c>
      <c r="AC47" s="40">
        <f>'SEC Benches Data'!AH91</f>
        <v>0</v>
      </c>
      <c r="AD47" s="506" t="e">
        <f t="shared" si="12"/>
        <v>#DIV/0!</v>
      </c>
      <c r="AE47" s="74" t="e">
        <f t="shared" si="13"/>
        <v>#DIV/0!</v>
      </c>
      <c r="AF47" s="40">
        <f>'SEC Benches Data'!G91</f>
        <v>0</v>
      </c>
      <c r="AG47" s="40">
        <f>'SEC Benches Data'!S91</f>
        <v>0</v>
      </c>
      <c r="AH47" s="40">
        <f>'SEC Benches Data'!AE91</f>
        <v>0</v>
      </c>
      <c r="AI47" s="506" t="e">
        <f t="shared" si="14"/>
        <v>#DIV/0!</v>
      </c>
      <c r="AJ47" s="74" t="e">
        <f t="shared" si="15"/>
        <v>#DIV/0!</v>
      </c>
      <c r="AK47" s="40">
        <f>'SEC Benches Data'!H91</f>
        <v>0</v>
      </c>
      <c r="AL47" s="40">
        <f>'SEC Benches Data'!T91</f>
        <v>0</v>
      </c>
      <c r="AM47" s="40">
        <f>'SEC Benches Data'!AF91</f>
        <v>0</v>
      </c>
      <c r="AN47" s="506" t="e">
        <f t="shared" si="16"/>
        <v>#DIV/0!</v>
      </c>
      <c r="AO47" s="74" t="e">
        <f t="shared" si="17"/>
        <v>#DIV/0!</v>
      </c>
      <c r="AP47" s="40">
        <f>'SEC Benches Data'!J91</f>
        <v>0</v>
      </c>
      <c r="AQ47" s="40">
        <f>'SEC Benches Data'!V91</f>
        <v>0</v>
      </c>
      <c r="AR47" s="40">
        <f>'SEC Benches Data'!AH91</f>
        <v>0</v>
      </c>
      <c r="AS47" s="506" t="e">
        <f t="shared" si="18"/>
        <v>#DIV/0!</v>
      </c>
      <c r="AT47" s="74" t="e">
        <f t="shared" si="19"/>
        <v>#DIV/0!</v>
      </c>
      <c r="AU47" s="40">
        <f>'SEC Benches Data'!M91</f>
        <v>0</v>
      </c>
      <c r="AV47" s="40">
        <f>'SEC Benches Data'!Y91</f>
        <v>0</v>
      </c>
      <c r="AW47" s="40">
        <f>'SEC Benches Data'!AK91</f>
        <v>0</v>
      </c>
      <c r="AX47" s="506" t="e">
        <f t="shared" si="20"/>
        <v>#DIV/0!</v>
      </c>
      <c r="AY47" s="74" t="e">
        <f t="shared" si="21"/>
        <v>#DIV/0!</v>
      </c>
    </row>
    <row r="48" spans="2:51" hidden="1" outlineLevel="1" x14ac:dyDescent="0.25">
      <c r="B48" s="7">
        <f>'SEC Benches Data'!AO92*('SEC Benches Data'!AL92/100)</f>
        <v>0</v>
      </c>
      <c r="C48" s="7">
        <f>'SEC Benches Data'!AP92*('SEC Benches Data'!AM92/100)</f>
        <v>0</v>
      </c>
      <c r="D48" s="7">
        <f>'SEC Benches Data'!AQ92*('SEC Benches Data'!AN92/100)</f>
        <v>0</v>
      </c>
      <c r="E48" s="74" t="e">
        <f t="shared" si="25"/>
        <v>#DIV/0!</v>
      </c>
      <c r="F48" s="74" t="e">
        <f t="shared" si="26"/>
        <v>#DIV/0!</v>
      </c>
      <c r="G48" s="64">
        <f>'SEC Benches Data'!B92</f>
        <v>0</v>
      </c>
      <c r="H48" s="40">
        <f>'SEC Benches Data'!N92</f>
        <v>0</v>
      </c>
      <c r="I48" s="40">
        <f>'SEC Benches Data'!Z92</f>
        <v>0</v>
      </c>
      <c r="J48" s="74" t="e">
        <f t="shared" si="4"/>
        <v>#DIV/0!</v>
      </c>
      <c r="K48" s="74" t="e">
        <f t="shared" si="5"/>
        <v>#DIV/0!</v>
      </c>
      <c r="L48" s="40">
        <f>'SEC Benches Data'!C92</f>
        <v>0</v>
      </c>
      <c r="M48" s="40">
        <f>'SEC Benches Data'!O92</f>
        <v>0</v>
      </c>
      <c r="N48" s="40">
        <f>'SEC Benches Data'!AA92</f>
        <v>0</v>
      </c>
      <c r="O48" s="506" t="e">
        <f t="shared" si="6"/>
        <v>#DIV/0!</v>
      </c>
      <c r="P48" s="74" t="e">
        <f t="shared" si="7"/>
        <v>#DIV/0!</v>
      </c>
      <c r="Q48" s="40">
        <f>'SEC Benches Data'!D92</f>
        <v>0</v>
      </c>
      <c r="R48" s="40">
        <f>'SEC Benches Data'!P92</f>
        <v>0</v>
      </c>
      <c r="S48" s="40">
        <f>'SEC Benches Data'!AB92</f>
        <v>0</v>
      </c>
      <c r="T48" s="506" t="e">
        <f t="shared" si="8"/>
        <v>#DIV/0!</v>
      </c>
      <c r="U48" s="74" t="e">
        <f t="shared" si="9"/>
        <v>#DIV/0!</v>
      </c>
      <c r="V48" s="40">
        <f>'SEC Benches Data'!E92</f>
        <v>0</v>
      </c>
      <c r="W48" s="40">
        <f>'SEC Benches Data'!Q92</f>
        <v>0</v>
      </c>
      <c r="X48" s="40">
        <f>'SEC Benches Data'!AC92</f>
        <v>0</v>
      </c>
      <c r="Y48" s="506" t="e">
        <f t="shared" si="10"/>
        <v>#DIV/0!</v>
      </c>
      <c r="Z48" s="74" t="e">
        <f t="shared" si="11"/>
        <v>#DIV/0!</v>
      </c>
      <c r="AA48" s="40">
        <f>'SEC Benches Data'!J92</f>
        <v>0</v>
      </c>
      <c r="AB48" s="40">
        <f>'SEC Benches Data'!V92</f>
        <v>0</v>
      </c>
      <c r="AC48" s="40">
        <f>'SEC Benches Data'!AH92</f>
        <v>0</v>
      </c>
      <c r="AD48" s="506" t="e">
        <f t="shared" si="12"/>
        <v>#DIV/0!</v>
      </c>
      <c r="AE48" s="74" t="e">
        <f t="shared" si="13"/>
        <v>#DIV/0!</v>
      </c>
      <c r="AF48" s="40">
        <f>'SEC Benches Data'!G92</f>
        <v>0</v>
      </c>
      <c r="AG48" s="40">
        <f>'SEC Benches Data'!S92</f>
        <v>0</v>
      </c>
      <c r="AH48" s="40">
        <f>'SEC Benches Data'!AE92</f>
        <v>0</v>
      </c>
      <c r="AI48" s="506" t="e">
        <f t="shared" si="14"/>
        <v>#DIV/0!</v>
      </c>
      <c r="AJ48" s="74" t="e">
        <f t="shared" si="15"/>
        <v>#DIV/0!</v>
      </c>
      <c r="AK48" s="40">
        <f>'SEC Benches Data'!H92</f>
        <v>0</v>
      </c>
      <c r="AL48" s="40">
        <f>'SEC Benches Data'!T92</f>
        <v>0</v>
      </c>
      <c r="AM48" s="40">
        <f>'SEC Benches Data'!AF92</f>
        <v>0</v>
      </c>
      <c r="AN48" s="506" t="e">
        <f t="shared" si="16"/>
        <v>#DIV/0!</v>
      </c>
      <c r="AO48" s="74" t="e">
        <f t="shared" si="17"/>
        <v>#DIV/0!</v>
      </c>
      <c r="AP48" s="40">
        <f>'SEC Benches Data'!J92</f>
        <v>0</v>
      </c>
      <c r="AQ48" s="40">
        <f>'SEC Benches Data'!V92</f>
        <v>0</v>
      </c>
      <c r="AR48" s="40">
        <f>'SEC Benches Data'!AH92</f>
        <v>0</v>
      </c>
      <c r="AS48" s="506" t="e">
        <f t="shared" si="18"/>
        <v>#DIV/0!</v>
      </c>
      <c r="AT48" s="74" t="e">
        <f t="shared" si="19"/>
        <v>#DIV/0!</v>
      </c>
      <c r="AU48" s="40">
        <f>'SEC Benches Data'!M92</f>
        <v>0</v>
      </c>
      <c r="AV48" s="40">
        <f>'SEC Benches Data'!Y92</f>
        <v>0</v>
      </c>
      <c r="AW48" s="40">
        <f>'SEC Benches Data'!AK92</f>
        <v>0</v>
      </c>
      <c r="AX48" s="506" t="e">
        <f t="shared" si="20"/>
        <v>#DIV/0!</v>
      </c>
      <c r="AY48" s="74" t="e">
        <f t="shared" si="21"/>
        <v>#DIV/0!</v>
      </c>
    </row>
    <row r="49" spans="1:51" hidden="1" outlineLevel="1" x14ac:dyDescent="0.25">
      <c r="B49" s="7">
        <f>'SEC Benches Data'!AO93*('SEC Benches Data'!AL93/100)</f>
        <v>0</v>
      </c>
      <c r="C49" s="7">
        <f>'SEC Benches Data'!AP93*('SEC Benches Data'!AM93/100)</f>
        <v>0</v>
      </c>
      <c r="D49" s="7">
        <f>'SEC Benches Data'!AQ93*('SEC Benches Data'!AN93/100)</f>
        <v>0</v>
      </c>
      <c r="E49" s="74" t="e">
        <f t="shared" si="25"/>
        <v>#DIV/0!</v>
      </c>
      <c r="F49" s="74" t="e">
        <f t="shared" si="26"/>
        <v>#DIV/0!</v>
      </c>
      <c r="G49" s="64">
        <f>'SEC Benches Data'!B93</f>
        <v>0</v>
      </c>
      <c r="H49" s="40">
        <f>'SEC Benches Data'!N93</f>
        <v>0</v>
      </c>
      <c r="I49" s="40">
        <f>'SEC Benches Data'!Z93</f>
        <v>0</v>
      </c>
      <c r="J49" s="74" t="e">
        <f t="shared" si="4"/>
        <v>#DIV/0!</v>
      </c>
      <c r="K49" s="74" t="e">
        <f t="shared" si="5"/>
        <v>#DIV/0!</v>
      </c>
      <c r="L49" s="40">
        <f>'SEC Benches Data'!C93</f>
        <v>0</v>
      </c>
      <c r="M49" s="40">
        <f>'SEC Benches Data'!O93</f>
        <v>0</v>
      </c>
      <c r="N49" s="40">
        <f>'SEC Benches Data'!AA93</f>
        <v>0</v>
      </c>
      <c r="O49" s="506" t="e">
        <f t="shared" si="6"/>
        <v>#DIV/0!</v>
      </c>
      <c r="P49" s="74" t="e">
        <f t="shared" si="7"/>
        <v>#DIV/0!</v>
      </c>
      <c r="Q49" s="40">
        <f>'SEC Benches Data'!D93</f>
        <v>0</v>
      </c>
      <c r="R49" s="40">
        <f>'SEC Benches Data'!P93</f>
        <v>0</v>
      </c>
      <c r="S49" s="40">
        <f>'SEC Benches Data'!AB93</f>
        <v>0</v>
      </c>
      <c r="T49" s="506" t="e">
        <f t="shared" si="8"/>
        <v>#DIV/0!</v>
      </c>
      <c r="U49" s="74" t="e">
        <f t="shared" si="9"/>
        <v>#DIV/0!</v>
      </c>
      <c r="V49" s="40">
        <f>'SEC Benches Data'!E93</f>
        <v>0</v>
      </c>
      <c r="W49" s="40">
        <f>'SEC Benches Data'!Q93</f>
        <v>0</v>
      </c>
      <c r="X49" s="40">
        <f>'SEC Benches Data'!AC93</f>
        <v>0</v>
      </c>
      <c r="Y49" s="506" t="e">
        <f t="shared" si="10"/>
        <v>#DIV/0!</v>
      </c>
      <c r="Z49" s="74" t="e">
        <f t="shared" si="11"/>
        <v>#DIV/0!</v>
      </c>
      <c r="AA49" s="40">
        <f>'SEC Benches Data'!J93</f>
        <v>0</v>
      </c>
      <c r="AB49" s="40">
        <f>'SEC Benches Data'!V93</f>
        <v>0</v>
      </c>
      <c r="AC49" s="40">
        <f>'SEC Benches Data'!AH93</f>
        <v>0</v>
      </c>
      <c r="AD49" s="506" t="e">
        <f t="shared" si="12"/>
        <v>#DIV/0!</v>
      </c>
      <c r="AE49" s="74" t="e">
        <f t="shared" si="13"/>
        <v>#DIV/0!</v>
      </c>
      <c r="AF49" s="40">
        <f>'SEC Benches Data'!G93</f>
        <v>0</v>
      </c>
      <c r="AG49" s="40">
        <f>'SEC Benches Data'!S93</f>
        <v>0</v>
      </c>
      <c r="AH49" s="40">
        <f>'SEC Benches Data'!AE93</f>
        <v>0</v>
      </c>
      <c r="AI49" s="506" t="e">
        <f t="shared" si="14"/>
        <v>#DIV/0!</v>
      </c>
      <c r="AJ49" s="74" t="e">
        <f t="shared" si="15"/>
        <v>#DIV/0!</v>
      </c>
      <c r="AK49" s="40">
        <f>'SEC Benches Data'!H93</f>
        <v>0</v>
      </c>
      <c r="AL49" s="40">
        <f>'SEC Benches Data'!T93</f>
        <v>0</v>
      </c>
      <c r="AM49" s="40">
        <f>'SEC Benches Data'!AF93</f>
        <v>0</v>
      </c>
      <c r="AN49" s="506" t="e">
        <f t="shared" si="16"/>
        <v>#DIV/0!</v>
      </c>
      <c r="AO49" s="74" t="e">
        <f t="shared" si="17"/>
        <v>#DIV/0!</v>
      </c>
      <c r="AP49" s="40">
        <f>'SEC Benches Data'!J93</f>
        <v>0</v>
      </c>
      <c r="AQ49" s="40">
        <f>'SEC Benches Data'!V93</f>
        <v>0</v>
      </c>
      <c r="AR49" s="40">
        <f>'SEC Benches Data'!AH93</f>
        <v>0</v>
      </c>
      <c r="AS49" s="506" t="e">
        <f t="shared" si="18"/>
        <v>#DIV/0!</v>
      </c>
      <c r="AT49" s="74" t="e">
        <f t="shared" si="19"/>
        <v>#DIV/0!</v>
      </c>
      <c r="AU49" s="40">
        <f>'SEC Benches Data'!M93</f>
        <v>0</v>
      </c>
      <c r="AV49" s="40">
        <f>'SEC Benches Data'!Y93</f>
        <v>0</v>
      </c>
      <c r="AW49" s="40">
        <f>'SEC Benches Data'!AK93</f>
        <v>0</v>
      </c>
      <c r="AX49" s="506" t="e">
        <f t="shared" si="20"/>
        <v>#DIV/0!</v>
      </c>
      <c r="AY49" s="74" t="e">
        <f t="shared" si="21"/>
        <v>#DIV/0!</v>
      </c>
    </row>
    <row r="50" spans="1:51" hidden="1" outlineLevel="1" x14ac:dyDescent="0.25">
      <c r="B50" s="7">
        <f>'SEC Benches Data'!AO94*('SEC Benches Data'!AL94/100)</f>
        <v>0</v>
      </c>
      <c r="C50" s="7">
        <f>'SEC Benches Data'!AP94*('SEC Benches Data'!AM94/100)</f>
        <v>0</v>
      </c>
      <c r="D50" s="7">
        <f>'SEC Benches Data'!AQ94*('SEC Benches Data'!AN94/100)</f>
        <v>0</v>
      </c>
      <c r="E50" s="74" t="e">
        <f t="shared" si="25"/>
        <v>#DIV/0!</v>
      </c>
      <c r="F50" s="74" t="e">
        <f t="shared" si="26"/>
        <v>#DIV/0!</v>
      </c>
      <c r="G50" s="64">
        <f>'SEC Benches Data'!B94</f>
        <v>0</v>
      </c>
      <c r="H50" s="40">
        <f>'SEC Benches Data'!N94</f>
        <v>0</v>
      </c>
      <c r="I50" s="40">
        <f>'SEC Benches Data'!Z94</f>
        <v>0</v>
      </c>
      <c r="J50" s="74" t="e">
        <f t="shared" si="4"/>
        <v>#DIV/0!</v>
      </c>
      <c r="K50" s="74" t="e">
        <f t="shared" si="5"/>
        <v>#DIV/0!</v>
      </c>
      <c r="L50" s="40">
        <f>'SEC Benches Data'!C94</f>
        <v>0</v>
      </c>
      <c r="M50" s="40">
        <f>'SEC Benches Data'!O94</f>
        <v>0</v>
      </c>
      <c r="N50" s="40">
        <f>'SEC Benches Data'!AA94</f>
        <v>0</v>
      </c>
      <c r="O50" s="506" t="e">
        <f t="shared" si="6"/>
        <v>#DIV/0!</v>
      </c>
      <c r="P50" s="74" t="e">
        <f t="shared" si="7"/>
        <v>#DIV/0!</v>
      </c>
      <c r="Q50" s="40">
        <f>'SEC Benches Data'!D94</f>
        <v>0</v>
      </c>
      <c r="R50" s="40">
        <f>'SEC Benches Data'!P94</f>
        <v>0</v>
      </c>
      <c r="S50" s="40">
        <f>'SEC Benches Data'!AB94</f>
        <v>0</v>
      </c>
      <c r="T50" s="506" t="e">
        <f t="shared" si="8"/>
        <v>#DIV/0!</v>
      </c>
      <c r="U50" s="74" t="e">
        <f t="shared" si="9"/>
        <v>#DIV/0!</v>
      </c>
      <c r="V50" s="40">
        <f>'SEC Benches Data'!E94</f>
        <v>0</v>
      </c>
      <c r="W50" s="40">
        <f>'SEC Benches Data'!Q94</f>
        <v>0</v>
      </c>
      <c r="X50" s="40">
        <f>'SEC Benches Data'!AC94</f>
        <v>0</v>
      </c>
      <c r="Y50" s="506" t="e">
        <f t="shared" si="10"/>
        <v>#DIV/0!</v>
      </c>
      <c r="Z50" s="74" t="e">
        <f t="shared" si="11"/>
        <v>#DIV/0!</v>
      </c>
      <c r="AA50" s="40">
        <f>'SEC Benches Data'!J94</f>
        <v>0</v>
      </c>
      <c r="AB50" s="40">
        <f>'SEC Benches Data'!V94</f>
        <v>0</v>
      </c>
      <c r="AC50" s="40">
        <f>'SEC Benches Data'!AH94</f>
        <v>0</v>
      </c>
      <c r="AD50" s="506" t="e">
        <f t="shared" si="12"/>
        <v>#DIV/0!</v>
      </c>
      <c r="AE50" s="74" t="e">
        <f t="shared" si="13"/>
        <v>#DIV/0!</v>
      </c>
      <c r="AF50" s="40">
        <f>'SEC Benches Data'!G94</f>
        <v>0</v>
      </c>
      <c r="AG50" s="40">
        <f>'SEC Benches Data'!S94</f>
        <v>0</v>
      </c>
      <c r="AH50" s="40">
        <f>'SEC Benches Data'!AE94</f>
        <v>0</v>
      </c>
      <c r="AI50" s="506" t="e">
        <f t="shared" si="14"/>
        <v>#DIV/0!</v>
      </c>
      <c r="AJ50" s="74" t="e">
        <f t="shared" si="15"/>
        <v>#DIV/0!</v>
      </c>
      <c r="AK50" s="40">
        <f>'SEC Benches Data'!H94</f>
        <v>0</v>
      </c>
      <c r="AL50" s="40">
        <f>'SEC Benches Data'!T94</f>
        <v>0</v>
      </c>
      <c r="AM50" s="40">
        <f>'SEC Benches Data'!AF94</f>
        <v>0</v>
      </c>
      <c r="AN50" s="506" t="e">
        <f t="shared" si="16"/>
        <v>#DIV/0!</v>
      </c>
      <c r="AO50" s="74" t="e">
        <f t="shared" si="17"/>
        <v>#DIV/0!</v>
      </c>
      <c r="AP50" s="40">
        <f>'SEC Benches Data'!J94</f>
        <v>0</v>
      </c>
      <c r="AQ50" s="40">
        <f>'SEC Benches Data'!V94</f>
        <v>0</v>
      </c>
      <c r="AR50" s="40">
        <f>'SEC Benches Data'!AH94</f>
        <v>0</v>
      </c>
      <c r="AS50" s="506" t="e">
        <f t="shared" si="18"/>
        <v>#DIV/0!</v>
      </c>
      <c r="AT50" s="74" t="e">
        <f t="shared" si="19"/>
        <v>#DIV/0!</v>
      </c>
      <c r="AU50" s="40">
        <f>'SEC Benches Data'!M94</f>
        <v>0</v>
      </c>
      <c r="AV50" s="40">
        <f>'SEC Benches Data'!Y94</f>
        <v>0</v>
      </c>
      <c r="AW50" s="40">
        <f>'SEC Benches Data'!AK94</f>
        <v>0</v>
      </c>
      <c r="AX50" s="506" t="e">
        <f t="shared" si="20"/>
        <v>#DIV/0!</v>
      </c>
      <c r="AY50" s="74" t="e">
        <f t="shared" si="21"/>
        <v>#DIV/0!</v>
      </c>
    </row>
    <row r="51" spans="1:51" hidden="1" outlineLevel="1" x14ac:dyDescent="0.25">
      <c r="B51" s="7">
        <f>'SEC Benches Data'!AO95*('SEC Benches Data'!AL95/100)</f>
        <v>0</v>
      </c>
      <c r="C51" s="7">
        <f>'SEC Benches Data'!AP95*('SEC Benches Data'!AM95/100)</f>
        <v>0</v>
      </c>
      <c r="D51" s="7">
        <f>'SEC Benches Data'!AQ95*('SEC Benches Data'!AN95/100)</f>
        <v>0</v>
      </c>
      <c r="E51" s="74" t="e">
        <f t="shared" si="25"/>
        <v>#DIV/0!</v>
      </c>
      <c r="F51" s="74" t="e">
        <f t="shared" si="26"/>
        <v>#DIV/0!</v>
      </c>
      <c r="G51" s="64">
        <f>'SEC Benches Data'!B95</f>
        <v>0</v>
      </c>
      <c r="H51" s="40">
        <f>'SEC Benches Data'!N95</f>
        <v>0</v>
      </c>
      <c r="I51" s="40">
        <f>'SEC Benches Data'!Z95</f>
        <v>0</v>
      </c>
      <c r="J51" s="74" t="e">
        <f t="shared" si="4"/>
        <v>#DIV/0!</v>
      </c>
      <c r="K51" s="74" t="e">
        <f t="shared" si="5"/>
        <v>#DIV/0!</v>
      </c>
      <c r="L51" s="40">
        <f>'SEC Benches Data'!C95</f>
        <v>0</v>
      </c>
      <c r="M51" s="40">
        <f>'SEC Benches Data'!O95</f>
        <v>0</v>
      </c>
      <c r="N51" s="40">
        <f>'SEC Benches Data'!AA95</f>
        <v>0</v>
      </c>
      <c r="O51" s="506" t="e">
        <f t="shared" si="6"/>
        <v>#DIV/0!</v>
      </c>
      <c r="P51" s="74" t="e">
        <f t="shared" si="7"/>
        <v>#DIV/0!</v>
      </c>
      <c r="Q51" s="40">
        <f>'SEC Benches Data'!D95</f>
        <v>0</v>
      </c>
      <c r="R51" s="40">
        <f>'SEC Benches Data'!P95</f>
        <v>0</v>
      </c>
      <c r="S51" s="40">
        <f>'SEC Benches Data'!AB95</f>
        <v>0</v>
      </c>
      <c r="T51" s="506" t="e">
        <f t="shared" si="8"/>
        <v>#DIV/0!</v>
      </c>
      <c r="U51" s="74" t="e">
        <f t="shared" si="9"/>
        <v>#DIV/0!</v>
      </c>
      <c r="V51" s="40">
        <f>'SEC Benches Data'!E95</f>
        <v>0</v>
      </c>
      <c r="W51" s="40">
        <f>'SEC Benches Data'!Q95</f>
        <v>0</v>
      </c>
      <c r="X51" s="40">
        <f>'SEC Benches Data'!AC95</f>
        <v>0</v>
      </c>
      <c r="Y51" s="506" t="e">
        <f t="shared" si="10"/>
        <v>#DIV/0!</v>
      </c>
      <c r="Z51" s="74" t="e">
        <f t="shared" si="11"/>
        <v>#DIV/0!</v>
      </c>
      <c r="AA51" s="40">
        <f>'SEC Benches Data'!J95</f>
        <v>0</v>
      </c>
      <c r="AB51" s="40">
        <f>'SEC Benches Data'!V95</f>
        <v>0</v>
      </c>
      <c r="AC51" s="40">
        <f>'SEC Benches Data'!AH95</f>
        <v>0</v>
      </c>
      <c r="AD51" s="506" t="e">
        <f t="shared" si="12"/>
        <v>#DIV/0!</v>
      </c>
      <c r="AE51" s="74" t="e">
        <f t="shared" si="13"/>
        <v>#DIV/0!</v>
      </c>
      <c r="AF51" s="40">
        <f>'SEC Benches Data'!G95</f>
        <v>0</v>
      </c>
      <c r="AG51" s="40">
        <f>'SEC Benches Data'!S95</f>
        <v>0</v>
      </c>
      <c r="AH51" s="40">
        <f>'SEC Benches Data'!AE95</f>
        <v>0</v>
      </c>
      <c r="AI51" s="506" t="e">
        <f t="shared" si="14"/>
        <v>#DIV/0!</v>
      </c>
      <c r="AJ51" s="74" t="e">
        <f t="shared" si="15"/>
        <v>#DIV/0!</v>
      </c>
      <c r="AK51" s="40">
        <f>'SEC Benches Data'!H95</f>
        <v>0</v>
      </c>
      <c r="AL51" s="40">
        <f>'SEC Benches Data'!T95</f>
        <v>0</v>
      </c>
      <c r="AM51" s="40">
        <f>'SEC Benches Data'!AF95</f>
        <v>0</v>
      </c>
      <c r="AN51" s="506" t="e">
        <f t="shared" si="16"/>
        <v>#DIV/0!</v>
      </c>
      <c r="AO51" s="74" t="e">
        <f t="shared" si="17"/>
        <v>#DIV/0!</v>
      </c>
      <c r="AP51" s="40">
        <f>'SEC Benches Data'!J95</f>
        <v>0</v>
      </c>
      <c r="AQ51" s="40">
        <f>'SEC Benches Data'!V95</f>
        <v>0</v>
      </c>
      <c r="AR51" s="40">
        <f>'SEC Benches Data'!AH95</f>
        <v>0</v>
      </c>
      <c r="AS51" s="506" t="e">
        <f t="shared" si="18"/>
        <v>#DIV/0!</v>
      </c>
      <c r="AT51" s="74" t="e">
        <f t="shared" si="19"/>
        <v>#DIV/0!</v>
      </c>
      <c r="AU51" s="40">
        <f>'SEC Benches Data'!M95</f>
        <v>0</v>
      </c>
      <c r="AV51" s="40">
        <f>'SEC Benches Data'!Y95</f>
        <v>0</v>
      </c>
      <c r="AW51" s="40">
        <f>'SEC Benches Data'!AK95</f>
        <v>0</v>
      </c>
      <c r="AX51" s="506" t="e">
        <f t="shared" si="20"/>
        <v>#DIV/0!</v>
      </c>
      <c r="AY51" s="74" t="e">
        <f t="shared" si="21"/>
        <v>#DIV/0!</v>
      </c>
    </row>
    <row r="52" spans="1:51" hidden="1" outlineLevel="1" x14ac:dyDescent="0.25">
      <c r="B52" s="7">
        <f>'SEC Benches Data'!AO96*('SEC Benches Data'!AL96/100)</f>
        <v>0</v>
      </c>
      <c r="C52" s="7">
        <f>'SEC Benches Data'!AP96*('SEC Benches Data'!AM96/100)</f>
        <v>0</v>
      </c>
      <c r="D52" s="7">
        <f>'SEC Benches Data'!AQ96*('SEC Benches Data'!AN96/100)</f>
        <v>0</v>
      </c>
      <c r="E52" s="74" t="e">
        <f t="shared" si="25"/>
        <v>#DIV/0!</v>
      </c>
      <c r="F52" s="74" t="e">
        <f t="shared" si="26"/>
        <v>#DIV/0!</v>
      </c>
      <c r="G52" s="64">
        <f>'SEC Benches Data'!B96</f>
        <v>0</v>
      </c>
      <c r="H52" s="40">
        <f>'SEC Benches Data'!N96</f>
        <v>0</v>
      </c>
      <c r="I52" s="40">
        <f>'SEC Benches Data'!Z96</f>
        <v>0</v>
      </c>
      <c r="J52" s="74" t="e">
        <f t="shared" si="4"/>
        <v>#DIV/0!</v>
      </c>
      <c r="K52" s="74" t="e">
        <f t="shared" si="5"/>
        <v>#DIV/0!</v>
      </c>
      <c r="L52" s="40">
        <f>'SEC Benches Data'!C96</f>
        <v>0</v>
      </c>
      <c r="M52" s="40">
        <f>'SEC Benches Data'!O96</f>
        <v>0</v>
      </c>
      <c r="N52" s="40">
        <f>'SEC Benches Data'!AA96</f>
        <v>0</v>
      </c>
      <c r="O52" s="506" t="e">
        <f t="shared" si="6"/>
        <v>#DIV/0!</v>
      </c>
      <c r="P52" s="74" t="e">
        <f t="shared" si="7"/>
        <v>#DIV/0!</v>
      </c>
      <c r="Q52" s="40">
        <f>'SEC Benches Data'!D96</f>
        <v>0</v>
      </c>
      <c r="R52" s="40">
        <f>'SEC Benches Data'!P96</f>
        <v>0</v>
      </c>
      <c r="S52" s="40">
        <f>'SEC Benches Data'!AB96</f>
        <v>0</v>
      </c>
      <c r="T52" s="506" t="e">
        <f t="shared" si="8"/>
        <v>#DIV/0!</v>
      </c>
      <c r="U52" s="74" t="e">
        <f t="shared" si="9"/>
        <v>#DIV/0!</v>
      </c>
      <c r="V52" s="40">
        <f>'SEC Benches Data'!E96</f>
        <v>0</v>
      </c>
      <c r="W52" s="40">
        <f>'SEC Benches Data'!Q96</f>
        <v>0</v>
      </c>
      <c r="X52" s="40">
        <f>'SEC Benches Data'!AC96</f>
        <v>0</v>
      </c>
      <c r="Y52" s="506" t="e">
        <f t="shared" si="10"/>
        <v>#DIV/0!</v>
      </c>
      <c r="Z52" s="74" t="e">
        <f t="shared" si="11"/>
        <v>#DIV/0!</v>
      </c>
      <c r="AA52" s="40">
        <f>'SEC Benches Data'!J96</f>
        <v>0</v>
      </c>
      <c r="AB52" s="40">
        <f>'SEC Benches Data'!V96</f>
        <v>0</v>
      </c>
      <c r="AC52" s="40">
        <f>'SEC Benches Data'!AH96</f>
        <v>0</v>
      </c>
      <c r="AD52" s="506" t="e">
        <f t="shared" si="12"/>
        <v>#DIV/0!</v>
      </c>
      <c r="AE52" s="74" t="e">
        <f t="shared" si="13"/>
        <v>#DIV/0!</v>
      </c>
      <c r="AF52" s="40">
        <f>'SEC Benches Data'!G96</f>
        <v>0</v>
      </c>
      <c r="AG52" s="40">
        <f>'SEC Benches Data'!S96</f>
        <v>0</v>
      </c>
      <c r="AH52" s="40">
        <f>'SEC Benches Data'!AE96</f>
        <v>0</v>
      </c>
      <c r="AI52" s="506" t="e">
        <f t="shared" si="14"/>
        <v>#DIV/0!</v>
      </c>
      <c r="AJ52" s="74" t="e">
        <f t="shared" si="15"/>
        <v>#DIV/0!</v>
      </c>
      <c r="AK52" s="40">
        <f>'SEC Benches Data'!H96</f>
        <v>0</v>
      </c>
      <c r="AL52" s="40">
        <f>'SEC Benches Data'!T96</f>
        <v>0</v>
      </c>
      <c r="AM52" s="40">
        <f>'SEC Benches Data'!AF96</f>
        <v>0</v>
      </c>
      <c r="AN52" s="506" t="e">
        <f t="shared" si="16"/>
        <v>#DIV/0!</v>
      </c>
      <c r="AO52" s="74" t="e">
        <f t="shared" si="17"/>
        <v>#DIV/0!</v>
      </c>
      <c r="AP52" s="40">
        <f>'SEC Benches Data'!J96</f>
        <v>0</v>
      </c>
      <c r="AQ52" s="40">
        <f>'SEC Benches Data'!V96</f>
        <v>0</v>
      </c>
      <c r="AR52" s="40">
        <f>'SEC Benches Data'!AH96</f>
        <v>0</v>
      </c>
      <c r="AS52" s="506" t="e">
        <f t="shared" si="18"/>
        <v>#DIV/0!</v>
      </c>
      <c r="AT52" s="74" t="e">
        <f t="shared" si="19"/>
        <v>#DIV/0!</v>
      </c>
      <c r="AU52" s="40">
        <f>'SEC Benches Data'!M96</f>
        <v>0</v>
      </c>
      <c r="AV52" s="40">
        <f>'SEC Benches Data'!Y96</f>
        <v>0</v>
      </c>
      <c r="AW52" s="40">
        <f>'SEC Benches Data'!AK96</f>
        <v>0</v>
      </c>
      <c r="AX52" s="506" t="e">
        <f t="shared" si="20"/>
        <v>#DIV/0!</v>
      </c>
      <c r="AY52" s="74" t="e">
        <f t="shared" si="21"/>
        <v>#DIV/0!</v>
      </c>
    </row>
    <row r="53" spans="1:51" s="502" customFormat="1" collapsed="1" x14ac:dyDescent="0.25">
      <c r="B53" s="626" t="s">
        <v>13</v>
      </c>
      <c r="C53" s="626"/>
      <c r="D53" s="626"/>
      <c r="E53" s="626" t="s">
        <v>12</v>
      </c>
      <c r="F53" s="627"/>
      <c r="G53" s="626" t="s">
        <v>13</v>
      </c>
      <c r="H53" s="626"/>
      <c r="I53" s="626"/>
      <c r="J53" s="626" t="s">
        <v>12</v>
      </c>
      <c r="K53" s="627"/>
      <c r="L53" s="626" t="s">
        <v>13</v>
      </c>
      <c r="M53" s="626"/>
      <c r="N53" s="626"/>
      <c r="O53" s="626" t="s">
        <v>12</v>
      </c>
      <c r="P53" s="627"/>
      <c r="Q53" s="626" t="s">
        <v>13</v>
      </c>
      <c r="R53" s="626"/>
      <c r="S53" s="626"/>
      <c r="T53" s="626" t="s">
        <v>12</v>
      </c>
      <c r="U53" s="627"/>
      <c r="V53" s="626" t="s">
        <v>13</v>
      </c>
      <c r="W53" s="626"/>
      <c r="X53" s="626"/>
      <c r="Y53" s="626" t="s">
        <v>12</v>
      </c>
      <c r="Z53" s="627"/>
      <c r="AA53" s="626" t="s">
        <v>13</v>
      </c>
      <c r="AB53" s="626"/>
      <c r="AC53" s="626"/>
      <c r="AD53" s="626" t="s">
        <v>12</v>
      </c>
      <c r="AE53" s="627"/>
      <c r="AF53" s="626" t="s">
        <v>13</v>
      </c>
      <c r="AG53" s="626"/>
      <c r="AH53" s="626"/>
      <c r="AI53" s="626" t="s">
        <v>12</v>
      </c>
      <c r="AJ53" s="627"/>
      <c r="AN53" s="507"/>
      <c r="AO53" s="503"/>
      <c r="AS53" s="507"/>
      <c r="AT53" s="503"/>
      <c r="AX53" s="507"/>
      <c r="AY53" s="503"/>
    </row>
    <row r="54" spans="1:51" s="71" customFormat="1" x14ac:dyDescent="0.25">
      <c r="A54" s="71" t="s">
        <v>14</v>
      </c>
      <c r="E54" s="624" t="s">
        <v>29</v>
      </c>
      <c r="F54" s="625"/>
      <c r="G54" s="500" t="str">
        <f>'AM Benches Data'!B2</f>
        <v>732A</v>
      </c>
      <c r="H54" s="71" t="str">
        <f>G54</f>
        <v>732A</v>
      </c>
      <c r="I54" s="71" t="str">
        <f>H54</f>
        <v>732A</v>
      </c>
      <c r="J54" s="71" t="str">
        <f>I54</f>
        <v>732A</v>
      </c>
      <c r="K54" s="501" t="str">
        <f>J54</f>
        <v>732A</v>
      </c>
      <c r="L54" s="71" t="str">
        <f>'AM Benches Data'!C2</f>
        <v>736A</v>
      </c>
      <c r="M54" s="71" t="str">
        <f>L54</f>
        <v>736A</v>
      </c>
      <c r="N54" s="71" t="str">
        <f>M54</f>
        <v>736A</v>
      </c>
      <c r="O54" s="500" t="str">
        <f>N54</f>
        <v>736A</v>
      </c>
      <c r="P54" s="501" t="str">
        <f>O54</f>
        <v>736A</v>
      </c>
      <c r="Q54" s="71" t="str">
        <f>'AM Benches Data'!D2</f>
        <v>736B</v>
      </c>
      <c r="R54" s="71" t="str">
        <f>Q54</f>
        <v>736B</v>
      </c>
      <c r="S54" s="71" t="str">
        <f>R54</f>
        <v>736B</v>
      </c>
      <c r="T54" s="500" t="str">
        <f>S54</f>
        <v>736B</v>
      </c>
      <c r="U54" s="501" t="str">
        <f>T54</f>
        <v>736B</v>
      </c>
      <c r="V54" s="71" t="str">
        <f>'AM Benches Data'!H2</f>
        <v>738A</v>
      </c>
      <c r="W54" s="71" t="str">
        <f>V54</f>
        <v>738A</v>
      </c>
      <c r="X54" s="71" t="str">
        <f>W54</f>
        <v>738A</v>
      </c>
      <c r="Y54" s="500" t="str">
        <f>X54</f>
        <v>738A</v>
      </c>
      <c r="Z54" s="501" t="str">
        <f>Y54</f>
        <v>738A</v>
      </c>
      <c r="AA54" s="71" t="str">
        <f>'AM Benches Data'!I2</f>
        <v>738B</v>
      </c>
      <c r="AB54" s="71" t="str">
        <f>AA54</f>
        <v>738B</v>
      </c>
      <c r="AC54" s="71" t="str">
        <f>AB54</f>
        <v>738B</v>
      </c>
      <c r="AD54" s="500" t="str">
        <f>AC54</f>
        <v>738B</v>
      </c>
      <c r="AE54" s="501" t="str">
        <f>AD54</f>
        <v>738B</v>
      </c>
      <c r="AF54" s="71" t="str">
        <f>'AM Benches Data'!K2</f>
        <v>730A/B</v>
      </c>
      <c r="AG54" s="71" t="str">
        <f>AF54</f>
        <v>730A/B</v>
      </c>
      <c r="AH54" s="71" t="str">
        <f>AG54</f>
        <v>730A/B</v>
      </c>
      <c r="AI54" s="500" t="str">
        <f>AH54</f>
        <v>730A/B</v>
      </c>
      <c r="AJ54" s="501" t="str">
        <f>AI54</f>
        <v>730A/B</v>
      </c>
      <c r="AN54" s="500"/>
      <c r="AO54" s="501"/>
      <c r="AS54" s="500"/>
      <c r="AT54" s="501"/>
      <c r="AX54" s="500"/>
      <c r="AY54" s="501"/>
    </row>
    <row r="55" spans="1:51" s="71" customFormat="1" x14ac:dyDescent="0.25">
      <c r="A55" s="71" t="s">
        <v>16</v>
      </c>
      <c r="B55" s="500" t="s">
        <v>17</v>
      </c>
      <c r="C55" s="71" t="s">
        <v>18</v>
      </c>
      <c r="D55" s="71" t="s">
        <v>19</v>
      </c>
      <c r="E55" s="71" t="s">
        <v>20</v>
      </c>
      <c r="F55" s="501" t="s">
        <v>21</v>
      </c>
      <c r="G55" s="500" t="s">
        <v>17</v>
      </c>
      <c r="H55" s="71" t="s">
        <v>18</v>
      </c>
      <c r="I55" s="71" t="s">
        <v>19</v>
      </c>
      <c r="J55" s="71" t="s">
        <v>20</v>
      </c>
      <c r="K55" s="501" t="s">
        <v>21</v>
      </c>
      <c r="L55" s="71" t="s">
        <v>17</v>
      </c>
      <c r="M55" s="71" t="s">
        <v>18</v>
      </c>
      <c r="N55" s="71" t="s">
        <v>19</v>
      </c>
      <c r="O55" s="500" t="s">
        <v>20</v>
      </c>
      <c r="P55" s="501" t="s">
        <v>21</v>
      </c>
      <c r="Q55" s="71" t="s">
        <v>17</v>
      </c>
      <c r="R55" s="71" t="s">
        <v>18</v>
      </c>
      <c r="S55" s="71" t="s">
        <v>19</v>
      </c>
      <c r="T55" s="500" t="s">
        <v>20</v>
      </c>
      <c r="U55" s="501" t="s">
        <v>21</v>
      </c>
      <c r="V55" s="71" t="s">
        <v>17</v>
      </c>
      <c r="W55" s="71" t="s">
        <v>18</v>
      </c>
      <c r="X55" s="71" t="s">
        <v>19</v>
      </c>
      <c r="Y55" s="500" t="s">
        <v>20</v>
      </c>
      <c r="Z55" s="501" t="s">
        <v>21</v>
      </c>
      <c r="AA55" s="71" t="s">
        <v>17</v>
      </c>
      <c r="AB55" s="71" t="s">
        <v>18</v>
      </c>
      <c r="AC55" s="71" t="s">
        <v>19</v>
      </c>
      <c r="AD55" s="500" t="s">
        <v>20</v>
      </c>
      <c r="AE55" s="501" t="s">
        <v>21</v>
      </c>
      <c r="AF55" s="71" t="s">
        <v>17</v>
      </c>
      <c r="AG55" s="71" t="s">
        <v>18</v>
      </c>
      <c r="AH55" s="71" t="s">
        <v>19</v>
      </c>
      <c r="AI55" s="500" t="s">
        <v>20</v>
      </c>
      <c r="AJ55" s="501" t="s">
        <v>21</v>
      </c>
      <c r="AN55" s="500"/>
      <c r="AO55" s="501"/>
      <c r="AS55" s="500"/>
      <c r="AT55" s="501"/>
      <c r="AX55" s="500"/>
      <c r="AY55" s="501"/>
    </row>
    <row r="56" spans="1:51" s="71" customFormat="1" x14ac:dyDescent="0.25">
      <c r="A56" s="71" t="s">
        <v>22</v>
      </c>
      <c r="B56" s="509" t="s">
        <v>23</v>
      </c>
      <c r="C56" s="510" t="s">
        <v>24</v>
      </c>
      <c r="D56" s="510" t="s">
        <v>25</v>
      </c>
      <c r="E56" s="510" t="s">
        <v>26</v>
      </c>
      <c r="F56" s="511" t="s">
        <v>27</v>
      </c>
      <c r="G56" s="500" t="str">
        <f>'AM Benches Data'!B3</f>
        <v>13 Wks</v>
      </c>
      <c r="H56" s="71" t="str">
        <f>'AM Benches Data'!L3</f>
        <v>14 - 26 Wks</v>
      </c>
      <c r="I56" s="71" t="str">
        <f>'AM Benches Data'!V3</f>
        <v>27 - 52 Wks</v>
      </c>
      <c r="K56" s="501"/>
      <c r="L56" s="71" t="str">
        <f>G56</f>
        <v>13 Wks</v>
      </c>
      <c r="M56" s="71" t="str">
        <f t="shared" ref="M56" si="27">H56</f>
        <v>14 - 26 Wks</v>
      </c>
      <c r="N56" s="71" t="str">
        <f t="shared" ref="N56" si="28">I56</f>
        <v>27 - 52 Wks</v>
      </c>
      <c r="O56" s="500"/>
      <c r="P56" s="501"/>
      <c r="Q56" s="71" t="str">
        <f>G56</f>
        <v>13 Wks</v>
      </c>
      <c r="R56" s="71" t="str">
        <f t="shared" ref="R56" si="29">H56</f>
        <v>14 - 26 Wks</v>
      </c>
      <c r="S56" s="71" t="str">
        <f t="shared" ref="S56" si="30">I56</f>
        <v>27 - 52 Wks</v>
      </c>
      <c r="T56" s="500"/>
      <c r="U56" s="501"/>
      <c r="V56" s="71" t="str">
        <f>Q56</f>
        <v>13 Wks</v>
      </c>
      <c r="W56" s="71" t="str">
        <f>R56</f>
        <v>14 - 26 Wks</v>
      </c>
      <c r="X56" s="71" t="str">
        <f>S56</f>
        <v>27 - 52 Wks</v>
      </c>
      <c r="Y56" s="500"/>
      <c r="Z56" s="501"/>
      <c r="AA56" s="71" t="str">
        <f>V56</f>
        <v>13 Wks</v>
      </c>
      <c r="AB56" s="71" t="str">
        <f>W56</f>
        <v>14 - 26 Wks</v>
      </c>
      <c r="AC56" s="71" t="str">
        <f>X56</f>
        <v>27 - 52 Wks</v>
      </c>
      <c r="AD56" s="500"/>
      <c r="AE56" s="501"/>
      <c r="AF56" s="71" t="str">
        <f>AA56</f>
        <v>13 Wks</v>
      </c>
      <c r="AG56" s="71" t="str">
        <f>AB56</f>
        <v>14 - 26 Wks</v>
      </c>
      <c r="AH56" s="71" t="str">
        <f>AC56</f>
        <v>27 - 52 Wks</v>
      </c>
      <c r="AI56" s="500"/>
      <c r="AJ56" s="501"/>
      <c r="AN56" s="500"/>
      <c r="AO56" s="501"/>
      <c r="AS56" s="500"/>
      <c r="AT56" s="501"/>
      <c r="AX56" s="500"/>
      <c r="AY56" s="501"/>
    </row>
    <row r="57" spans="1:51" s="88" customFormat="1" x14ac:dyDescent="0.25">
      <c r="A57" s="498">
        <f>'AM Benches Data'!A52</f>
        <v>44593</v>
      </c>
      <c r="B57" s="7">
        <f>'AM Benches Data'!AG52*('AM Benches Data'!AD52/100)</f>
        <v>1278.2</v>
      </c>
      <c r="C57" s="7">
        <f>'AM Benches Data'!AH52*('AM Benches Data'!AE52/100)</f>
        <v>585.12</v>
      </c>
      <c r="D57" s="7">
        <f>'AM Benches Data'!AI52*('AM Benches Data'!AF52/100)</f>
        <v>996.19999999999993</v>
      </c>
      <c r="E57" s="88" t="s">
        <v>28</v>
      </c>
      <c r="F57" s="89" t="s">
        <v>28</v>
      </c>
      <c r="G57" s="87">
        <f>'AM Benches Data'!B52</f>
        <v>161</v>
      </c>
      <c r="H57" s="88">
        <f>'AM Benches Data'!L52</f>
        <v>78</v>
      </c>
      <c r="I57" s="88">
        <f>'AM Benches Data'!V52</f>
        <v>136</v>
      </c>
      <c r="J57" s="88" t="s">
        <v>28</v>
      </c>
      <c r="K57" s="89" t="s">
        <v>28</v>
      </c>
      <c r="L57" s="88">
        <f>'AM Benches Data'!C52</f>
        <v>116</v>
      </c>
      <c r="M57" s="88">
        <f>'AM Benches Data'!M52</f>
        <v>30</v>
      </c>
      <c r="N57" s="88">
        <f>'AM Benches Data'!W52</f>
        <v>55</v>
      </c>
      <c r="O57" s="87" t="s">
        <v>28</v>
      </c>
      <c r="P57" s="89" t="s">
        <v>28</v>
      </c>
      <c r="Q57" s="88">
        <f>'AM Benches Data'!D52</f>
        <v>78</v>
      </c>
      <c r="R57" s="88">
        <f>'AM Benches Data'!N52</f>
        <v>27</v>
      </c>
      <c r="S57" s="88">
        <f>'AM Benches Data'!X52</f>
        <v>45</v>
      </c>
      <c r="T57" s="87" t="s">
        <v>28</v>
      </c>
      <c r="U57" s="89" t="s">
        <v>28</v>
      </c>
      <c r="V57" s="88">
        <f>'AM Benches Data'!H52</f>
        <v>42</v>
      </c>
      <c r="W57" s="88">
        <f>'AM Benches Data'!R52</f>
        <v>35</v>
      </c>
      <c r="X57" s="88">
        <f>'AM Benches Data'!Z52</f>
        <v>34</v>
      </c>
      <c r="Y57" s="87" t="s">
        <v>28</v>
      </c>
      <c r="Z57" s="89" t="s">
        <v>28</v>
      </c>
      <c r="AA57" s="88">
        <f>'AM Benches Data'!I52</f>
        <v>55</v>
      </c>
      <c r="AB57" s="88">
        <f>'AM Benches Data'!S52</f>
        <v>47</v>
      </c>
      <c r="AC57" s="88">
        <f>'AM Benches Data'!AA52</f>
        <v>43</v>
      </c>
      <c r="AD57" s="87" t="s">
        <v>28</v>
      </c>
      <c r="AE57" s="89" t="s">
        <v>28</v>
      </c>
      <c r="AF57" s="88">
        <f>'AM Benches Data'!K52</f>
        <v>60</v>
      </c>
      <c r="AG57" s="88">
        <f>'AM Benches Data'!U52</f>
        <v>26</v>
      </c>
      <c r="AH57" s="88">
        <f>'AM Benches Data'!AC52</f>
        <v>57</v>
      </c>
      <c r="AI57" s="87" t="s">
        <v>28</v>
      </c>
      <c r="AJ57" s="89" t="s">
        <v>28</v>
      </c>
      <c r="AN57" s="87"/>
      <c r="AO57" s="89"/>
      <c r="AS57" s="87"/>
      <c r="AT57" s="89"/>
      <c r="AX57" s="87"/>
      <c r="AY57" s="89"/>
    </row>
    <row r="58" spans="1:51" x14ac:dyDescent="0.25">
      <c r="A58" s="497">
        <f>'AM Benches Data'!A53</f>
        <v>44617</v>
      </c>
      <c r="B58" s="7">
        <f>'AM Benches Data'!AG53*('AM Benches Data'!AD53/100)</f>
        <v>1220.9399999999998</v>
      </c>
      <c r="C58" s="7">
        <f>'AM Benches Data'!AH53*('AM Benches Data'!AE53/100)</f>
        <v>840.23</v>
      </c>
      <c r="D58" s="7">
        <f>'AM Benches Data'!AI53*('AM Benches Data'!AF53/100)</f>
        <v>893.35</v>
      </c>
      <c r="E58" s="40" t="s">
        <v>28</v>
      </c>
      <c r="F58" s="69" t="s">
        <v>28</v>
      </c>
      <c r="G58" s="64">
        <f>'AM Benches Data'!B53</f>
        <v>153</v>
      </c>
      <c r="H58" s="40">
        <f>'AM Benches Data'!L53</f>
        <v>123</v>
      </c>
      <c r="I58" s="40">
        <f>'AM Benches Data'!V53</f>
        <v>105</v>
      </c>
      <c r="J58" s="40" t="s">
        <v>28</v>
      </c>
      <c r="K58" s="69" t="s">
        <v>28</v>
      </c>
      <c r="L58" s="40">
        <f>'AM Benches Data'!C53</f>
        <v>100</v>
      </c>
      <c r="M58" s="40">
        <f>'AM Benches Data'!M53</f>
        <v>42</v>
      </c>
      <c r="N58" s="40">
        <f>'AM Benches Data'!W53</f>
        <v>52</v>
      </c>
      <c r="O58" s="64" t="s">
        <v>28</v>
      </c>
      <c r="P58" s="69" t="s">
        <v>28</v>
      </c>
      <c r="Q58" s="40">
        <f>'AM Benches Data'!D53</f>
        <v>64</v>
      </c>
      <c r="R58" s="40">
        <f>'AM Benches Data'!N53</f>
        <v>38</v>
      </c>
      <c r="S58" s="40">
        <f>'AM Benches Data'!X53</f>
        <v>40</v>
      </c>
      <c r="T58" s="64" t="s">
        <v>28</v>
      </c>
      <c r="U58" s="69" t="s">
        <v>28</v>
      </c>
      <c r="V58" s="40">
        <f>'AM Benches Data'!H53</f>
        <v>63</v>
      </c>
      <c r="W58" s="40">
        <f>'AM Benches Data'!R53</f>
        <v>50</v>
      </c>
      <c r="X58" s="40">
        <f>'AM Benches Data'!Z53</f>
        <v>28</v>
      </c>
      <c r="Y58" s="64" t="s">
        <v>28</v>
      </c>
      <c r="Z58" s="69" t="s">
        <v>28</v>
      </c>
      <c r="AA58" s="40">
        <f>'AM Benches Data'!I53</f>
        <v>80</v>
      </c>
      <c r="AB58" s="40">
        <f>'AM Benches Data'!S53</f>
        <v>58</v>
      </c>
      <c r="AC58" s="40">
        <f>'AM Benches Data'!AA53</f>
        <v>36</v>
      </c>
      <c r="AD58" s="64" t="s">
        <v>28</v>
      </c>
      <c r="AE58" s="69" t="s">
        <v>28</v>
      </c>
      <c r="AF58" s="40">
        <f>'AM Benches Data'!K53</f>
        <v>56</v>
      </c>
      <c r="AG58" s="40">
        <f>'AM Benches Data'!U53</f>
        <v>33</v>
      </c>
      <c r="AH58" s="40">
        <f>'AM Benches Data'!AC53</f>
        <v>57</v>
      </c>
      <c r="AI58" s="64" t="s">
        <v>28</v>
      </c>
      <c r="AJ58" s="69" t="s">
        <v>28</v>
      </c>
    </row>
    <row r="59" spans="1:51" x14ac:dyDescent="0.25">
      <c r="A59" s="497">
        <f>'AM Benches Data'!A54</f>
        <v>44655</v>
      </c>
      <c r="B59" s="7">
        <f>'AM Benches Data'!AG54*('AM Benches Data'!AD54/100)</f>
        <v>1166</v>
      </c>
      <c r="C59" s="7">
        <f>'AM Benches Data'!AH54*('AM Benches Data'!AE54/100)</f>
        <v>806.6099999999999</v>
      </c>
      <c r="D59" s="7">
        <f>'AM Benches Data'!AI54*('AM Benches Data'!AF54/100)</f>
        <v>967.84</v>
      </c>
      <c r="E59" s="74" t="s">
        <v>28</v>
      </c>
      <c r="F59" s="69" t="s">
        <v>28</v>
      </c>
      <c r="G59" s="64">
        <f>'AM Benches Data'!B54</f>
        <v>155</v>
      </c>
      <c r="H59" s="40">
        <f>'AM Benches Data'!L54</f>
        <v>116</v>
      </c>
      <c r="I59" s="40">
        <f>'AM Benches Data'!V54</f>
        <v>117</v>
      </c>
      <c r="J59" s="74" t="s">
        <v>28</v>
      </c>
      <c r="K59" s="69" t="s">
        <v>28</v>
      </c>
      <c r="L59" s="40">
        <f>'AM Benches Data'!C54</f>
        <v>77</v>
      </c>
      <c r="M59" s="40">
        <f>'AM Benches Data'!M54</f>
        <v>50</v>
      </c>
      <c r="N59" s="40">
        <f>'AM Benches Data'!W54</f>
        <v>41</v>
      </c>
      <c r="O59" s="506" t="s">
        <v>28</v>
      </c>
      <c r="P59" s="69" t="s">
        <v>28</v>
      </c>
      <c r="Q59" s="40">
        <f>'AM Benches Data'!D54</f>
        <v>63</v>
      </c>
      <c r="R59" s="40">
        <f>'AM Benches Data'!N54</f>
        <v>47</v>
      </c>
      <c r="S59" s="40">
        <f>'AM Benches Data'!X54</f>
        <v>31</v>
      </c>
      <c r="T59" s="506" t="s">
        <v>28</v>
      </c>
      <c r="U59" s="69" t="s">
        <v>28</v>
      </c>
      <c r="V59" s="40">
        <f>'AM Benches Data'!H54</f>
        <v>66</v>
      </c>
      <c r="W59" s="40">
        <f>'AM Benches Data'!R54</f>
        <v>26</v>
      </c>
      <c r="X59" s="40">
        <f>'AM Benches Data'!Z54</f>
        <v>31</v>
      </c>
      <c r="Y59" s="506" t="s">
        <v>28</v>
      </c>
      <c r="Z59" s="69" t="s">
        <v>28</v>
      </c>
      <c r="AA59" s="40">
        <f>'AM Benches Data'!I54</f>
        <v>84</v>
      </c>
      <c r="AB59" s="40">
        <f>'AM Benches Data'!S54</f>
        <v>34</v>
      </c>
      <c r="AC59" s="40">
        <f>'AM Benches Data'!AA54</f>
        <v>41</v>
      </c>
      <c r="AD59" s="506" t="s">
        <v>28</v>
      </c>
      <c r="AE59" s="69" t="s">
        <v>28</v>
      </c>
      <c r="AF59" s="40">
        <f>'AM Benches Data'!K54</f>
        <v>46</v>
      </c>
      <c r="AG59" s="40">
        <f>'AM Benches Data'!U54</f>
        <v>38</v>
      </c>
      <c r="AH59" s="40">
        <f>'AM Benches Data'!AC54</f>
        <v>56</v>
      </c>
      <c r="AI59" s="506" t="s">
        <v>28</v>
      </c>
      <c r="AJ59" s="69" t="s">
        <v>28</v>
      </c>
    </row>
    <row r="60" spans="1:51" x14ac:dyDescent="0.25">
      <c r="A60" s="497">
        <f>'AM Benches Data'!A55</f>
        <v>44691</v>
      </c>
      <c r="B60" s="7">
        <f>'AM Benches Data'!AG55*('AM Benches Data'!AD55/100)</f>
        <v>1025</v>
      </c>
      <c r="C60" s="7">
        <f>'AM Benches Data'!AH55*('AM Benches Data'!AE55/100)</f>
        <v>959.2</v>
      </c>
      <c r="D60" s="7">
        <f>'AM Benches Data'!AI55*('AM Benches Data'!AF55/100)</f>
        <v>744.04</v>
      </c>
      <c r="E60" s="74">
        <f t="shared" ref="E60:E65" si="31">B60/C57</f>
        <v>1.7517774131802024</v>
      </c>
      <c r="F60" s="69" t="s">
        <v>28</v>
      </c>
      <c r="G60" s="64">
        <f>'AM Benches Data'!B55</f>
        <v>140</v>
      </c>
      <c r="H60" s="40">
        <f>'AM Benches Data'!L55</f>
        <v>117</v>
      </c>
      <c r="I60" s="40">
        <f>'AM Benches Data'!V55</f>
        <v>85</v>
      </c>
      <c r="J60" s="74">
        <f t="shared" ref="J60:J65" si="32">G60/H57</f>
        <v>1.7948717948717949</v>
      </c>
      <c r="K60" s="69" t="s">
        <v>28</v>
      </c>
      <c r="L60" s="40">
        <f>'AM Benches Data'!C55</f>
        <v>61</v>
      </c>
      <c r="M60" s="40">
        <f>'AM Benches Data'!M55</f>
        <v>53</v>
      </c>
      <c r="N60" s="40">
        <f>'AM Benches Data'!W55</f>
        <v>40</v>
      </c>
      <c r="O60" s="506">
        <f t="shared" ref="O60:O65" si="33">L60/M57</f>
        <v>2.0333333333333332</v>
      </c>
      <c r="P60" s="69" t="s">
        <v>28</v>
      </c>
      <c r="Q60" s="40">
        <f>'AM Benches Data'!D55</f>
        <v>50</v>
      </c>
      <c r="R60" s="40">
        <f>'AM Benches Data'!N55</f>
        <v>47</v>
      </c>
      <c r="S60" s="40">
        <f>'AM Benches Data'!X55</f>
        <v>31</v>
      </c>
      <c r="T60" s="506">
        <f t="shared" ref="T60:T65" si="34">Q60/R57</f>
        <v>1.8518518518518519</v>
      </c>
      <c r="U60" s="69" t="s">
        <v>28</v>
      </c>
      <c r="V60" s="40">
        <f>'AM Benches Data'!H55</f>
        <v>53</v>
      </c>
      <c r="W60" s="40">
        <f>'AM Benches Data'!R55</f>
        <v>52</v>
      </c>
      <c r="X60" s="40">
        <f>'AM Benches Data'!Z55</f>
        <v>35</v>
      </c>
      <c r="Y60" s="506">
        <f t="shared" ref="Y60:Y65" si="35">V60/W57</f>
        <v>1.5142857142857142</v>
      </c>
      <c r="Z60" s="69" t="s">
        <v>28</v>
      </c>
      <c r="AA60" s="40">
        <f>'AM Benches Data'!I55</f>
        <v>80</v>
      </c>
      <c r="AB60" s="40">
        <f>'AM Benches Data'!S55</f>
        <v>62</v>
      </c>
      <c r="AC60" s="40">
        <f>'AM Benches Data'!AA55</f>
        <v>46</v>
      </c>
      <c r="AD60" s="506">
        <f t="shared" ref="AD60:AD65" si="36">AA60/AB57</f>
        <v>1.7021276595744681</v>
      </c>
      <c r="AE60" s="69" t="s">
        <v>28</v>
      </c>
      <c r="AF60" s="40">
        <f>'AM Benches Data'!K55</f>
        <v>41</v>
      </c>
      <c r="AG60" s="40">
        <f>'AM Benches Data'!U55</f>
        <v>47</v>
      </c>
      <c r="AH60" s="40">
        <f>'AM Benches Data'!AC55</f>
        <v>47</v>
      </c>
      <c r="AI60" s="506">
        <f t="shared" ref="AI60:AI65" si="37">AF60/AG57</f>
        <v>1.5769230769230769</v>
      </c>
      <c r="AJ60" s="69" t="s">
        <v>28</v>
      </c>
    </row>
    <row r="61" spans="1:51" x14ac:dyDescent="0.25">
      <c r="A61" s="497">
        <f>'AM Benches Data'!A56</f>
        <v>44714</v>
      </c>
      <c r="B61" s="7">
        <f>'AM Benches Data'!AG56*('AM Benches Data'!AD56/100)</f>
        <v>980.42</v>
      </c>
      <c r="C61" s="7">
        <f>'AM Benches Data'!AH56*('AM Benches Data'!AE56/100)</f>
        <v>926.5</v>
      </c>
      <c r="D61" s="7">
        <f>'AM Benches Data'!AI56*('AM Benches Data'!AF56/100)</f>
        <v>685.3</v>
      </c>
      <c r="E61" s="74">
        <f t="shared" si="31"/>
        <v>1.1668471727979244</v>
      </c>
      <c r="F61" s="69" t="s">
        <v>28</v>
      </c>
      <c r="G61" s="64">
        <f>'AM Benches Data'!B56</f>
        <v>145</v>
      </c>
      <c r="H61" s="40">
        <f>'AM Benches Data'!L56</f>
        <v>119</v>
      </c>
      <c r="I61" s="40">
        <f>'AM Benches Data'!V56</f>
        <v>83</v>
      </c>
      <c r="J61" s="74">
        <f t="shared" si="32"/>
        <v>1.1788617886178863</v>
      </c>
      <c r="K61" s="69" t="s">
        <v>28</v>
      </c>
      <c r="L61" s="40">
        <f>'AM Benches Data'!C56</f>
        <v>49</v>
      </c>
      <c r="M61" s="40">
        <f>'AM Benches Data'!M56</f>
        <v>50</v>
      </c>
      <c r="N61" s="40">
        <f>'AM Benches Data'!W56</f>
        <v>28</v>
      </c>
      <c r="O61" s="506">
        <f t="shared" si="33"/>
        <v>1.1666666666666667</v>
      </c>
      <c r="P61" s="69" t="s">
        <v>28</v>
      </c>
      <c r="Q61" s="40">
        <f>'AM Benches Data'!D56</f>
        <v>46</v>
      </c>
      <c r="R61" s="40">
        <f>'AM Benches Data'!N56</f>
        <v>43</v>
      </c>
      <c r="S61" s="40">
        <f>'AM Benches Data'!X56</f>
        <v>21</v>
      </c>
      <c r="T61" s="506">
        <f t="shared" si="34"/>
        <v>1.2105263157894737</v>
      </c>
      <c r="U61" s="69" t="s">
        <v>28</v>
      </c>
      <c r="V61" s="40">
        <f>'AM Benches Data'!H56</f>
        <v>66</v>
      </c>
      <c r="W61" s="40">
        <f>'AM Benches Data'!R56</f>
        <v>41</v>
      </c>
      <c r="X61" s="40">
        <f>'AM Benches Data'!Z56</f>
        <v>20</v>
      </c>
      <c r="Y61" s="506">
        <f t="shared" si="35"/>
        <v>1.32</v>
      </c>
      <c r="Z61" s="69" t="s">
        <v>28</v>
      </c>
      <c r="AA61" s="40">
        <f>'AM Benches Data'!I56</f>
        <v>81</v>
      </c>
      <c r="AB61" s="40">
        <f>'AM Benches Data'!S56</f>
        <v>60</v>
      </c>
      <c r="AC61" s="40">
        <f>'AM Benches Data'!AA56</f>
        <v>28</v>
      </c>
      <c r="AD61" s="506">
        <f t="shared" si="36"/>
        <v>1.396551724137931</v>
      </c>
      <c r="AE61" s="69" t="s">
        <v>28</v>
      </c>
      <c r="AF61" s="40">
        <f>'AM Benches Data'!K56</f>
        <v>37</v>
      </c>
      <c r="AG61" s="40">
        <f>'AM Benches Data'!U56</f>
        <v>43</v>
      </c>
      <c r="AH61" s="40">
        <f>'AM Benches Data'!AC56</f>
        <v>45</v>
      </c>
      <c r="AI61" s="506">
        <f t="shared" si="37"/>
        <v>1.1212121212121211</v>
      </c>
      <c r="AJ61" s="69" t="s">
        <v>28</v>
      </c>
    </row>
    <row r="62" spans="1:51" x14ac:dyDescent="0.25">
      <c r="A62" s="497">
        <f>'AM Benches Data'!A57</f>
        <v>44753</v>
      </c>
      <c r="B62" s="7">
        <f>'AM Benches Data'!AG57*('AM Benches Data'!AD57/100)</f>
        <v>1010.38</v>
      </c>
      <c r="C62" s="7">
        <f>'AM Benches Data'!AH57*('AM Benches Data'!AE57/100)</f>
        <v>651.75</v>
      </c>
      <c r="D62" s="7">
        <f>'AM Benches Data'!AI57*('AM Benches Data'!AF57/100)</f>
        <v>642.85</v>
      </c>
      <c r="E62" s="74">
        <f t="shared" si="31"/>
        <v>1.2526251844137812</v>
      </c>
      <c r="F62" s="69" t="s">
        <v>28</v>
      </c>
      <c r="G62" s="64">
        <f>'AM Benches Data'!B57</f>
        <v>116</v>
      </c>
      <c r="H62" s="40">
        <f>'AM Benches Data'!L57</f>
        <v>86</v>
      </c>
      <c r="I62" s="40">
        <f>'AM Benches Data'!V57</f>
        <v>86</v>
      </c>
      <c r="J62" s="74">
        <f t="shared" si="32"/>
        <v>1</v>
      </c>
      <c r="K62" s="69" t="s">
        <v>28</v>
      </c>
      <c r="L62" s="40">
        <f>'AM Benches Data'!C57</f>
        <v>50</v>
      </c>
      <c r="M62" s="40">
        <f>'AM Benches Data'!M57</f>
        <v>43</v>
      </c>
      <c r="N62" s="40">
        <f>'AM Benches Data'!W57</f>
        <v>17</v>
      </c>
      <c r="O62" s="506">
        <f t="shared" si="33"/>
        <v>1</v>
      </c>
      <c r="P62" s="69" t="s">
        <v>28</v>
      </c>
      <c r="Q62" s="40">
        <f>'AM Benches Data'!D57</f>
        <v>47</v>
      </c>
      <c r="R62" s="40">
        <f>'AM Benches Data'!N57</f>
        <v>33</v>
      </c>
      <c r="S62" s="40">
        <f>'AM Benches Data'!X57</f>
        <v>16</v>
      </c>
      <c r="T62" s="506">
        <f t="shared" si="34"/>
        <v>1</v>
      </c>
      <c r="U62" s="69" t="s">
        <v>28</v>
      </c>
      <c r="V62" s="40">
        <f>'AM Benches Data'!H57</f>
        <v>54</v>
      </c>
      <c r="W62" s="40">
        <f>'AM Benches Data'!R57</f>
        <v>30</v>
      </c>
      <c r="X62" s="40">
        <f>'AM Benches Data'!Z57</f>
        <v>23</v>
      </c>
      <c r="Y62" s="506">
        <f t="shared" si="35"/>
        <v>2.0769230769230771</v>
      </c>
      <c r="Z62" s="69" t="s">
        <v>28</v>
      </c>
      <c r="AA62" s="40">
        <f>'AM Benches Data'!I57</f>
        <v>75</v>
      </c>
      <c r="AB62" s="40">
        <f>'AM Benches Data'!S57</f>
        <v>41</v>
      </c>
      <c r="AC62" s="40">
        <f>'AM Benches Data'!AA57</f>
        <v>31</v>
      </c>
      <c r="AD62" s="506">
        <f t="shared" si="36"/>
        <v>2.2058823529411766</v>
      </c>
      <c r="AE62" s="69" t="s">
        <v>28</v>
      </c>
      <c r="AF62" s="40">
        <f>'AM Benches Data'!K57</f>
        <v>44</v>
      </c>
      <c r="AG62" s="40">
        <f>'AM Benches Data'!U57</f>
        <v>41</v>
      </c>
      <c r="AH62" s="40">
        <f>'AM Benches Data'!AC57</f>
        <v>33.5</v>
      </c>
      <c r="AI62" s="506">
        <f t="shared" si="37"/>
        <v>1.1578947368421053</v>
      </c>
      <c r="AJ62" s="69" t="s">
        <v>28</v>
      </c>
    </row>
    <row r="63" spans="1:51" x14ac:dyDescent="0.25">
      <c r="A63" s="497">
        <v>44774</v>
      </c>
      <c r="B63" s="7">
        <f>'AM Benches Data'!AG58*('AM Benches Data'!AD58/100)</f>
        <v>888.16000000000008</v>
      </c>
      <c r="C63" s="7">
        <f>'AM Benches Data'!AH58*('AM Benches Data'!AE58/100)</f>
        <v>662.4</v>
      </c>
      <c r="D63" s="7">
        <f>'AM Benches Data'!AI58*('AM Benches Data'!AF58/100)</f>
        <v>645.06000000000006</v>
      </c>
      <c r="E63" s="74">
        <f t="shared" si="31"/>
        <v>0.92593828190158467</v>
      </c>
      <c r="F63" s="74">
        <f t="shared" ref="F63:F68" si="38">B63/D57</f>
        <v>0.89154788195141554</v>
      </c>
      <c r="G63" s="64">
        <f>'AM Benches Data'!B58</f>
        <v>82</v>
      </c>
      <c r="H63" s="40">
        <f>'AM Benches Data'!L58</f>
        <v>92</v>
      </c>
      <c r="I63" s="40">
        <f>'AM Benches Data'!V58</f>
        <v>88</v>
      </c>
      <c r="J63" s="74">
        <f t="shared" si="32"/>
        <v>0.70085470085470081</v>
      </c>
      <c r="K63" s="74">
        <f t="shared" ref="K63:K68" si="39">G63/I57</f>
        <v>0.6029411764705882</v>
      </c>
      <c r="L63" s="40">
        <f>'AM Benches Data'!C58</f>
        <v>48</v>
      </c>
      <c r="M63" s="40">
        <f>'AM Benches Data'!M58</f>
        <v>46</v>
      </c>
      <c r="N63" s="40">
        <f>'AM Benches Data'!W58</f>
        <v>18</v>
      </c>
      <c r="O63" s="506">
        <f t="shared" si="33"/>
        <v>0.90566037735849059</v>
      </c>
      <c r="P63" s="74">
        <f t="shared" ref="P63:P68" si="40">L63/N57</f>
        <v>0.87272727272727268</v>
      </c>
      <c r="Q63" s="40">
        <f>'AM Benches Data'!D58</f>
        <v>48</v>
      </c>
      <c r="R63" s="40">
        <f>'AM Benches Data'!N58</f>
        <v>33</v>
      </c>
      <c r="S63" s="40">
        <f>'AM Benches Data'!X58</f>
        <v>17</v>
      </c>
      <c r="T63" s="506">
        <f t="shared" si="34"/>
        <v>1.0212765957446808</v>
      </c>
      <c r="U63" s="74">
        <f t="shared" ref="U63:U68" si="41">Q63/S57</f>
        <v>1.0666666666666667</v>
      </c>
      <c r="V63" s="40">
        <f>'AM Benches Data'!H58</f>
        <v>69</v>
      </c>
      <c r="W63" s="40">
        <f>'AM Benches Data'!R58</f>
        <v>17</v>
      </c>
      <c r="X63" s="40">
        <f>'AM Benches Data'!Z58</f>
        <v>21</v>
      </c>
      <c r="Y63" s="506">
        <f t="shared" si="35"/>
        <v>1.3269230769230769</v>
      </c>
      <c r="Z63" s="74">
        <f t="shared" ref="Z63:Z68" si="42">V63/X57</f>
        <v>2.0294117647058822</v>
      </c>
      <c r="AA63" s="40">
        <f>'AM Benches Data'!I58</f>
        <v>92</v>
      </c>
      <c r="AB63" s="40">
        <f>'AM Benches Data'!S58</f>
        <v>25</v>
      </c>
      <c r="AC63" s="40">
        <f>'AM Benches Data'!AA58</f>
        <v>30</v>
      </c>
      <c r="AD63" s="506">
        <f t="shared" si="36"/>
        <v>1.4838709677419355</v>
      </c>
      <c r="AE63" s="74">
        <f t="shared" ref="AE63:AE68" si="43">AA63/AC57</f>
        <v>2.13953488372093</v>
      </c>
      <c r="AF63" s="40">
        <f>'AM Benches Data'!K58</f>
        <v>38</v>
      </c>
      <c r="AG63" s="40">
        <f>'AM Benches Data'!U58</f>
        <v>45</v>
      </c>
      <c r="AH63" s="40">
        <f>'AM Benches Data'!AC58</f>
        <v>35</v>
      </c>
      <c r="AI63" s="506">
        <f t="shared" si="37"/>
        <v>0.80851063829787229</v>
      </c>
      <c r="AJ63" s="74">
        <f t="shared" ref="AJ63:AJ68" si="44">AF63/AH57</f>
        <v>0.66666666666666663</v>
      </c>
    </row>
    <row r="64" spans="1:51" x14ac:dyDescent="0.25">
      <c r="A64" s="497">
        <v>44805</v>
      </c>
      <c r="B64" s="7">
        <f>'AM Benches Data'!AG59*('AM Benches Data'!AD59/100)</f>
        <v>835.1400000000001</v>
      </c>
      <c r="C64" s="7">
        <f>'AM Benches Data'!AH59*('AM Benches Data'!AE59/100)</f>
        <v>713.28</v>
      </c>
      <c r="D64" s="7">
        <f>'AM Benches Data'!AI59*('AM Benches Data'!AF59/100)</f>
        <v>639.48</v>
      </c>
      <c r="E64" s="74">
        <f t="shared" si="31"/>
        <v>0.90139233675121433</v>
      </c>
      <c r="F64" s="74">
        <f t="shared" si="38"/>
        <v>0.93484076789612147</v>
      </c>
      <c r="G64" s="64">
        <f>'AM Benches Data'!B59</f>
        <v>87</v>
      </c>
      <c r="H64" s="40">
        <f>'AM Benches Data'!L59</f>
        <v>115</v>
      </c>
      <c r="I64" s="40">
        <f>'AM Benches Data'!V59</f>
        <v>80</v>
      </c>
      <c r="J64" s="74">
        <f t="shared" si="32"/>
        <v>0.73109243697478987</v>
      </c>
      <c r="K64" s="74">
        <f t="shared" si="39"/>
        <v>0.82857142857142863</v>
      </c>
      <c r="L64" s="40">
        <f>'AM Benches Data'!C59</f>
        <v>54</v>
      </c>
      <c r="M64" s="40">
        <f>'AM Benches Data'!M59</f>
        <v>33</v>
      </c>
      <c r="N64" s="40">
        <f>'AM Benches Data'!W59</f>
        <v>29</v>
      </c>
      <c r="O64" s="506">
        <f t="shared" si="33"/>
        <v>1.08</v>
      </c>
      <c r="P64" s="74">
        <f t="shared" si="40"/>
        <v>1.0384615384615385</v>
      </c>
      <c r="Q64" s="40">
        <f>'AM Benches Data'!D59</f>
        <v>43</v>
      </c>
      <c r="R64" s="40">
        <f>'AM Benches Data'!N59</f>
        <v>24</v>
      </c>
      <c r="S64" s="40">
        <f>'AM Benches Data'!X59</f>
        <v>25</v>
      </c>
      <c r="T64" s="506">
        <f t="shared" si="34"/>
        <v>1</v>
      </c>
      <c r="U64" s="74">
        <f t="shared" si="41"/>
        <v>1.075</v>
      </c>
      <c r="V64" s="40">
        <f>'AM Benches Data'!H59</f>
        <v>50</v>
      </c>
      <c r="W64" s="40">
        <f>'AM Benches Data'!R59</f>
        <v>13</v>
      </c>
      <c r="X64" s="40">
        <f>'AM Benches Data'!Z59</f>
        <v>26</v>
      </c>
      <c r="Y64" s="506">
        <f t="shared" si="35"/>
        <v>1.2195121951219512</v>
      </c>
      <c r="Z64" s="74">
        <f t="shared" si="42"/>
        <v>1.7857142857142858</v>
      </c>
      <c r="AA64" s="40">
        <f>'AM Benches Data'!I59</f>
        <v>72</v>
      </c>
      <c r="AB64" s="40">
        <f>'AM Benches Data'!S59</f>
        <v>19</v>
      </c>
      <c r="AC64" s="40">
        <f>'AM Benches Data'!AA59</f>
        <v>34</v>
      </c>
      <c r="AD64" s="506">
        <f t="shared" si="36"/>
        <v>1.2</v>
      </c>
      <c r="AE64" s="74">
        <f t="shared" si="43"/>
        <v>2</v>
      </c>
      <c r="AF64" s="40">
        <f>'AM Benches Data'!K59</f>
        <v>43</v>
      </c>
      <c r="AG64" s="40">
        <f>'AM Benches Data'!U59</f>
        <v>47</v>
      </c>
      <c r="AH64" s="40">
        <f>'AM Benches Data'!AC59</f>
        <v>35</v>
      </c>
      <c r="AI64" s="506">
        <f t="shared" si="37"/>
        <v>1</v>
      </c>
      <c r="AJ64" s="74">
        <f t="shared" si="44"/>
        <v>0.75438596491228072</v>
      </c>
    </row>
    <row r="65" spans="1:36" x14ac:dyDescent="0.25">
      <c r="A65" s="497">
        <v>44838</v>
      </c>
      <c r="B65" s="7">
        <f>'AM Benches Data'!AG60*('AM Benches Data'!AD60/100)</f>
        <v>689.04</v>
      </c>
      <c r="C65" s="7">
        <f>'AM Benches Data'!AH60*('AM Benches Data'!AE60/100)</f>
        <v>767.04</v>
      </c>
      <c r="D65" s="7">
        <f>'AM Benches Data'!AI60*('AM Benches Data'!AF60/100)</f>
        <v>641.48</v>
      </c>
      <c r="E65" s="74">
        <f t="shared" si="31"/>
        <v>1.0572151898734177</v>
      </c>
      <c r="F65" s="74">
        <f t="shared" si="38"/>
        <v>0.71193585716647378</v>
      </c>
      <c r="G65" s="64">
        <f>'AM Benches Data'!B60</f>
        <v>75</v>
      </c>
      <c r="H65" s="40">
        <f>'AM Benches Data'!L60</f>
        <v>114</v>
      </c>
      <c r="I65" s="40">
        <f>'AM Benches Data'!V60</f>
        <v>83</v>
      </c>
      <c r="J65" s="74">
        <f t="shared" si="32"/>
        <v>0.87209302325581395</v>
      </c>
      <c r="K65" s="74">
        <f t="shared" si="39"/>
        <v>0.64102564102564108</v>
      </c>
      <c r="L65" s="40">
        <f>'AM Benches Data'!C60</f>
        <v>66</v>
      </c>
      <c r="M65" s="40">
        <f>'AM Benches Data'!M60</f>
        <v>29</v>
      </c>
      <c r="N65" s="40">
        <f>'AM Benches Data'!W60</f>
        <v>32</v>
      </c>
      <c r="O65" s="506">
        <f t="shared" si="33"/>
        <v>1.5348837209302326</v>
      </c>
      <c r="P65" s="74">
        <f t="shared" si="40"/>
        <v>1.6097560975609757</v>
      </c>
      <c r="Q65" s="40">
        <f>'AM Benches Data'!D60</f>
        <v>55</v>
      </c>
      <c r="R65" s="40">
        <f>'AM Benches Data'!N60</f>
        <v>19</v>
      </c>
      <c r="S65" s="40">
        <f>'AM Benches Data'!X60</f>
        <v>27</v>
      </c>
      <c r="T65" s="506">
        <f t="shared" si="34"/>
        <v>1.6666666666666667</v>
      </c>
      <c r="U65" s="74">
        <f t="shared" si="41"/>
        <v>1.7741935483870968</v>
      </c>
      <c r="V65" s="40">
        <f>'AM Benches Data'!H60</f>
        <v>30</v>
      </c>
      <c r="W65" s="40">
        <f>'AM Benches Data'!R60</f>
        <v>18</v>
      </c>
      <c r="X65" s="40">
        <f>'AM Benches Data'!Z60</f>
        <v>23</v>
      </c>
      <c r="Y65" s="506">
        <f t="shared" si="35"/>
        <v>1</v>
      </c>
      <c r="Z65" s="74">
        <f t="shared" si="42"/>
        <v>0.967741935483871</v>
      </c>
      <c r="AA65" s="40">
        <f>'AM Benches Data'!I60</f>
        <v>42</v>
      </c>
      <c r="AB65" s="40">
        <f>'AM Benches Data'!S60</f>
        <v>22</v>
      </c>
      <c r="AC65" s="40">
        <f>'AM Benches Data'!AA60</f>
        <v>30</v>
      </c>
      <c r="AD65" s="506">
        <f t="shared" si="36"/>
        <v>1.024390243902439</v>
      </c>
      <c r="AE65" s="74">
        <f t="shared" si="43"/>
        <v>1.024390243902439</v>
      </c>
      <c r="AF65" s="40">
        <f>'AM Benches Data'!K60</f>
        <v>47</v>
      </c>
      <c r="AG65" s="40">
        <f>'AM Benches Data'!U60</f>
        <v>37</v>
      </c>
      <c r="AH65" s="40">
        <f>'AM Benches Data'!AC60</f>
        <v>33</v>
      </c>
      <c r="AI65" s="506">
        <f t="shared" si="37"/>
        <v>1.1463414634146341</v>
      </c>
      <c r="AJ65" s="74">
        <f t="shared" si="44"/>
        <v>0.8392857142857143</v>
      </c>
    </row>
    <row r="66" spans="1:36" x14ac:dyDescent="0.25">
      <c r="A66" s="497">
        <v>44868</v>
      </c>
      <c r="B66" s="7">
        <f>'AM Benches Data'!AG61*('AM Benches Data'!AD61/100)</f>
        <v>729.93</v>
      </c>
      <c r="C66" s="7">
        <f>'AM Benches Data'!AH61*('AM Benches Data'!AE61/100)</f>
        <v>652.19000000000005</v>
      </c>
      <c r="D66" s="7">
        <f>'AM Benches Data'!AI61*('AM Benches Data'!AF61/100)</f>
        <v>582.12</v>
      </c>
      <c r="E66" s="74">
        <f>B66/C63</f>
        <v>1.1019474637681159</v>
      </c>
      <c r="F66" s="74">
        <f t="shared" si="38"/>
        <v>0.98103596580828989</v>
      </c>
      <c r="G66" s="64">
        <f>'AM Benches Data'!B61</f>
        <v>82</v>
      </c>
      <c r="H66" s="40">
        <f>'AM Benches Data'!L61</f>
        <v>96</v>
      </c>
      <c r="I66" s="40">
        <f>'AM Benches Data'!V61</f>
        <v>75</v>
      </c>
      <c r="J66" s="74">
        <f t="shared" ref="J66" si="45">G66/H63</f>
        <v>0.89130434782608692</v>
      </c>
      <c r="K66" s="74">
        <f t="shared" si="39"/>
        <v>0.96470588235294119</v>
      </c>
      <c r="L66" s="40">
        <f>'AM Benches Data'!C61</f>
        <v>55</v>
      </c>
      <c r="M66" s="40">
        <f>'AM Benches Data'!M61</f>
        <v>33</v>
      </c>
      <c r="N66" s="40">
        <f>'AM Benches Data'!W61</f>
        <v>29</v>
      </c>
      <c r="O66" s="506">
        <f t="shared" ref="O66" si="46">L66/M63</f>
        <v>1.1956521739130435</v>
      </c>
      <c r="P66" s="74">
        <f t="shared" si="40"/>
        <v>1.375</v>
      </c>
      <c r="Q66" s="40">
        <f>'AM Benches Data'!D61</f>
        <v>50</v>
      </c>
      <c r="R66" s="40">
        <f>'AM Benches Data'!N61</f>
        <v>27</v>
      </c>
      <c r="S66" s="40">
        <f>'AM Benches Data'!X61</f>
        <v>24</v>
      </c>
      <c r="T66" s="506">
        <f t="shared" ref="T66" si="47">Q66/R63</f>
        <v>1.5151515151515151</v>
      </c>
      <c r="U66" s="74">
        <f t="shared" si="41"/>
        <v>1.6129032258064515</v>
      </c>
      <c r="V66" s="40">
        <f>'AM Benches Data'!H61</f>
        <v>20</v>
      </c>
      <c r="W66" s="40">
        <f>'AM Benches Data'!R61</f>
        <v>25</v>
      </c>
      <c r="X66" s="40">
        <f>'AM Benches Data'!Z61</f>
        <v>23</v>
      </c>
      <c r="Y66" s="506">
        <f t="shared" ref="Y66" si="48">V66/W63</f>
        <v>1.1764705882352942</v>
      </c>
      <c r="Z66" s="74">
        <f t="shared" si="42"/>
        <v>0.5714285714285714</v>
      </c>
      <c r="AA66" s="40">
        <f>'AM Benches Data'!I61</f>
        <v>32</v>
      </c>
      <c r="AB66" s="40">
        <f>'AM Benches Data'!S61</f>
        <v>32</v>
      </c>
      <c r="AC66" s="40">
        <f>'AM Benches Data'!AA61</f>
        <v>28</v>
      </c>
      <c r="AD66" s="506">
        <f t="shared" ref="AD66" si="49">AA66/AB63</f>
        <v>1.28</v>
      </c>
      <c r="AE66" s="74">
        <f t="shared" si="43"/>
        <v>0.69565217391304346</v>
      </c>
      <c r="AF66" s="40">
        <f>'AM Benches Data'!K61</f>
        <v>36</v>
      </c>
      <c r="AG66" s="40">
        <f>'AM Benches Data'!U61</f>
        <v>28</v>
      </c>
      <c r="AH66" s="40">
        <f>'AM Benches Data'!AC61</f>
        <v>28</v>
      </c>
      <c r="AI66" s="506">
        <f t="shared" ref="AI66" si="50">AF66/AG63</f>
        <v>0.8</v>
      </c>
      <c r="AJ66" s="74">
        <f t="shared" si="44"/>
        <v>0.76595744680851063</v>
      </c>
    </row>
    <row r="67" spans="1:36" x14ac:dyDescent="0.25">
      <c r="A67" s="497">
        <v>44908</v>
      </c>
      <c r="B67" s="7">
        <f>'AM Benches Data'!AG62*('AM Benches Data'!AD62/100)</f>
        <v>650</v>
      </c>
      <c r="C67" s="7">
        <f>'AM Benches Data'!AH62*('AM Benches Data'!AE62/100)</f>
        <v>508.08</v>
      </c>
      <c r="D67" s="7">
        <f>'AM Benches Data'!AI62*('AM Benches Data'!AF62/100)</f>
        <v>576.21999999999991</v>
      </c>
      <c r="E67" s="74">
        <f>B67/C64</f>
        <v>0.91128308658591295</v>
      </c>
      <c r="F67" s="74">
        <f t="shared" si="38"/>
        <v>0.94848971253465642</v>
      </c>
      <c r="G67" s="64">
        <f>'AM Benches Data'!B62</f>
        <v>75</v>
      </c>
      <c r="H67" s="40">
        <f>'AM Benches Data'!L62</f>
        <v>76</v>
      </c>
      <c r="I67" s="40">
        <f>'AM Benches Data'!V62</f>
        <v>68</v>
      </c>
      <c r="J67" s="74">
        <f t="shared" ref="J67" si="51">G67/H64</f>
        <v>0.65217391304347827</v>
      </c>
      <c r="K67" s="74">
        <f t="shared" si="39"/>
        <v>0.90361445783132532</v>
      </c>
      <c r="L67" s="40">
        <f>'AM Benches Data'!C62</f>
        <v>42</v>
      </c>
      <c r="M67" s="40">
        <f>'AM Benches Data'!M62</f>
        <v>21</v>
      </c>
      <c r="N67" s="40">
        <f>'AM Benches Data'!W62</f>
        <v>30</v>
      </c>
      <c r="O67" s="506">
        <f t="shared" ref="O67" si="52">L67/M64</f>
        <v>1.2727272727272727</v>
      </c>
      <c r="P67" s="74">
        <f t="shared" si="40"/>
        <v>1.5</v>
      </c>
      <c r="Q67" s="40">
        <f>'AM Benches Data'!D62</f>
        <v>35</v>
      </c>
      <c r="R67" s="40">
        <f>'AM Benches Data'!N62</f>
        <v>20</v>
      </c>
      <c r="S67" s="40">
        <f>'AM Benches Data'!X62</f>
        <v>25</v>
      </c>
      <c r="T67" s="506">
        <f t="shared" ref="T67" si="53">Q67/R64</f>
        <v>1.4583333333333333</v>
      </c>
      <c r="U67" s="74">
        <f t="shared" si="41"/>
        <v>1.6666666666666667</v>
      </c>
      <c r="V67" s="40">
        <f>'AM Benches Data'!H62</f>
        <v>19</v>
      </c>
      <c r="W67" s="40">
        <f>'AM Benches Data'!R62</f>
        <v>22</v>
      </c>
      <c r="X67" s="40">
        <f>'AM Benches Data'!Z62</f>
        <v>24</v>
      </c>
      <c r="Y67" s="506">
        <f t="shared" ref="Y67" si="54">V67/W64</f>
        <v>1.4615384615384615</v>
      </c>
      <c r="Z67" s="74">
        <f t="shared" si="42"/>
        <v>0.95</v>
      </c>
      <c r="AA67" s="40">
        <f>'AM Benches Data'!I62</f>
        <v>28</v>
      </c>
      <c r="AB67" s="40">
        <f>'AM Benches Data'!S62</f>
        <v>25</v>
      </c>
      <c r="AC67" s="40">
        <f>'AM Benches Data'!AA62</f>
        <v>30</v>
      </c>
      <c r="AD67" s="506">
        <f t="shared" ref="AD67" si="55">AA67/AB64</f>
        <v>1.4736842105263157</v>
      </c>
      <c r="AE67" s="74">
        <f t="shared" si="43"/>
        <v>1</v>
      </c>
      <c r="AF67" s="40">
        <f>'AM Benches Data'!K62</f>
        <v>35</v>
      </c>
      <c r="AG67" s="40">
        <f>'AM Benches Data'!U62</f>
        <v>26</v>
      </c>
      <c r="AH67" s="40">
        <f>'AM Benches Data'!AC62</f>
        <v>31</v>
      </c>
      <c r="AI67" s="506">
        <f t="shared" ref="AI67" si="56">AF67/AG64</f>
        <v>0.74468085106382975</v>
      </c>
      <c r="AJ67" s="74">
        <f t="shared" si="44"/>
        <v>0.77777777777777779</v>
      </c>
    </row>
    <row r="68" spans="1:36" x14ac:dyDescent="0.25">
      <c r="A68" s="497">
        <v>44965</v>
      </c>
      <c r="B68" s="7">
        <f>'AM Benches Data'!AG63*('AM Benches Data'!AD63/100)</f>
        <v>698.92</v>
      </c>
      <c r="C68" s="7">
        <f>'AM Benches Data'!AH63*('AM Benches Data'!AE63/100)</f>
        <v>475.86</v>
      </c>
      <c r="D68" s="7">
        <f>'AM Benches Data'!AI63*('AM Benches Data'!AF63/100)</f>
        <v>777.5</v>
      </c>
      <c r="E68" s="74">
        <f>B68/C65</f>
        <v>0.91119107217355022</v>
      </c>
      <c r="F68" s="74">
        <f t="shared" si="38"/>
        <v>1.087220969121879</v>
      </c>
      <c r="G68" s="64">
        <f>'AM Benches Data'!B63</f>
        <v>100</v>
      </c>
      <c r="H68" s="40">
        <f>'AM Benches Data'!L63</f>
        <v>53</v>
      </c>
      <c r="I68" s="40">
        <f>'AM Benches Data'!V63</f>
        <v>90</v>
      </c>
      <c r="J68" s="74">
        <f t="shared" ref="J68" si="57">G68/H65</f>
        <v>0.8771929824561403</v>
      </c>
      <c r="K68" s="74">
        <f t="shared" si="39"/>
        <v>1.1627906976744187</v>
      </c>
      <c r="L68" s="40">
        <f>'AM Benches Data'!C63</f>
        <v>32</v>
      </c>
      <c r="M68" s="40">
        <f>'AM Benches Data'!M63</f>
        <v>17</v>
      </c>
      <c r="N68" s="40">
        <f>'AM Benches Data'!W63</f>
        <v>44</v>
      </c>
      <c r="O68" s="506">
        <f t="shared" ref="O68" si="58">L68/M65</f>
        <v>1.103448275862069</v>
      </c>
      <c r="P68" s="74">
        <f t="shared" si="40"/>
        <v>1.8823529411764706</v>
      </c>
      <c r="Q68" s="40">
        <f>'AM Benches Data'!D63</f>
        <v>26</v>
      </c>
      <c r="R68" s="40">
        <f>'AM Benches Data'!N63</f>
        <v>17</v>
      </c>
      <c r="S68" s="40">
        <f>'AM Benches Data'!X63</f>
        <v>36</v>
      </c>
      <c r="T68" s="506">
        <f t="shared" ref="T68" si="59">Q68/R65</f>
        <v>1.368421052631579</v>
      </c>
      <c r="U68" s="74">
        <f t="shared" si="41"/>
        <v>1.625</v>
      </c>
      <c r="V68" s="40">
        <f>'AM Benches Data'!H63</f>
        <v>23</v>
      </c>
      <c r="W68" s="40">
        <f>'AM Benches Data'!R63</f>
        <v>15</v>
      </c>
      <c r="X68" s="40">
        <f>'AM Benches Data'!Z63</f>
        <v>24</v>
      </c>
      <c r="Y68" s="506">
        <f t="shared" ref="Y68" si="60">V68/W65</f>
        <v>1.2777777777777777</v>
      </c>
      <c r="Z68" s="74">
        <f t="shared" si="42"/>
        <v>1</v>
      </c>
      <c r="AA68" s="40">
        <f>'AM Benches Data'!I63</f>
        <v>30</v>
      </c>
      <c r="AB68" s="40">
        <f>'AM Benches Data'!S63</f>
        <v>18</v>
      </c>
      <c r="AC68" s="40">
        <f>'AM Benches Data'!AA63</f>
        <v>31</v>
      </c>
      <c r="AD68" s="506">
        <f t="shared" ref="AD68" si="61">AA68/AB65</f>
        <v>1.3636363636363635</v>
      </c>
      <c r="AE68" s="74">
        <f t="shared" si="43"/>
        <v>0.967741935483871</v>
      </c>
      <c r="AF68" s="40">
        <f>'AM Benches Data'!K63</f>
        <v>33</v>
      </c>
      <c r="AG68" s="40">
        <f>'AM Benches Data'!U63</f>
        <v>25</v>
      </c>
      <c r="AH68" s="40">
        <f>'AM Benches Data'!AC63</f>
        <v>40</v>
      </c>
      <c r="AI68" s="506">
        <f t="shared" ref="AI68" si="62">AF68/AG65</f>
        <v>0.89189189189189189</v>
      </c>
      <c r="AJ68" s="74">
        <f t="shared" si="44"/>
        <v>0.9850746268656716</v>
      </c>
    </row>
    <row r="69" spans="1:36" x14ac:dyDescent="0.25">
      <c r="A69" s="497">
        <v>44992</v>
      </c>
      <c r="B69" s="7">
        <f>'AM Benches Data'!AG64*('AM Benches Data'!AD64/100)</f>
        <v>730.81000000000006</v>
      </c>
      <c r="C69" s="7">
        <f>'AM Benches Data'!AH64*('AM Benches Data'!AE64/100)</f>
        <v>563.56999999999994</v>
      </c>
      <c r="D69" s="7">
        <f>'AM Benches Data'!AI64*('AM Benches Data'!AF64/100)</f>
        <v>872.81999999999994</v>
      </c>
      <c r="E69" s="74">
        <f t="shared" ref="E69:E101" si="63">B69/C66</f>
        <v>1.1205476931569021</v>
      </c>
      <c r="F69" s="74">
        <f t="shared" ref="F69:F101" si="64">B69/D63</f>
        <v>1.1329333705391746</v>
      </c>
      <c r="G69" s="64">
        <f>'AM Benches Data'!B64</f>
        <v>102</v>
      </c>
      <c r="H69" s="40">
        <f>'AM Benches Data'!L64</f>
        <v>67</v>
      </c>
      <c r="I69" s="40">
        <f>'AM Benches Data'!V64</f>
        <v>112</v>
      </c>
      <c r="J69" s="74">
        <f t="shared" ref="J69:J101" si="65">G69/H66</f>
        <v>1.0625</v>
      </c>
      <c r="K69" s="74">
        <f t="shared" ref="K69:K101" si="66">G69/I63</f>
        <v>1.1590909090909092</v>
      </c>
      <c r="L69" s="40">
        <f>'AM Benches Data'!C64</f>
        <v>32</v>
      </c>
      <c r="M69" s="40">
        <f>'AM Benches Data'!M64</f>
        <v>25</v>
      </c>
      <c r="N69" s="40">
        <f>'AM Benches Data'!W64</f>
        <v>44</v>
      </c>
      <c r="O69" s="506">
        <f t="shared" ref="O69:O101" si="67">L69/M66</f>
        <v>0.96969696969696972</v>
      </c>
      <c r="P69" s="74">
        <f t="shared" ref="P69:P101" si="68">L69/N63</f>
        <v>1.7777777777777777</v>
      </c>
      <c r="Q69" s="40">
        <f>'AM Benches Data'!D64</f>
        <v>27</v>
      </c>
      <c r="R69" s="40">
        <f>'AM Benches Data'!N64</f>
        <v>22</v>
      </c>
      <c r="S69" s="40">
        <f>'AM Benches Data'!X64</f>
        <v>35</v>
      </c>
      <c r="T69" s="506">
        <f t="shared" ref="T69:T101" si="69">Q69/R66</f>
        <v>1</v>
      </c>
      <c r="U69" s="74">
        <f t="shared" ref="U69:U101" si="70">Q69/S63</f>
        <v>1.588235294117647</v>
      </c>
      <c r="V69" s="40">
        <f>'AM Benches Data'!H64</f>
        <v>26</v>
      </c>
      <c r="W69" s="40">
        <f>'AM Benches Data'!R64</f>
        <v>23</v>
      </c>
      <c r="X69" s="40">
        <f>'AM Benches Data'!Z64</f>
        <v>29</v>
      </c>
      <c r="Y69" s="506">
        <f t="shared" ref="Y69:Y101" si="71">V69/W66</f>
        <v>1.04</v>
      </c>
      <c r="Z69" s="74">
        <f t="shared" ref="Z69:Z101" si="72">V69/X63</f>
        <v>1.2380952380952381</v>
      </c>
      <c r="AA69" s="40">
        <f>'AM Benches Data'!I64</f>
        <v>36</v>
      </c>
      <c r="AB69" s="40">
        <f>'AM Benches Data'!S64</f>
        <v>26</v>
      </c>
      <c r="AC69" s="40">
        <f>'AM Benches Data'!AA64</f>
        <v>36</v>
      </c>
      <c r="AD69" s="506">
        <f t="shared" ref="AD69:AD101" si="73">AA69/AB66</f>
        <v>1.125</v>
      </c>
      <c r="AE69" s="74">
        <f t="shared" ref="AE69:AE101" si="74">AA69/AC63</f>
        <v>1.2</v>
      </c>
      <c r="AF69" s="40">
        <f>'AM Benches Data'!K64</f>
        <v>39</v>
      </c>
      <c r="AG69" s="40">
        <f>'AM Benches Data'!U64</f>
        <v>31</v>
      </c>
      <c r="AH69" s="40">
        <f>'AM Benches Data'!AC64</f>
        <v>46</v>
      </c>
      <c r="AI69" s="506">
        <f t="shared" ref="AI69:AI101" si="75">AF69/AG66</f>
        <v>1.3928571428571428</v>
      </c>
      <c r="AJ69" s="74">
        <f t="shared" ref="AJ69:AJ101" si="76">AF69/AH63</f>
        <v>1.1142857142857143</v>
      </c>
    </row>
    <row r="70" spans="1:36" x14ac:dyDescent="0.25">
      <c r="A70" s="497">
        <v>45020</v>
      </c>
      <c r="B70" s="7">
        <f>'AM Benches Data'!AG65*('AM Benches Data'!AD65/100)</f>
        <v>741</v>
      </c>
      <c r="C70" s="7">
        <f>'AM Benches Data'!AH65*('AM Benches Data'!AE65/100)</f>
        <v>737.9</v>
      </c>
      <c r="D70" s="7">
        <f>'AM Benches Data'!AI65*('AM Benches Data'!AF65/100)</f>
        <v>817.48</v>
      </c>
      <c r="E70" s="74">
        <f t="shared" si="63"/>
        <v>1.4584317430325933</v>
      </c>
      <c r="F70" s="74">
        <f t="shared" si="64"/>
        <v>1.1587539876149371</v>
      </c>
      <c r="G70" s="64">
        <f>'AM Benches Data'!B65</f>
        <v>87</v>
      </c>
      <c r="H70" s="40">
        <f>'AM Benches Data'!L65</f>
        <v>88</v>
      </c>
      <c r="I70" s="40">
        <f>'AM Benches Data'!V65</f>
        <v>82</v>
      </c>
      <c r="J70" s="74">
        <f t="shared" si="65"/>
        <v>1.1447368421052631</v>
      </c>
      <c r="K70" s="74">
        <f t="shared" si="66"/>
        <v>1.0874999999999999</v>
      </c>
      <c r="L70" s="40">
        <f>'AM Benches Data'!C65</f>
        <v>37</v>
      </c>
      <c r="M70" s="40">
        <f>'AM Benches Data'!M65</f>
        <v>34</v>
      </c>
      <c r="N70" s="40">
        <f>'AM Benches Data'!W65</f>
        <v>42</v>
      </c>
      <c r="O70" s="506">
        <f t="shared" si="67"/>
        <v>1.7619047619047619</v>
      </c>
      <c r="P70" s="74">
        <f t="shared" si="68"/>
        <v>1.2758620689655173</v>
      </c>
      <c r="Q70" s="40">
        <f>'AM Benches Data'!D65</f>
        <v>34</v>
      </c>
      <c r="R70" s="40">
        <f>'AM Benches Data'!N65</f>
        <v>28</v>
      </c>
      <c r="S70" s="40">
        <f>'AM Benches Data'!X65</f>
        <v>33</v>
      </c>
      <c r="T70" s="506">
        <f t="shared" si="69"/>
        <v>1.7</v>
      </c>
      <c r="U70" s="74">
        <f t="shared" si="70"/>
        <v>1.36</v>
      </c>
      <c r="V70" s="40">
        <f>'AM Benches Data'!H65</f>
        <v>40</v>
      </c>
      <c r="W70" s="40">
        <f>'AM Benches Data'!R65</f>
        <v>26</v>
      </c>
      <c r="X70" s="40">
        <f>'AM Benches Data'!Z65</f>
        <v>19</v>
      </c>
      <c r="Y70" s="506">
        <f t="shared" si="71"/>
        <v>1.8181818181818181</v>
      </c>
      <c r="Z70" s="74">
        <f t="shared" si="72"/>
        <v>1.5384615384615385</v>
      </c>
      <c r="AA70" s="40">
        <f>'AM Benches Data'!I65</f>
        <v>46</v>
      </c>
      <c r="AB70" s="40">
        <f>'AM Benches Data'!S65</f>
        <v>33</v>
      </c>
      <c r="AC70" s="40">
        <f>'AM Benches Data'!AA65</f>
        <v>27</v>
      </c>
      <c r="AD70" s="506">
        <f t="shared" si="73"/>
        <v>1.84</v>
      </c>
      <c r="AE70" s="74">
        <f t="shared" si="74"/>
        <v>1.3529411764705883</v>
      </c>
      <c r="AF70" s="40">
        <f>'AM Benches Data'!K65</f>
        <v>40</v>
      </c>
      <c r="AG70" s="40">
        <f>'AM Benches Data'!U65</f>
        <v>38</v>
      </c>
      <c r="AH70" s="40">
        <f>'AM Benches Data'!AC65</f>
        <v>42</v>
      </c>
      <c r="AI70" s="506">
        <f t="shared" si="75"/>
        <v>1.5384615384615385</v>
      </c>
      <c r="AJ70" s="74">
        <f t="shared" si="76"/>
        <v>1.1428571428571428</v>
      </c>
    </row>
    <row r="71" spans="1:36" x14ac:dyDescent="0.25">
      <c r="A71" s="497">
        <v>45047</v>
      </c>
      <c r="B71" s="7">
        <f>'AM Benches Data'!AG66*('AM Benches Data'!AD66/100)</f>
        <v>776.82</v>
      </c>
      <c r="C71" s="7">
        <f>'AM Benches Data'!AH66*('AM Benches Data'!AE66/100)</f>
        <v>800.7</v>
      </c>
      <c r="D71" s="7">
        <f>'AM Benches Data'!AI66*('AM Benches Data'!AF66/100)</f>
        <v>848.04000000000008</v>
      </c>
      <c r="E71" s="74">
        <f t="shared" si="63"/>
        <v>1.6324549237170598</v>
      </c>
      <c r="F71" s="74">
        <f t="shared" si="64"/>
        <v>1.2109808567687224</v>
      </c>
      <c r="G71" s="64">
        <f>'AM Benches Data'!B66</f>
        <v>90</v>
      </c>
      <c r="H71" s="40">
        <f>'AM Benches Data'!L66</f>
        <v>83</v>
      </c>
      <c r="I71" s="40">
        <f>'AM Benches Data'!V66</f>
        <v>92</v>
      </c>
      <c r="J71" s="74">
        <f t="shared" si="65"/>
        <v>1.6981132075471699</v>
      </c>
      <c r="K71" s="74">
        <f t="shared" si="66"/>
        <v>1.0843373493975903</v>
      </c>
      <c r="L71" s="40">
        <f>'AM Benches Data'!C66</f>
        <v>37</v>
      </c>
      <c r="M71" s="40">
        <f>'AM Benches Data'!M66</f>
        <v>42</v>
      </c>
      <c r="N71" s="40">
        <f>'AM Benches Data'!W66</f>
        <v>37</v>
      </c>
      <c r="O71" s="506">
        <f t="shared" si="67"/>
        <v>2.1764705882352939</v>
      </c>
      <c r="P71" s="74">
        <f t="shared" si="68"/>
        <v>1.15625</v>
      </c>
      <c r="Q71" s="40">
        <f>'AM Benches Data'!D66</f>
        <v>31</v>
      </c>
      <c r="R71" s="40">
        <f>'AM Benches Data'!N66</f>
        <v>35</v>
      </c>
      <c r="S71" s="40">
        <f>'AM Benches Data'!X66</f>
        <v>30</v>
      </c>
      <c r="T71" s="506">
        <f t="shared" si="69"/>
        <v>1.8235294117647058</v>
      </c>
      <c r="U71" s="74">
        <f t="shared" si="70"/>
        <v>1.1481481481481481</v>
      </c>
      <c r="V71" s="40">
        <f>'AM Benches Data'!H66</f>
        <v>39</v>
      </c>
      <c r="W71" s="40">
        <f>'AM Benches Data'!R66</f>
        <v>32</v>
      </c>
      <c r="X71" s="40">
        <f>'AM Benches Data'!Z66</f>
        <v>27</v>
      </c>
      <c r="Y71" s="506">
        <f t="shared" si="71"/>
        <v>2.6</v>
      </c>
      <c r="Z71" s="74">
        <f t="shared" si="72"/>
        <v>1.6956521739130435</v>
      </c>
      <c r="AA71" s="40">
        <f>'AM Benches Data'!I66</f>
        <v>46</v>
      </c>
      <c r="AB71" s="40">
        <f>'AM Benches Data'!S66</f>
        <v>40</v>
      </c>
      <c r="AC71" s="40">
        <f>'AM Benches Data'!AA66</f>
        <v>34</v>
      </c>
      <c r="AD71" s="506">
        <f t="shared" si="73"/>
        <v>2.5555555555555554</v>
      </c>
      <c r="AE71" s="74">
        <f t="shared" si="74"/>
        <v>1.5333333333333334</v>
      </c>
      <c r="AF71" s="40">
        <f>'AM Benches Data'!K66</f>
        <v>43</v>
      </c>
      <c r="AG71" s="40">
        <f>'AM Benches Data'!U66</f>
        <v>38</v>
      </c>
      <c r="AH71" s="40">
        <f>'AM Benches Data'!AC66</f>
        <v>40</v>
      </c>
      <c r="AI71" s="506">
        <f t="shared" si="75"/>
        <v>1.72</v>
      </c>
      <c r="AJ71" s="74">
        <f t="shared" si="76"/>
        <v>1.303030303030303</v>
      </c>
    </row>
    <row r="72" spans="1:36" x14ac:dyDescent="0.25">
      <c r="B72" s="7">
        <f>'AM Benches Data'!AG67*('AM Benches Data'!AD67/100)</f>
        <v>0</v>
      </c>
      <c r="C72" s="7">
        <f>'AM Benches Data'!AH67*('AM Benches Data'!AE67/100)</f>
        <v>0</v>
      </c>
      <c r="D72" s="7">
        <f>'AM Benches Data'!AI67*('AM Benches Data'!AF67/100)</f>
        <v>0</v>
      </c>
      <c r="E72" s="74">
        <f t="shared" si="63"/>
        <v>0</v>
      </c>
      <c r="F72" s="74">
        <f t="shared" si="64"/>
        <v>0</v>
      </c>
      <c r="G72" s="64">
        <f>'AM Benches Data'!B67</f>
        <v>0</v>
      </c>
      <c r="H72" s="40">
        <f>'AM Benches Data'!L67</f>
        <v>0</v>
      </c>
      <c r="I72" s="40">
        <f>'AM Benches Data'!V67</f>
        <v>0</v>
      </c>
      <c r="J72" s="74">
        <f t="shared" si="65"/>
        <v>0</v>
      </c>
      <c r="K72" s="74">
        <f t="shared" si="66"/>
        <v>0</v>
      </c>
      <c r="L72" s="40">
        <f>'AM Benches Data'!C67</f>
        <v>0</v>
      </c>
      <c r="M72" s="40">
        <f>'AM Benches Data'!M67</f>
        <v>0</v>
      </c>
      <c r="N72" s="40">
        <f>'AM Benches Data'!W67</f>
        <v>0</v>
      </c>
      <c r="O72" s="506">
        <f t="shared" si="67"/>
        <v>0</v>
      </c>
      <c r="P72" s="74">
        <f t="shared" si="68"/>
        <v>0</v>
      </c>
      <c r="Q72" s="40">
        <f>'AM Benches Data'!D67</f>
        <v>0</v>
      </c>
      <c r="R72" s="40">
        <f>'AM Benches Data'!N67</f>
        <v>0</v>
      </c>
      <c r="S72" s="40">
        <f>'AM Benches Data'!X67</f>
        <v>0</v>
      </c>
      <c r="T72" s="506">
        <f t="shared" si="69"/>
        <v>0</v>
      </c>
      <c r="U72" s="74">
        <f t="shared" si="70"/>
        <v>0</v>
      </c>
      <c r="V72" s="40">
        <f>'AM Benches Data'!H67</f>
        <v>0</v>
      </c>
      <c r="W72" s="40">
        <f>'AM Benches Data'!R67</f>
        <v>0</v>
      </c>
      <c r="X72" s="40">
        <f>'AM Benches Data'!Z67</f>
        <v>0</v>
      </c>
      <c r="Y72" s="506">
        <f t="shared" si="71"/>
        <v>0</v>
      </c>
      <c r="Z72" s="74">
        <f t="shared" si="72"/>
        <v>0</v>
      </c>
      <c r="AA72" s="40">
        <f>'AM Benches Data'!I67</f>
        <v>0</v>
      </c>
      <c r="AB72" s="40">
        <f>'AM Benches Data'!S67</f>
        <v>0</v>
      </c>
      <c r="AC72" s="40">
        <f>'AM Benches Data'!AA67</f>
        <v>0</v>
      </c>
      <c r="AD72" s="506">
        <f t="shared" si="73"/>
        <v>0</v>
      </c>
      <c r="AE72" s="74">
        <f t="shared" si="74"/>
        <v>0</v>
      </c>
      <c r="AF72" s="40">
        <f>'AM Benches Data'!K67</f>
        <v>0</v>
      </c>
      <c r="AG72" s="40">
        <f>'AM Benches Data'!U67</f>
        <v>0</v>
      </c>
      <c r="AH72" s="40">
        <f>'AM Benches Data'!AC67</f>
        <v>0</v>
      </c>
      <c r="AI72" s="506">
        <f t="shared" si="75"/>
        <v>0</v>
      </c>
      <c r="AJ72" s="74">
        <f t="shared" si="76"/>
        <v>0</v>
      </c>
    </row>
    <row r="73" spans="1:36" x14ac:dyDescent="0.25">
      <c r="B73" s="7">
        <f>'AM Benches Data'!AG68*('AM Benches Data'!AD68/100)</f>
        <v>0</v>
      </c>
      <c r="C73" s="7">
        <f>'AM Benches Data'!AH68*('AM Benches Data'!AE68/100)</f>
        <v>0</v>
      </c>
      <c r="D73" s="7">
        <f>'AM Benches Data'!AI68*('AM Benches Data'!AF68/100)</f>
        <v>0</v>
      </c>
      <c r="E73" s="74">
        <f t="shared" si="63"/>
        <v>0</v>
      </c>
      <c r="F73" s="74">
        <f t="shared" si="64"/>
        <v>0</v>
      </c>
      <c r="G73" s="64">
        <f>'AM Benches Data'!B68</f>
        <v>0</v>
      </c>
      <c r="H73" s="40">
        <f>'AM Benches Data'!L68</f>
        <v>0</v>
      </c>
      <c r="I73" s="40">
        <f>'AM Benches Data'!V68</f>
        <v>0</v>
      </c>
      <c r="J73" s="74">
        <f t="shared" si="65"/>
        <v>0</v>
      </c>
      <c r="K73" s="74">
        <f t="shared" si="66"/>
        <v>0</v>
      </c>
      <c r="L73" s="40">
        <f>'AM Benches Data'!C68</f>
        <v>0</v>
      </c>
      <c r="M73" s="40">
        <f>'AM Benches Data'!M68</f>
        <v>0</v>
      </c>
      <c r="N73" s="40">
        <f>'AM Benches Data'!W68</f>
        <v>0</v>
      </c>
      <c r="O73" s="506">
        <f t="shared" si="67"/>
        <v>0</v>
      </c>
      <c r="P73" s="74">
        <f t="shared" si="68"/>
        <v>0</v>
      </c>
      <c r="Q73" s="40">
        <f>'AM Benches Data'!D68</f>
        <v>0</v>
      </c>
      <c r="R73" s="40">
        <f>'AM Benches Data'!N68</f>
        <v>0</v>
      </c>
      <c r="S73" s="40">
        <f>'AM Benches Data'!X68</f>
        <v>0</v>
      </c>
      <c r="T73" s="506">
        <f t="shared" si="69"/>
        <v>0</v>
      </c>
      <c r="U73" s="74">
        <f t="shared" si="70"/>
        <v>0</v>
      </c>
      <c r="V73" s="40">
        <f>'AM Benches Data'!H68</f>
        <v>0</v>
      </c>
      <c r="W73" s="40">
        <f>'AM Benches Data'!R68</f>
        <v>0</v>
      </c>
      <c r="X73" s="40">
        <f>'AM Benches Data'!Z68</f>
        <v>0</v>
      </c>
      <c r="Y73" s="506">
        <f t="shared" si="71"/>
        <v>0</v>
      </c>
      <c r="Z73" s="74">
        <f t="shared" si="72"/>
        <v>0</v>
      </c>
      <c r="AA73" s="40">
        <f>'AM Benches Data'!I68</f>
        <v>0</v>
      </c>
      <c r="AB73" s="40">
        <f>'AM Benches Data'!S68</f>
        <v>0</v>
      </c>
      <c r="AC73" s="40">
        <f>'AM Benches Data'!AA68</f>
        <v>0</v>
      </c>
      <c r="AD73" s="506">
        <f t="shared" si="73"/>
        <v>0</v>
      </c>
      <c r="AE73" s="74">
        <f t="shared" si="74"/>
        <v>0</v>
      </c>
      <c r="AF73" s="40">
        <f>'AM Benches Data'!K68</f>
        <v>0</v>
      </c>
      <c r="AG73" s="40">
        <f>'AM Benches Data'!U68</f>
        <v>0</v>
      </c>
      <c r="AH73" s="40">
        <f>'AM Benches Data'!AC68</f>
        <v>0</v>
      </c>
      <c r="AI73" s="506">
        <f t="shared" si="75"/>
        <v>0</v>
      </c>
      <c r="AJ73" s="74">
        <f t="shared" si="76"/>
        <v>0</v>
      </c>
    </row>
    <row r="74" spans="1:36" x14ac:dyDescent="0.25">
      <c r="B74" s="7">
        <f>'AM Benches Data'!AG69*('AM Benches Data'!AD69/100)</f>
        <v>0</v>
      </c>
      <c r="C74" s="7">
        <f>'AM Benches Data'!AH69*('AM Benches Data'!AE69/100)</f>
        <v>0</v>
      </c>
      <c r="D74" s="7">
        <f>'AM Benches Data'!AI69*('AM Benches Data'!AF69/100)</f>
        <v>0</v>
      </c>
      <c r="E74" s="74">
        <f t="shared" si="63"/>
        <v>0</v>
      </c>
      <c r="F74" s="74">
        <f t="shared" si="64"/>
        <v>0</v>
      </c>
      <c r="G74" s="64">
        <f>'AM Benches Data'!B69</f>
        <v>0</v>
      </c>
      <c r="H74" s="40">
        <f>'AM Benches Data'!L69</f>
        <v>0</v>
      </c>
      <c r="I74" s="40">
        <f>'AM Benches Data'!V69</f>
        <v>0</v>
      </c>
      <c r="J74" s="74">
        <f t="shared" si="65"/>
        <v>0</v>
      </c>
      <c r="K74" s="74">
        <f t="shared" si="66"/>
        <v>0</v>
      </c>
      <c r="L74" s="40">
        <f>'AM Benches Data'!C69</f>
        <v>0</v>
      </c>
      <c r="M74" s="40">
        <f>'AM Benches Data'!M69</f>
        <v>0</v>
      </c>
      <c r="N74" s="40">
        <f>'AM Benches Data'!W69</f>
        <v>0</v>
      </c>
      <c r="O74" s="506">
        <f t="shared" si="67"/>
        <v>0</v>
      </c>
      <c r="P74" s="74">
        <f t="shared" si="68"/>
        <v>0</v>
      </c>
      <c r="Q74" s="40">
        <f>'AM Benches Data'!D69</f>
        <v>0</v>
      </c>
      <c r="R74" s="40">
        <f>'AM Benches Data'!N69</f>
        <v>0</v>
      </c>
      <c r="S74" s="40">
        <f>'AM Benches Data'!X69</f>
        <v>0</v>
      </c>
      <c r="T74" s="506">
        <f t="shared" si="69"/>
        <v>0</v>
      </c>
      <c r="U74" s="74">
        <f t="shared" si="70"/>
        <v>0</v>
      </c>
      <c r="V74" s="40">
        <f>'AM Benches Data'!H69</f>
        <v>0</v>
      </c>
      <c r="W74" s="40">
        <f>'AM Benches Data'!R69</f>
        <v>0</v>
      </c>
      <c r="X74" s="40">
        <f>'AM Benches Data'!Z69</f>
        <v>0</v>
      </c>
      <c r="Y74" s="506">
        <f t="shared" si="71"/>
        <v>0</v>
      </c>
      <c r="Z74" s="74">
        <f t="shared" si="72"/>
        <v>0</v>
      </c>
      <c r="AA74" s="40">
        <f>'AM Benches Data'!I69</f>
        <v>0</v>
      </c>
      <c r="AB74" s="40">
        <f>'AM Benches Data'!S69</f>
        <v>0</v>
      </c>
      <c r="AC74" s="40">
        <f>'AM Benches Data'!AA69</f>
        <v>0</v>
      </c>
      <c r="AD74" s="506">
        <f t="shared" si="73"/>
        <v>0</v>
      </c>
      <c r="AE74" s="74">
        <f t="shared" si="74"/>
        <v>0</v>
      </c>
      <c r="AF74" s="40">
        <f>'AM Benches Data'!K69</f>
        <v>0</v>
      </c>
      <c r="AG74" s="40">
        <f>'AM Benches Data'!U69</f>
        <v>0</v>
      </c>
      <c r="AH74" s="40">
        <f>'AM Benches Data'!AC69</f>
        <v>0</v>
      </c>
      <c r="AI74" s="506">
        <f t="shared" si="75"/>
        <v>0</v>
      </c>
      <c r="AJ74" s="74">
        <f t="shared" si="76"/>
        <v>0</v>
      </c>
    </row>
    <row r="75" spans="1:36" x14ac:dyDescent="0.25">
      <c r="B75" s="7">
        <f>'AM Benches Data'!AG70*('AM Benches Data'!AD70/100)</f>
        <v>0</v>
      </c>
      <c r="C75" s="7">
        <f>'AM Benches Data'!AH70*('AM Benches Data'!AE70/100)</f>
        <v>0</v>
      </c>
      <c r="D75" s="7">
        <f>'AM Benches Data'!AI70*('AM Benches Data'!AF70/100)</f>
        <v>0</v>
      </c>
      <c r="E75" s="74" t="e">
        <f t="shared" si="63"/>
        <v>#DIV/0!</v>
      </c>
      <c r="F75" s="74">
        <f t="shared" si="64"/>
        <v>0</v>
      </c>
      <c r="G75" s="64">
        <f>'AM Benches Data'!B70</f>
        <v>0</v>
      </c>
      <c r="H75" s="40">
        <f>'AM Benches Data'!L70</f>
        <v>0</v>
      </c>
      <c r="I75" s="40">
        <f>'AM Benches Data'!V70</f>
        <v>0</v>
      </c>
      <c r="J75" s="74" t="e">
        <f t="shared" si="65"/>
        <v>#DIV/0!</v>
      </c>
      <c r="K75" s="74">
        <f t="shared" si="66"/>
        <v>0</v>
      </c>
      <c r="L75" s="40">
        <f>'AM Benches Data'!C70</f>
        <v>0</v>
      </c>
      <c r="M75" s="40">
        <f>'AM Benches Data'!M70</f>
        <v>0</v>
      </c>
      <c r="N75" s="40">
        <f>'AM Benches Data'!W70</f>
        <v>0</v>
      </c>
      <c r="O75" s="506" t="e">
        <f t="shared" si="67"/>
        <v>#DIV/0!</v>
      </c>
      <c r="P75" s="74">
        <f t="shared" si="68"/>
        <v>0</v>
      </c>
      <c r="Q75" s="40">
        <f>'AM Benches Data'!D70</f>
        <v>0</v>
      </c>
      <c r="R75" s="40">
        <f>'AM Benches Data'!N70</f>
        <v>0</v>
      </c>
      <c r="S75" s="40">
        <f>'AM Benches Data'!X70</f>
        <v>0</v>
      </c>
      <c r="T75" s="506" t="e">
        <f t="shared" si="69"/>
        <v>#DIV/0!</v>
      </c>
      <c r="U75" s="74">
        <f t="shared" si="70"/>
        <v>0</v>
      </c>
      <c r="V75" s="40">
        <f>'AM Benches Data'!H70</f>
        <v>0</v>
      </c>
      <c r="W75" s="40">
        <f>'AM Benches Data'!R70</f>
        <v>0</v>
      </c>
      <c r="X75" s="40">
        <f>'AM Benches Data'!Z70</f>
        <v>0</v>
      </c>
      <c r="Y75" s="506" t="e">
        <f t="shared" si="71"/>
        <v>#DIV/0!</v>
      </c>
      <c r="Z75" s="74">
        <f t="shared" si="72"/>
        <v>0</v>
      </c>
      <c r="AA75" s="40">
        <f>'AM Benches Data'!I70</f>
        <v>0</v>
      </c>
      <c r="AB75" s="40">
        <f>'AM Benches Data'!S70</f>
        <v>0</v>
      </c>
      <c r="AC75" s="40">
        <f>'AM Benches Data'!AA70</f>
        <v>0</v>
      </c>
      <c r="AD75" s="506" t="e">
        <f t="shared" si="73"/>
        <v>#DIV/0!</v>
      </c>
      <c r="AE75" s="74">
        <f t="shared" si="74"/>
        <v>0</v>
      </c>
      <c r="AF75" s="40">
        <f>'AM Benches Data'!K70</f>
        <v>0</v>
      </c>
      <c r="AG75" s="40">
        <f>'AM Benches Data'!U70</f>
        <v>0</v>
      </c>
      <c r="AH75" s="40">
        <f>'AM Benches Data'!AC70</f>
        <v>0</v>
      </c>
      <c r="AI75" s="506" t="e">
        <f t="shared" si="75"/>
        <v>#DIV/0!</v>
      </c>
      <c r="AJ75" s="74">
        <f t="shared" si="76"/>
        <v>0</v>
      </c>
    </row>
    <row r="76" spans="1:36" hidden="1" outlineLevel="1" x14ac:dyDescent="0.25">
      <c r="B76" s="7">
        <f>'AM Benches Data'!AG71*('AM Benches Data'!AD71/100)</f>
        <v>0</v>
      </c>
      <c r="C76" s="7">
        <f>'AM Benches Data'!AH71*('AM Benches Data'!AE71/100)</f>
        <v>0</v>
      </c>
      <c r="D76" s="7">
        <f>'AM Benches Data'!AI71*('AM Benches Data'!AF71/100)</f>
        <v>0</v>
      </c>
      <c r="E76" s="74" t="e">
        <f t="shared" si="63"/>
        <v>#DIV/0!</v>
      </c>
      <c r="F76" s="74">
        <f t="shared" si="64"/>
        <v>0</v>
      </c>
      <c r="G76" s="64">
        <f>'AM Benches Data'!B71</f>
        <v>0</v>
      </c>
      <c r="H76" s="40">
        <f>'AM Benches Data'!L71</f>
        <v>0</v>
      </c>
      <c r="I76" s="40">
        <f>'AM Benches Data'!V71</f>
        <v>0</v>
      </c>
      <c r="J76" s="74" t="e">
        <f t="shared" si="65"/>
        <v>#DIV/0!</v>
      </c>
      <c r="K76" s="74">
        <f t="shared" si="66"/>
        <v>0</v>
      </c>
      <c r="L76" s="40">
        <f>'AM Benches Data'!C71</f>
        <v>0</v>
      </c>
      <c r="M76" s="40">
        <f>'AM Benches Data'!M71</f>
        <v>0</v>
      </c>
      <c r="N76" s="40">
        <f>'AM Benches Data'!W71</f>
        <v>0</v>
      </c>
      <c r="O76" s="506" t="e">
        <f t="shared" si="67"/>
        <v>#DIV/0!</v>
      </c>
      <c r="P76" s="74">
        <f t="shared" si="68"/>
        <v>0</v>
      </c>
      <c r="Q76" s="40">
        <f>'AM Benches Data'!D71</f>
        <v>0</v>
      </c>
      <c r="R76" s="40">
        <f>'AM Benches Data'!N71</f>
        <v>0</v>
      </c>
      <c r="S76" s="40">
        <f>'AM Benches Data'!X71</f>
        <v>0</v>
      </c>
      <c r="T76" s="506" t="e">
        <f t="shared" si="69"/>
        <v>#DIV/0!</v>
      </c>
      <c r="U76" s="74">
        <f t="shared" si="70"/>
        <v>0</v>
      </c>
      <c r="V76" s="40">
        <f>'AM Benches Data'!H71</f>
        <v>0</v>
      </c>
      <c r="W76" s="40">
        <f>'AM Benches Data'!R71</f>
        <v>0</v>
      </c>
      <c r="X76" s="40">
        <f>'AM Benches Data'!Z71</f>
        <v>0</v>
      </c>
      <c r="Y76" s="506" t="e">
        <f t="shared" si="71"/>
        <v>#DIV/0!</v>
      </c>
      <c r="Z76" s="74">
        <f t="shared" si="72"/>
        <v>0</v>
      </c>
      <c r="AA76" s="40">
        <f>'AM Benches Data'!I71</f>
        <v>0</v>
      </c>
      <c r="AB76" s="40">
        <f>'AM Benches Data'!S71</f>
        <v>0</v>
      </c>
      <c r="AC76" s="40">
        <f>'AM Benches Data'!AA71</f>
        <v>0</v>
      </c>
      <c r="AD76" s="506" t="e">
        <f t="shared" si="73"/>
        <v>#DIV/0!</v>
      </c>
      <c r="AE76" s="74">
        <f t="shared" si="74"/>
        <v>0</v>
      </c>
      <c r="AF76" s="40">
        <f>'AM Benches Data'!K71</f>
        <v>0</v>
      </c>
      <c r="AG76" s="40">
        <f>'AM Benches Data'!U71</f>
        <v>0</v>
      </c>
      <c r="AH76" s="40">
        <f>'AM Benches Data'!AC71</f>
        <v>0</v>
      </c>
      <c r="AI76" s="506" t="e">
        <f t="shared" si="75"/>
        <v>#DIV/0!</v>
      </c>
      <c r="AJ76" s="74">
        <f t="shared" si="76"/>
        <v>0</v>
      </c>
    </row>
    <row r="77" spans="1:36" hidden="1" outlineLevel="1" x14ac:dyDescent="0.25">
      <c r="B77" s="7">
        <f>'AM Benches Data'!AG72*('AM Benches Data'!AD72/100)</f>
        <v>0</v>
      </c>
      <c r="C77" s="7">
        <f>'AM Benches Data'!AH72*('AM Benches Data'!AE72/100)</f>
        <v>0</v>
      </c>
      <c r="D77" s="7">
        <f>'AM Benches Data'!AI72*('AM Benches Data'!AF72/100)</f>
        <v>0</v>
      </c>
      <c r="E77" s="74" t="e">
        <f t="shared" si="63"/>
        <v>#DIV/0!</v>
      </c>
      <c r="F77" s="74">
        <f t="shared" si="64"/>
        <v>0</v>
      </c>
      <c r="G77" s="64">
        <f>'AM Benches Data'!B72</f>
        <v>0</v>
      </c>
      <c r="H77" s="40">
        <f>'AM Benches Data'!L72</f>
        <v>0</v>
      </c>
      <c r="I77" s="40">
        <f>'AM Benches Data'!V72</f>
        <v>0</v>
      </c>
      <c r="J77" s="74" t="e">
        <f t="shared" si="65"/>
        <v>#DIV/0!</v>
      </c>
      <c r="K77" s="74">
        <f t="shared" si="66"/>
        <v>0</v>
      </c>
      <c r="L77" s="40">
        <f>'AM Benches Data'!C72</f>
        <v>0</v>
      </c>
      <c r="M77" s="40">
        <f>'AM Benches Data'!M72</f>
        <v>0</v>
      </c>
      <c r="N77" s="40">
        <f>'AM Benches Data'!W72</f>
        <v>0</v>
      </c>
      <c r="O77" s="506" t="e">
        <f t="shared" si="67"/>
        <v>#DIV/0!</v>
      </c>
      <c r="P77" s="74">
        <f t="shared" si="68"/>
        <v>0</v>
      </c>
      <c r="Q77" s="40">
        <f>'AM Benches Data'!D72</f>
        <v>0</v>
      </c>
      <c r="R77" s="40">
        <f>'AM Benches Data'!N72</f>
        <v>0</v>
      </c>
      <c r="S77" s="40">
        <f>'AM Benches Data'!X72</f>
        <v>0</v>
      </c>
      <c r="T77" s="506" t="e">
        <f t="shared" si="69"/>
        <v>#DIV/0!</v>
      </c>
      <c r="U77" s="74">
        <f t="shared" si="70"/>
        <v>0</v>
      </c>
      <c r="V77" s="40">
        <f>'AM Benches Data'!H72</f>
        <v>0</v>
      </c>
      <c r="W77" s="40">
        <f>'AM Benches Data'!R72</f>
        <v>0</v>
      </c>
      <c r="X77" s="40">
        <f>'AM Benches Data'!Z72</f>
        <v>0</v>
      </c>
      <c r="Y77" s="506" t="e">
        <f t="shared" si="71"/>
        <v>#DIV/0!</v>
      </c>
      <c r="Z77" s="74">
        <f t="shared" si="72"/>
        <v>0</v>
      </c>
      <c r="AA77" s="40">
        <f>'AM Benches Data'!I72</f>
        <v>0</v>
      </c>
      <c r="AB77" s="40">
        <f>'AM Benches Data'!S72</f>
        <v>0</v>
      </c>
      <c r="AC77" s="40">
        <f>'AM Benches Data'!AA72</f>
        <v>0</v>
      </c>
      <c r="AD77" s="506" t="e">
        <f t="shared" si="73"/>
        <v>#DIV/0!</v>
      </c>
      <c r="AE77" s="74">
        <f t="shared" si="74"/>
        <v>0</v>
      </c>
      <c r="AF77" s="40">
        <f>'AM Benches Data'!K72</f>
        <v>0</v>
      </c>
      <c r="AG77" s="40">
        <f>'AM Benches Data'!U72</f>
        <v>0</v>
      </c>
      <c r="AH77" s="40">
        <f>'AM Benches Data'!AC72</f>
        <v>0</v>
      </c>
      <c r="AI77" s="506" t="e">
        <f t="shared" si="75"/>
        <v>#DIV/0!</v>
      </c>
      <c r="AJ77" s="74">
        <f t="shared" si="76"/>
        <v>0</v>
      </c>
    </row>
    <row r="78" spans="1:36" hidden="1" outlineLevel="1" x14ac:dyDescent="0.25">
      <c r="B78" s="7">
        <f>'AM Benches Data'!AG73*('AM Benches Data'!AD73/100)</f>
        <v>0</v>
      </c>
      <c r="C78" s="7">
        <f>'AM Benches Data'!AH73*('AM Benches Data'!AE73/100)</f>
        <v>0</v>
      </c>
      <c r="D78" s="7">
        <f>'AM Benches Data'!AI73*('AM Benches Data'!AF73/100)</f>
        <v>0</v>
      </c>
      <c r="E78" s="74" t="e">
        <f t="shared" si="63"/>
        <v>#DIV/0!</v>
      </c>
      <c r="F78" s="74" t="e">
        <f t="shared" si="64"/>
        <v>#DIV/0!</v>
      </c>
      <c r="G78" s="64">
        <f>'AM Benches Data'!B73</f>
        <v>0</v>
      </c>
      <c r="H78" s="40">
        <f>'AM Benches Data'!L73</f>
        <v>0</v>
      </c>
      <c r="I78" s="40">
        <f>'AM Benches Data'!V73</f>
        <v>0</v>
      </c>
      <c r="J78" s="74" t="e">
        <f t="shared" si="65"/>
        <v>#DIV/0!</v>
      </c>
      <c r="K78" s="74" t="e">
        <f t="shared" si="66"/>
        <v>#DIV/0!</v>
      </c>
      <c r="L78" s="40">
        <f>'AM Benches Data'!C73</f>
        <v>0</v>
      </c>
      <c r="M78" s="40">
        <f>'AM Benches Data'!M73</f>
        <v>0</v>
      </c>
      <c r="N78" s="40">
        <f>'AM Benches Data'!W73</f>
        <v>0</v>
      </c>
      <c r="O78" s="506" t="e">
        <f t="shared" si="67"/>
        <v>#DIV/0!</v>
      </c>
      <c r="P78" s="74" t="e">
        <f t="shared" si="68"/>
        <v>#DIV/0!</v>
      </c>
      <c r="Q78" s="40">
        <f>'AM Benches Data'!D73</f>
        <v>0</v>
      </c>
      <c r="R78" s="40">
        <f>'AM Benches Data'!N73</f>
        <v>0</v>
      </c>
      <c r="S78" s="40">
        <f>'AM Benches Data'!X73</f>
        <v>0</v>
      </c>
      <c r="T78" s="506" t="e">
        <f t="shared" si="69"/>
        <v>#DIV/0!</v>
      </c>
      <c r="U78" s="74" t="e">
        <f t="shared" si="70"/>
        <v>#DIV/0!</v>
      </c>
      <c r="V78" s="40">
        <f>'AM Benches Data'!H73</f>
        <v>0</v>
      </c>
      <c r="W78" s="40">
        <f>'AM Benches Data'!R73</f>
        <v>0</v>
      </c>
      <c r="X78" s="40">
        <f>'AM Benches Data'!Z73</f>
        <v>0</v>
      </c>
      <c r="Y78" s="506" t="e">
        <f t="shared" si="71"/>
        <v>#DIV/0!</v>
      </c>
      <c r="Z78" s="74" t="e">
        <f t="shared" si="72"/>
        <v>#DIV/0!</v>
      </c>
      <c r="AA78" s="40">
        <f>'AM Benches Data'!I73</f>
        <v>0</v>
      </c>
      <c r="AB78" s="40">
        <f>'AM Benches Data'!S73</f>
        <v>0</v>
      </c>
      <c r="AC78" s="40">
        <f>'AM Benches Data'!AA73</f>
        <v>0</v>
      </c>
      <c r="AD78" s="506" t="e">
        <f t="shared" si="73"/>
        <v>#DIV/0!</v>
      </c>
      <c r="AE78" s="74" t="e">
        <f t="shared" si="74"/>
        <v>#DIV/0!</v>
      </c>
      <c r="AF78" s="40">
        <f>'AM Benches Data'!K73</f>
        <v>0</v>
      </c>
      <c r="AG78" s="40">
        <f>'AM Benches Data'!U73</f>
        <v>0</v>
      </c>
      <c r="AH78" s="40">
        <f>'AM Benches Data'!AC73</f>
        <v>0</v>
      </c>
      <c r="AI78" s="506" t="e">
        <f t="shared" si="75"/>
        <v>#DIV/0!</v>
      </c>
      <c r="AJ78" s="74" t="e">
        <f t="shared" si="76"/>
        <v>#DIV/0!</v>
      </c>
    </row>
    <row r="79" spans="1:36" hidden="1" outlineLevel="1" x14ac:dyDescent="0.25">
      <c r="B79" s="7">
        <f>'AM Benches Data'!AG74*('AM Benches Data'!AD74/100)</f>
        <v>0</v>
      </c>
      <c r="C79" s="7">
        <f>'AM Benches Data'!AH74*('AM Benches Data'!AE74/100)</f>
        <v>0</v>
      </c>
      <c r="D79" s="7">
        <f>'AM Benches Data'!AI74*('AM Benches Data'!AF74/100)</f>
        <v>0</v>
      </c>
      <c r="E79" s="74" t="e">
        <f t="shared" si="63"/>
        <v>#DIV/0!</v>
      </c>
      <c r="F79" s="74" t="e">
        <f t="shared" si="64"/>
        <v>#DIV/0!</v>
      </c>
      <c r="G79" s="64">
        <f>'AM Benches Data'!B74</f>
        <v>0</v>
      </c>
      <c r="H79" s="40">
        <f>'AM Benches Data'!L74</f>
        <v>0</v>
      </c>
      <c r="I79" s="40">
        <f>'AM Benches Data'!V74</f>
        <v>0</v>
      </c>
      <c r="J79" s="74" t="e">
        <f t="shared" si="65"/>
        <v>#DIV/0!</v>
      </c>
      <c r="K79" s="74" t="e">
        <f t="shared" si="66"/>
        <v>#DIV/0!</v>
      </c>
      <c r="L79" s="40">
        <f>'AM Benches Data'!C74</f>
        <v>0</v>
      </c>
      <c r="M79" s="40">
        <f>'AM Benches Data'!M74</f>
        <v>0</v>
      </c>
      <c r="N79" s="40">
        <f>'AM Benches Data'!W74</f>
        <v>0</v>
      </c>
      <c r="O79" s="506" t="e">
        <f t="shared" si="67"/>
        <v>#DIV/0!</v>
      </c>
      <c r="P79" s="74" t="e">
        <f t="shared" si="68"/>
        <v>#DIV/0!</v>
      </c>
      <c r="Q79" s="40">
        <f>'AM Benches Data'!D74</f>
        <v>0</v>
      </c>
      <c r="R79" s="40">
        <f>'AM Benches Data'!N74</f>
        <v>0</v>
      </c>
      <c r="S79" s="40">
        <f>'AM Benches Data'!X74</f>
        <v>0</v>
      </c>
      <c r="T79" s="506" t="e">
        <f t="shared" si="69"/>
        <v>#DIV/0!</v>
      </c>
      <c r="U79" s="74" t="e">
        <f t="shared" si="70"/>
        <v>#DIV/0!</v>
      </c>
      <c r="V79" s="40">
        <f>'AM Benches Data'!H74</f>
        <v>0</v>
      </c>
      <c r="W79" s="40">
        <f>'AM Benches Data'!R74</f>
        <v>0</v>
      </c>
      <c r="X79" s="40">
        <f>'AM Benches Data'!Z74</f>
        <v>0</v>
      </c>
      <c r="Y79" s="506" t="e">
        <f t="shared" si="71"/>
        <v>#DIV/0!</v>
      </c>
      <c r="Z79" s="74" t="e">
        <f t="shared" si="72"/>
        <v>#DIV/0!</v>
      </c>
      <c r="AA79" s="40">
        <f>'AM Benches Data'!I74</f>
        <v>0</v>
      </c>
      <c r="AB79" s="40">
        <f>'AM Benches Data'!S74</f>
        <v>0</v>
      </c>
      <c r="AC79" s="40">
        <f>'AM Benches Data'!AA74</f>
        <v>0</v>
      </c>
      <c r="AD79" s="506" t="e">
        <f t="shared" si="73"/>
        <v>#DIV/0!</v>
      </c>
      <c r="AE79" s="74" t="e">
        <f t="shared" si="74"/>
        <v>#DIV/0!</v>
      </c>
      <c r="AF79" s="40">
        <f>'AM Benches Data'!K74</f>
        <v>0</v>
      </c>
      <c r="AG79" s="40">
        <f>'AM Benches Data'!U74</f>
        <v>0</v>
      </c>
      <c r="AH79" s="40">
        <f>'AM Benches Data'!AC74</f>
        <v>0</v>
      </c>
      <c r="AI79" s="506" t="e">
        <f t="shared" si="75"/>
        <v>#DIV/0!</v>
      </c>
      <c r="AJ79" s="74" t="e">
        <f t="shared" si="76"/>
        <v>#DIV/0!</v>
      </c>
    </row>
    <row r="80" spans="1:36" hidden="1" outlineLevel="1" x14ac:dyDescent="0.25">
      <c r="B80" s="7">
        <f>'AM Benches Data'!AG75*('AM Benches Data'!AD75/100)</f>
        <v>0</v>
      </c>
      <c r="C80" s="7">
        <f>'AM Benches Data'!AH75*('AM Benches Data'!AE75/100)</f>
        <v>0</v>
      </c>
      <c r="D80" s="7">
        <f>'AM Benches Data'!AI75*('AM Benches Data'!AF75/100)</f>
        <v>0</v>
      </c>
      <c r="E80" s="74" t="e">
        <f t="shared" si="63"/>
        <v>#DIV/0!</v>
      </c>
      <c r="F80" s="74" t="e">
        <f t="shared" si="64"/>
        <v>#DIV/0!</v>
      </c>
      <c r="G80" s="64">
        <f>'AM Benches Data'!B75</f>
        <v>0</v>
      </c>
      <c r="H80" s="40">
        <f>'AM Benches Data'!L75</f>
        <v>0</v>
      </c>
      <c r="I80" s="40">
        <f>'AM Benches Data'!V75</f>
        <v>0</v>
      </c>
      <c r="J80" s="74" t="e">
        <f t="shared" si="65"/>
        <v>#DIV/0!</v>
      </c>
      <c r="K80" s="74" t="e">
        <f t="shared" si="66"/>
        <v>#DIV/0!</v>
      </c>
      <c r="L80" s="40">
        <f>'AM Benches Data'!C75</f>
        <v>0</v>
      </c>
      <c r="M80" s="40">
        <f>'AM Benches Data'!M75</f>
        <v>0</v>
      </c>
      <c r="N80" s="40">
        <f>'AM Benches Data'!W75</f>
        <v>0</v>
      </c>
      <c r="O80" s="506" t="e">
        <f t="shared" si="67"/>
        <v>#DIV/0!</v>
      </c>
      <c r="P80" s="74" t="e">
        <f t="shared" si="68"/>
        <v>#DIV/0!</v>
      </c>
      <c r="Q80" s="40">
        <f>'AM Benches Data'!D75</f>
        <v>0</v>
      </c>
      <c r="R80" s="40">
        <f>'AM Benches Data'!N75</f>
        <v>0</v>
      </c>
      <c r="S80" s="40">
        <f>'AM Benches Data'!X75</f>
        <v>0</v>
      </c>
      <c r="T80" s="506" t="e">
        <f t="shared" si="69"/>
        <v>#DIV/0!</v>
      </c>
      <c r="U80" s="74" t="e">
        <f t="shared" si="70"/>
        <v>#DIV/0!</v>
      </c>
      <c r="V80" s="40">
        <f>'AM Benches Data'!H75</f>
        <v>0</v>
      </c>
      <c r="W80" s="40">
        <f>'AM Benches Data'!R75</f>
        <v>0</v>
      </c>
      <c r="X80" s="40">
        <f>'AM Benches Data'!Z75</f>
        <v>0</v>
      </c>
      <c r="Y80" s="506" t="e">
        <f t="shared" si="71"/>
        <v>#DIV/0!</v>
      </c>
      <c r="Z80" s="74" t="e">
        <f t="shared" si="72"/>
        <v>#DIV/0!</v>
      </c>
      <c r="AA80" s="40">
        <f>'AM Benches Data'!I75</f>
        <v>0</v>
      </c>
      <c r="AB80" s="40">
        <f>'AM Benches Data'!S75</f>
        <v>0</v>
      </c>
      <c r="AC80" s="40">
        <f>'AM Benches Data'!AA75</f>
        <v>0</v>
      </c>
      <c r="AD80" s="506" t="e">
        <f t="shared" si="73"/>
        <v>#DIV/0!</v>
      </c>
      <c r="AE80" s="74" t="e">
        <f t="shared" si="74"/>
        <v>#DIV/0!</v>
      </c>
      <c r="AF80" s="40">
        <f>'AM Benches Data'!K75</f>
        <v>0</v>
      </c>
      <c r="AG80" s="40">
        <f>'AM Benches Data'!U75</f>
        <v>0</v>
      </c>
      <c r="AH80" s="40">
        <f>'AM Benches Data'!AC75</f>
        <v>0</v>
      </c>
      <c r="AI80" s="506" t="e">
        <f t="shared" si="75"/>
        <v>#DIV/0!</v>
      </c>
      <c r="AJ80" s="74" t="e">
        <f t="shared" si="76"/>
        <v>#DIV/0!</v>
      </c>
    </row>
    <row r="81" spans="2:36" hidden="1" outlineLevel="1" x14ac:dyDescent="0.25">
      <c r="B81" s="7">
        <f>'AM Benches Data'!AG76*('AM Benches Data'!AD76/100)</f>
        <v>0</v>
      </c>
      <c r="C81" s="7">
        <f>'AM Benches Data'!AH76*('AM Benches Data'!AE76/100)</f>
        <v>0</v>
      </c>
      <c r="D81" s="7">
        <f>'AM Benches Data'!AI76*('AM Benches Data'!AF76/100)</f>
        <v>0</v>
      </c>
      <c r="E81" s="74" t="e">
        <f t="shared" si="63"/>
        <v>#DIV/0!</v>
      </c>
      <c r="F81" s="74" t="e">
        <f t="shared" si="64"/>
        <v>#DIV/0!</v>
      </c>
      <c r="G81" s="64">
        <f>'AM Benches Data'!B76</f>
        <v>0</v>
      </c>
      <c r="H81" s="40">
        <f>'AM Benches Data'!L76</f>
        <v>0</v>
      </c>
      <c r="I81" s="40">
        <f>'AM Benches Data'!V76</f>
        <v>0</v>
      </c>
      <c r="J81" s="74" t="e">
        <f t="shared" si="65"/>
        <v>#DIV/0!</v>
      </c>
      <c r="K81" s="74" t="e">
        <f t="shared" si="66"/>
        <v>#DIV/0!</v>
      </c>
      <c r="L81" s="40">
        <f>'AM Benches Data'!C76</f>
        <v>0</v>
      </c>
      <c r="M81" s="40">
        <f>'AM Benches Data'!M76</f>
        <v>0</v>
      </c>
      <c r="N81" s="40">
        <f>'AM Benches Data'!W76</f>
        <v>0</v>
      </c>
      <c r="O81" s="506" t="e">
        <f t="shared" si="67"/>
        <v>#DIV/0!</v>
      </c>
      <c r="P81" s="74" t="e">
        <f t="shared" si="68"/>
        <v>#DIV/0!</v>
      </c>
      <c r="Q81" s="40">
        <f>'AM Benches Data'!D76</f>
        <v>0</v>
      </c>
      <c r="R81" s="40">
        <f>'AM Benches Data'!N76</f>
        <v>0</v>
      </c>
      <c r="S81" s="40">
        <f>'AM Benches Data'!X76</f>
        <v>0</v>
      </c>
      <c r="T81" s="506" t="e">
        <f t="shared" si="69"/>
        <v>#DIV/0!</v>
      </c>
      <c r="U81" s="74" t="e">
        <f t="shared" si="70"/>
        <v>#DIV/0!</v>
      </c>
      <c r="V81" s="40">
        <f>'AM Benches Data'!H76</f>
        <v>0</v>
      </c>
      <c r="W81" s="40">
        <f>'AM Benches Data'!R76</f>
        <v>0</v>
      </c>
      <c r="X81" s="40">
        <f>'AM Benches Data'!Z76</f>
        <v>0</v>
      </c>
      <c r="Y81" s="506" t="e">
        <f t="shared" si="71"/>
        <v>#DIV/0!</v>
      </c>
      <c r="Z81" s="74" t="e">
        <f t="shared" si="72"/>
        <v>#DIV/0!</v>
      </c>
      <c r="AA81" s="40">
        <f>'AM Benches Data'!I76</f>
        <v>0</v>
      </c>
      <c r="AB81" s="40">
        <f>'AM Benches Data'!S76</f>
        <v>0</v>
      </c>
      <c r="AC81" s="40">
        <f>'AM Benches Data'!AA76</f>
        <v>0</v>
      </c>
      <c r="AD81" s="506" t="e">
        <f t="shared" si="73"/>
        <v>#DIV/0!</v>
      </c>
      <c r="AE81" s="74" t="e">
        <f t="shared" si="74"/>
        <v>#DIV/0!</v>
      </c>
      <c r="AF81" s="40">
        <f>'AM Benches Data'!K76</f>
        <v>0</v>
      </c>
      <c r="AG81" s="40">
        <f>'AM Benches Data'!U76</f>
        <v>0</v>
      </c>
      <c r="AH81" s="40">
        <f>'AM Benches Data'!AC76</f>
        <v>0</v>
      </c>
      <c r="AI81" s="506" t="e">
        <f t="shared" si="75"/>
        <v>#DIV/0!</v>
      </c>
      <c r="AJ81" s="74" t="e">
        <f t="shared" si="76"/>
        <v>#DIV/0!</v>
      </c>
    </row>
    <row r="82" spans="2:36" hidden="1" outlineLevel="1" x14ac:dyDescent="0.25">
      <c r="B82" s="7">
        <f>'AM Benches Data'!AG77*('AM Benches Data'!AD77/100)</f>
        <v>0</v>
      </c>
      <c r="C82" s="7">
        <f>'AM Benches Data'!AH77*('AM Benches Data'!AE77/100)</f>
        <v>0</v>
      </c>
      <c r="D82" s="7">
        <f>'AM Benches Data'!AI77*('AM Benches Data'!AF77/100)</f>
        <v>0</v>
      </c>
      <c r="E82" s="74" t="e">
        <f t="shared" si="63"/>
        <v>#DIV/0!</v>
      </c>
      <c r="F82" s="74" t="e">
        <f t="shared" si="64"/>
        <v>#DIV/0!</v>
      </c>
      <c r="G82" s="64">
        <f>'AM Benches Data'!B77</f>
        <v>0</v>
      </c>
      <c r="H82" s="40">
        <f>'AM Benches Data'!L77</f>
        <v>0</v>
      </c>
      <c r="I82" s="40">
        <f>'AM Benches Data'!V77</f>
        <v>0</v>
      </c>
      <c r="J82" s="74" t="e">
        <f t="shared" si="65"/>
        <v>#DIV/0!</v>
      </c>
      <c r="K82" s="74" t="e">
        <f t="shared" si="66"/>
        <v>#DIV/0!</v>
      </c>
      <c r="L82" s="40">
        <f>'AM Benches Data'!C77</f>
        <v>0</v>
      </c>
      <c r="M82" s="40">
        <f>'AM Benches Data'!M77</f>
        <v>0</v>
      </c>
      <c r="N82" s="40">
        <f>'AM Benches Data'!W77</f>
        <v>0</v>
      </c>
      <c r="O82" s="506" t="e">
        <f t="shared" si="67"/>
        <v>#DIV/0!</v>
      </c>
      <c r="P82" s="74" t="e">
        <f t="shared" si="68"/>
        <v>#DIV/0!</v>
      </c>
      <c r="Q82" s="40">
        <f>'AM Benches Data'!D77</f>
        <v>0</v>
      </c>
      <c r="R82" s="40">
        <f>'AM Benches Data'!N77</f>
        <v>0</v>
      </c>
      <c r="S82" s="40">
        <f>'AM Benches Data'!X77</f>
        <v>0</v>
      </c>
      <c r="T82" s="506" t="e">
        <f t="shared" si="69"/>
        <v>#DIV/0!</v>
      </c>
      <c r="U82" s="74" t="e">
        <f t="shared" si="70"/>
        <v>#DIV/0!</v>
      </c>
      <c r="V82" s="40">
        <f>'AM Benches Data'!H77</f>
        <v>0</v>
      </c>
      <c r="W82" s="40">
        <f>'AM Benches Data'!R77</f>
        <v>0</v>
      </c>
      <c r="X82" s="40">
        <f>'AM Benches Data'!Z77</f>
        <v>0</v>
      </c>
      <c r="Y82" s="506" t="e">
        <f t="shared" si="71"/>
        <v>#DIV/0!</v>
      </c>
      <c r="Z82" s="74" t="e">
        <f t="shared" si="72"/>
        <v>#DIV/0!</v>
      </c>
      <c r="AA82" s="40">
        <f>'AM Benches Data'!I77</f>
        <v>0</v>
      </c>
      <c r="AB82" s="40">
        <f>'AM Benches Data'!S77</f>
        <v>0</v>
      </c>
      <c r="AC82" s="40">
        <f>'AM Benches Data'!AA77</f>
        <v>0</v>
      </c>
      <c r="AD82" s="506" t="e">
        <f t="shared" si="73"/>
        <v>#DIV/0!</v>
      </c>
      <c r="AE82" s="74" t="e">
        <f t="shared" si="74"/>
        <v>#DIV/0!</v>
      </c>
      <c r="AF82" s="40">
        <f>'AM Benches Data'!K77</f>
        <v>0</v>
      </c>
      <c r="AG82" s="40">
        <f>'AM Benches Data'!U77</f>
        <v>0</v>
      </c>
      <c r="AH82" s="40">
        <f>'AM Benches Data'!AC77</f>
        <v>0</v>
      </c>
      <c r="AI82" s="506" t="e">
        <f t="shared" si="75"/>
        <v>#DIV/0!</v>
      </c>
      <c r="AJ82" s="74" t="e">
        <f t="shared" si="76"/>
        <v>#DIV/0!</v>
      </c>
    </row>
    <row r="83" spans="2:36" hidden="1" outlineLevel="1" x14ac:dyDescent="0.25">
      <c r="B83" s="7">
        <f>'AM Benches Data'!AG78*('AM Benches Data'!AD78/100)</f>
        <v>0</v>
      </c>
      <c r="C83" s="7">
        <f>'AM Benches Data'!AH78*('AM Benches Data'!AE78/100)</f>
        <v>0</v>
      </c>
      <c r="D83" s="7">
        <f>'AM Benches Data'!AI78*('AM Benches Data'!AF78/100)</f>
        <v>0</v>
      </c>
      <c r="E83" s="74" t="e">
        <f t="shared" si="63"/>
        <v>#DIV/0!</v>
      </c>
      <c r="F83" s="74" t="e">
        <f t="shared" si="64"/>
        <v>#DIV/0!</v>
      </c>
      <c r="G83" s="64">
        <f>'AM Benches Data'!B78</f>
        <v>0</v>
      </c>
      <c r="H83" s="40">
        <f>'AM Benches Data'!L78</f>
        <v>0</v>
      </c>
      <c r="I83" s="40">
        <f>'AM Benches Data'!V78</f>
        <v>0</v>
      </c>
      <c r="J83" s="74" t="e">
        <f t="shared" si="65"/>
        <v>#DIV/0!</v>
      </c>
      <c r="K83" s="74" t="e">
        <f t="shared" si="66"/>
        <v>#DIV/0!</v>
      </c>
      <c r="L83" s="40">
        <f>'AM Benches Data'!C78</f>
        <v>0</v>
      </c>
      <c r="M83" s="40">
        <f>'AM Benches Data'!M78</f>
        <v>0</v>
      </c>
      <c r="N83" s="40">
        <f>'AM Benches Data'!W78</f>
        <v>0</v>
      </c>
      <c r="O83" s="506" t="e">
        <f t="shared" si="67"/>
        <v>#DIV/0!</v>
      </c>
      <c r="P83" s="74" t="e">
        <f t="shared" si="68"/>
        <v>#DIV/0!</v>
      </c>
      <c r="Q83" s="40">
        <f>'AM Benches Data'!D78</f>
        <v>0</v>
      </c>
      <c r="R83" s="40">
        <f>'AM Benches Data'!N78</f>
        <v>0</v>
      </c>
      <c r="S83" s="40">
        <f>'AM Benches Data'!X78</f>
        <v>0</v>
      </c>
      <c r="T83" s="506" t="e">
        <f t="shared" si="69"/>
        <v>#DIV/0!</v>
      </c>
      <c r="U83" s="74" t="e">
        <f t="shared" si="70"/>
        <v>#DIV/0!</v>
      </c>
      <c r="V83" s="40">
        <f>'AM Benches Data'!H78</f>
        <v>0</v>
      </c>
      <c r="W83" s="40">
        <f>'AM Benches Data'!R78</f>
        <v>0</v>
      </c>
      <c r="X83" s="40">
        <f>'AM Benches Data'!Z78</f>
        <v>0</v>
      </c>
      <c r="Y83" s="506" t="e">
        <f t="shared" si="71"/>
        <v>#DIV/0!</v>
      </c>
      <c r="Z83" s="74" t="e">
        <f t="shared" si="72"/>
        <v>#DIV/0!</v>
      </c>
      <c r="AA83" s="40">
        <f>'AM Benches Data'!I78</f>
        <v>0</v>
      </c>
      <c r="AB83" s="40">
        <f>'AM Benches Data'!S78</f>
        <v>0</v>
      </c>
      <c r="AC83" s="40">
        <f>'AM Benches Data'!AA78</f>
        <v>0</v>
      </c>
      <c r="AD83" s="506" t="e">
        <f t="shared" si="73"/>
        <v>#DIV/0!</v>
      </c>
      <c r="AE83" s="74" t="e">
        <f t="shared" si="74"/>
        <v>#DIV/0!</v>
      </c>
      <c r="AF83" s="40">
        <f>'AM Benches Data'!K78</f>
        <v>0</v>
      </c>
      <c r="AG83" s="40">
        <f>'AM Benches Data'!U78</f>
        <v>0</v>
      </c>
      <c r="AH83" s="40">
        <f>'AM Benches Data'!AC78</f>
        <v>0</v>
      </c>
      <c r="AI83" s="506" t="e">
        <f t="shared" si="75"/>
        <v>#DIV/0!</v>
      </c>
      <c r="AJ83" s="74" t="e">
        <f t="shared" si="76"/>
        <v>#DIV/0!</v>
      </c>
    </row>
    <row r="84" spans="2:36" hidden="1" outlineLevel="1" x14ac:dyDescent="0.25">
      <c r="B84" s="7">
        <f>'AM Benches Data'!AG79*('AM Benches Data'!AD79/100)</f>
        <v>0</v>
      </c>
      <c r="C84" s="7">
        <f>'AM Benches Data'!AH79*('AM Benches Data'!AE79/100)</f>
        <v>0</v>
      </c>
      <c r="D84" s="7">
        <f>'AM Benches Data'!AI79*('AM Benches Data'!AF79/100)</f>
        <v>0</v>
      </c>
      <c r="E84" s="74" t="e">
        <f t="shared" si="63"/>
        <v>#DIV/0!</v>
      </c>
      <c r="F84" s="74" t="e">
        <f t="shared" si="64"/>
        <v>#DIV/0!</v>
      </c>
      <c r="G84" s="64">
        <f>'AM Benches Data'!B79</f>
        <v>0</v>
      </c>
      <c r="H84" s="40">
        <f>'AM Benches Data'!L79</f>
        <v>0</v>
      </c>
      <c r="I84" s="40">
        <f>'AM Benches Data'!V79</f>
        <v>0</v>
      </c>
      <c r="J84" s="74" t="e">
        <f t="shared" si="65"/>
        <v>#DIV/0!</v>
      </c>
      <c r="K84" s="74" t="e">
        <f t="shared" si="66"/>
        <v>#DIV/0!</v>
      </c>
      <c r="L84" s="40">
        <f>'AM Benches Data'!C79</f>
        <v>0</v>
      </c>
      <c r="M84" s="40">
        <f>'AM Benches Data'!M79</f>
        <v>0</v>
      </c>
      <c r="N84" s="40">
        <f>'AM Benches Data'!W79</f>
        <v>0</v>
      </c>
      <c r="O84" s="506" t="e">
        <f t="shared" si="67"/>
        <v>#DIV/0!</v>
      </c>
      <c r="P84" s="74" t="e">
        <f t="shared" si="68"/>
        <v>#DIV/0!</v>
      </c>
      <c r="Q84" s="40">
        <f>'AM Benches Data'!D79</f>
        <v>0</v>
      </c>
      <c r="R84" s="40">
        <f>'AM Benches Data'!N79</f>
        <v>0</v>
      </c>
      <c r="S84" s="40">
        <f>'AM Benches Data'!X79</f>
        <v>0</v>
      </c>
      <c r="T84" s="506" t="e">
        <f t="shared" si="69"/>
        <v>#DIV/0!</v>
      </c>
      <c r="U84" s="74" t="e">
        <f t="shared" si="70"/>
        <v>#DIV/0!</v>
      </c>
      <c r="V84" s="40">
        <f>'AM Benches Data'!H79</f>
        <v>0</v>
      </c>
      <c r="W84" s="40">
        <f>'AM Benches Data'!R79</f>
        <v>0</v>
      </c>
      <c r="X84" s="40">
        <f>'AM Benches Data'!Z79</f>
        <v>0</v>
      </c>
      <c r="Y84" s="506" t="e">
        <f t="shared" si="71"/>
        <v>#DIV/0!</v>
      </c>
      <c r="Z84" s="74" t="e">
        <f t="shared" si="72"/>
        <v>#DIV/0!</v>
      </c>
      <c r="AA84" s="40">
        <f>'AM Benches Data'!I79</f>
        <v>0</v>
      </c>
      <c r="AB84" s="40">
        <f>'AM Benches Data'!S79</f>
        <v>0</v>
      </c>
      <c r="AC84" s="40">
        <f>'AM Benches Data'!AA79</f>
        <v>0</v>
      </c>
      <c r="AD84" s="506" t="e">
        <f t="shared" si="73"/>
        <v>#DIV/0!</v>
      </c>
      <c r="AE84" s="74" t="e">
        <f t="shared" si="74"/>
        <v>#DIV/0!</v>
      </c>
      <c r="AF84" s="40">
        <f>'AM Benches Data'!K79</f>
        <v>0</v>
      </c>
      <c r="AG84" s="40">
        <f>'AM Benches Data'!U79</f>
        <v>0</v>
      </c>
      <c r="AH84" s="40">
        <f>'AM Benches Data'!AC79</f>
        <v>0</v>
      </c>
      <c r="AI84" s="506" t="e">
        <f t="shared" si="75"/>
        <v>#DIV/0!</v>
      </c>
      <c r="AJ84" s="74" t="e">
        <f t="shared" si="76"/>
        <v>#DIV/0!</v>
      </c>
    </row>
    <row r="85" spans="2:36" hidden="1" outlineLevel="1" x14ac:dyDescent="0.25">
      <c r="B85" s="7">
        <f>'AM Benches Data'!AG80*('AM Benches Data'!AD80/100)</f>
        <v>0</v>
      </c>
      <c r="C85" s="7">
        <f>'AM Benches Data'!AH80*('AM Benches Data'!AE80/100)</f>
        <v>0</v>
      </c>
      <c r="D85" s="7">
        <f>'AM Benches Data'!AI80*('AM Benches Data'!AF80/100)</f>
        <v>0</v>
      </c>
      <c r="E85" s="74" t="e">
        <f t="shared" si="63"/>
        <v>#DIV/0!</v>
      </c>
      <c r="F85" s="74" t="e">
        <f t="shared" si="64"/>
        <v>#DIV/0!</v>
      </c>
      <c r="G85" s="64">
        <f>'AM Benches Data'!B80</f>
        <v>0</v>
      </c>
      <c r="H85" s="40">
        <f>'AM Benches Data'!L80</f>
        <v>0</v>
      </c>
      <c r="I85" s="40">
        <f>'AM Benches Data'!V80</f>
        <v>0</v>
      </c>
      <c r="J85" s="74" t="e">
        <f t="shared" si="65"/>
        <v>#DIV/0!</v>
      </c>
      <c r="K85" s="74" t="e">
        <f t="shared" si="66"/>
        <v>#DIV/0!</v>
      </c>
      <c r="L85" s="40">
        <f>'AM Benches Data'!C80</f>
        <v>0</v>
      </c>
      <c r="M85" s="40">
        <f>'AM Benches Data'!M80</f>
        <v>0</v>
      </c>
      <c r="N85" s="40">
        <f>'AM Benches Data'!W80</f>
        <v>0</v>
      </c>
      <c r="O85" s="506" t="e">
        <f t="shared" si="67"/>
        <v>#DIV/0!</v>
      </c>
      <c r="P85" s="74" t="e">
        <f t="shared" si="68"/>
        <v>#DIV/0!</v>
      </c>
      <c r="Q85" s="40">
        <f>'AM Benches Data'!D80</f>
        <v>0</v>
      </c>
      <c r="R85" s="40">
        <f>'AM Benches Data'!N80</f>
        <v>0</v>
      </c>
      <c r="S85" s="40">
        <f>'AM Benches Data'!X80</f>
        <v>0</v>
      </c>
      <c r="T85" s="506" t="e">
        <f t="shared" si="69"/>
        <v>#DIV/0!</v>
      </c>
      <c r="U85" s="74" t="e">
        <f t="shared" si="70"/>
        <v>#DIV/0!</v>
      </c>
      <c r="V85" s="40">
        <f>'AM Benches Data'!H80</f>
        <v>0</v>
      </c>
      <c r="W85" s="40">
        <f>'AM Benches Data'!R80</f>
        <v>0</v>
      </c>
      <c r="X85" s="40">
        <f>'AM Benches Data'!Z80</f>
        <v>0</v>
      </c>
      <c r="Y85" s="506" t="e">
        <f t="shared" si="71"/>
        <v>#DIV/0!</v>
      </c>
      <c r="Z85" s="74" t="e">
        <f t="shared" si="72"/>
        <v>#DIV/0!</v>
      </c>
      <c r="AA85" s="40">
        <f>'AM Benches Data'!I80</f>
        <v>0</v>
      </c>
      <c r="AB85" s="40">
        <f>'AM Benches Data'!S80</f>
        <v>0</v>
      </c>
      <c r="AC85" s="40">
        <f>'AM Benches Data'!AA80</f>
        <v>0</v>
      </c>
      <c r="AD85" s="506" t="e">
        <f t="shared" si="73"/>
        <v>#DIV/0!</v>
      </c>
      <c r="AE85" s="74" t="e">
        <f t="shared" si="74"/>
        <v>#DIV/0!</v>
      </c>
      <c r="AF85" s="40">
        <f>'AM Benches Data'!K80</f>
        <v>0</v>
      </c>
      <c r="AG85" s="40">
        <f>'AM Benches Data'!U80</f>
        <v>0</v>
      </c>
      <c r="AH85" s="40">
        <f>'AM Benches Data'!AC80</f>
        <v>0</v>
      </c>
      <c r="AI85" s="506" t="e">
        <f t="shared" si="75"/>
        <v>#DIV/0!</v>
      </c>
      <c r="AJ85" s="74" t="e">
        <f t="shared" si="76"/>
        <v>#DIV/0!</v>
      </c>
    </row>
    <row r="86" spans="2:36" hidden="1" outlineLevel="1" x14ac:dyDescent="0.25">
      <c r="B86" s="7">
        <f>'AM Benches Data'!AG81*('AM Benches Data'!AD81/100)</f>
        <v>0</v>
      </c>
      <c r="C86" s="7">
        <f>'AM Benches Data'!AH81*('AM Benches Data'!AE81/100)</f>
        <v>0</v>
      </c>
      <c r="D86" s="7">
        <f>'AM Benches Data'!AI81*('AM Benches Data'!AF81/100)</f>
        <v>0</v>
      </c>
      <c r="E86" s="74" t="e">
        <f t="shared" si="63"/>
        <v>#DIV/0!</v>
      </c>
      <c r="F86" s="74" t="e">
        <f t="shared" si="64"/>
        <v>#DIV/0!</v>
      </c>
      <c r="G86" s="64">
        <f>'AM Benches Data'!B81</f>
        <v>0</v>
      </c>
      <c r="H86" s="40">
        <f>'AM Benches Data'!L81</f>
        <v>0</v>
      </c>
      <c r="I86" s="40">
        <f>'AM Benches Data'!V81</f>
        <v>0</v>
      </c>
      <c r="J86" s="74" t="e">
        <f t="shared" si="65"/>
        <v>#DIV/0!</v>
      </c>
      <c r="K86" s="74" t="e">
        <f t="shared" si="66"/>
        <v>#DIV/0!</v>
      </c>
      <c r="L86" s="40">
        <f>'AM Benches Data'!C81</f>
        <v>0</v>
      </c>
      <c r="M86" s="40">
        <f>'AM Benches Data'!M81</f>
        <v>0</v>
      </c>
      <c r="N86" s="40">
        <f>'AM Benches Data'!W81</f>
        <v>0</v>
      </c>
      <c r="O86" s="506" t="e">
        <f t="shared" si="67"/>
        <v>#DIV/0!</v>
      </c>
      <c r="P86" s="74" t="e">
        <f t="shared" si="68"/>
        <v>#DIV/0!</v>
      </c>
      <c r="Q86" s="40">
        <f>'AM Benches Data'!D81</f>
        <v>0</v>
      </c>
      <c r="R86" s="40">
        <f>'AM Benches Data'!N81</f>
        <v>0</v>
      </c>
      <c r="S86" s="40">
        <f>'AM Benches Data'!X81</f>
        <v>0</v>
      </c>
      <c r="T86" s="506" t="e">
        <f t="shared" si="69"/>
        <v>#DIV/0!</v>
      </c>
      <c r="U86" s="74" t="e">
        <f t="shared" si="70"/>
        <v>#DIV/0!</v>
      </c>
      <c r="V86" s="40">
        <f>'AM Benches Data'!H81</f>
        <v>0</v>
      </c>
      <c r="W86" s="40">
        <f>'AM Benches Data'!R81</f>
        <v>0</v>
      </c>
      <c r="X86" s="40">
        <f>'AM Benches Data'!Z81</f>
        <v>0</v>
      </c>
      <c r="Y86" s="506" t="e">
        <f t="shared" si="71"/>
        <v>#DIV/0!</v>
      </c>
      <c r="Z86" s="74" t="e">
        <f t="shared" si="72"/>
        <v>#DIV/0!</v>
      </c>
      <c r="AA86" s="40">
        <f>'AM Benches Data'!I81</f>
        <v>0</v>
      </c>
      <c r="AB86" s="40">
        <f>'AM Benches Data'!S81</f>
        <v>0</v>
      </c>
      <c r="AC86" s="40">
        <f>'AM Benches Data'!AA81</f>
        <v>0</v>
      </c>
      <c r="AD86" s="506" t="e">
        <f t="shared" si="73"/>
        <v>#DIV/0!</v>
      </c>
      <c r="AE86" s="74" t="e">
        <f t="shared" si="74"/>
        <v>#DIV/0!</v>
      </c>
      <c r="AF86" s="40">
        <f>'AM Benches Data'!K81</f>
        <v>0</v>
      </c>
      <c r="AG86" s="40">
        <f>'AM Benches Data'!U81</f>
        <v>0</v>
      </c>
      <c r="AH86" s="40">
        <f>'AM Benches Data'!AC81</f>
        <v>0</v>
      </c>
      <c r="AI86" s="506" t="e">
        <f t="shared" si="75"/>
        <v>#DIV/0!</v>
      </c>
      <c r="AJ86" s="74" t="e">
        <f t="shared" si="76"/>
        <v>#DIV/0!</v>
      </c>
    </row>
    <row r="87" spans="2:36" hidden="1" outlineLevel="1" x14ac:dyDescent="0.25">
      <c r="B87" s="7">
        <f>'AM Benches Data'!AG82*('AM Benches Data'!AD82/100)</f>
        <v>0</v>
      </c>
      <c r="C87" s="7">
        <f>'AM Benches Data'!AH82*('AM Benches Data'!AE82/100)</f>
        <v>0</v>
      </c>
      <c r="D87" s="7">
        <f>'AM Benches Data'!AI82*('AM Benches Data'!AF82/100)</f>
        <v>0</v>
      </c>
      <c r="E87" s="74" t="e">
        <f t="shared" si="63"/>
        <v>#DIV/0!</v>
      </c>
      <c r="F87" s="74" t="e">
        <f t="shared" si="64"/>
        <v>#DIV/0!</v>
      </c>
      <c r="G87" s="64">
        <f>'AM Benches Data'!B82</f>
        <v>0</v>
      </c>
      <c r="H87" s="40">
        <f>'AM Benches Data'!L82</f>
        <v>0</v>
      </c>
      <c r="I87" s="40">
        <f>'AM Benches Data'!V82</f>
        <v>0</v>
      </c>
      <c r="J87" s="74" t="e">
        <f t="shared" si="65"/>
        <v>#DIV/0!</v>
      </c>
      <c r="K87" s="74" t="e">
        <f t="shared" si="66"/>
        <v>#DIV/0!</v>
      </c>
      <c r="L87" s="40">
        <f>'AM Benches Data'!C82</f>
        <v>0</v>
      </c>
      <c r="M87" s="40">
        <f>'AM Benches Data'!M82</f>
        <v>0</v>
      </c>
      <c r="N87" s="40">
        <f>'AM Benches Data'!W82</f>
        <v>0</v>
      </c>
      <c r="O87" s="506" t="e">
        <f t="shared" si="67"/>
        <v>#DIV/0!</v>
      </c>
      <c r="P87" s="74" t="e">
        <f t="shared" si="68"/>
        <v>#DIV/0!</v>
      </c>
      <c r="Q87" s="40">
        <f>'AM Benches Data'!D82</f>
        <v>0</v>
      </c>
      <c r="R87" s="40">
        <f>'AM Benches Data'!N82</f>
        <v>0</v>
      </c>
      <c r="S87" s="40">
        <f>'AM Benches Data'!X82</f>
        <v>0</v>
      </c>
      <c r="T87" s="506" t="e">
        <f t="shared" si="69"/>
        <v>#DIV/0!</v>
      </c>
      <c r="U87" s="74" t="e">
        <f t="shared" si="70"/>
        <v>#DIV/0!</v>
      </c>
      <c r="V87" s="40">
        <f>'AM Benches Data'!H82</f>
        <v>0</v>
      </c>
      <c r="W87" s="40">
        <f>'AM Benches Data'!R82</f>
        <v>0</v>
      </c>
      <c r="X87" s="40">
        <f>'AM Benches Data'!Z82</f>
        <v>0</v>
      </c>
      <c r="Y87" s="506" t="e">
        <f t="shared" si="71"/>
        <v>#DIV/0!</v>
      </c>
      <c r="Z87" s="74" t="e">
        <f t="shared" si="72"/>
        <v>#DIV/0!</v>
      </c>
      <c r="AA87" s="40">
        <f>'AM Benches Data'!I82</f>
        <v>0</v>
      </c>
      <c r="AB87" s="40">
        <f>'AM Benches Data'!S82</f>
        <v>0</v>
      </c>
      <c r="AC87" s="40">
        <f>'AM Benches Data'!AA82</f>
        <v>0</v>
      </c>
      <c r="AD87" s="506" t="e">
        <f t="shared" si="73"/>
        <v>#DIV/0!</v>
      </c>
      <c r="AE87" s="74" t="e">
        <f t="shared" si="74"/>
        <v>#DIV/0!</v>
      </c>
      <c r="AF87" s="40">
        <f>'AM Benches Data'!K82</f>
        <v>0</v>
      </c>
      <c r="AG87" s="40">
        <f>'AM Benches Data'!U82</f>
        <v>0</v>
      </c>
      <c r="AH87" s="40">
        <f>'AM Benches Data'!AC82</f>
        <v>0</v>
      </c>
      <c r="AI87" s="506" t="e">
        <f t="shared" si="75"/>
        <v>#DIV/0!</v>
      </c>
      <c r="AJ87" s="74" t="e">
        <f t="shared" si="76"/>
        <v>#DIV/0!</v>
      </c>
    </row>
    <row r="88" spans="2:36" hidden="1" outlineLevel="1" x14ac:dyDescent="0.25">
      <c r="B88" s="7">
        <f>'AM Benches Data'!AG83*('AM Benches Data'!AD83/100)</f>
        <v>0</v>
      </c>
      <c r="C88" s="7">
        <f>'AM Benches Data'!AH83*('AM Benches Data'!AE83/100)</f>
        <v>0</v>
      </c>
      <c r="D88" s="7">
        <f>'AM Benches Data'!AI83*('AM Benches Data'!AF83/100)</f>
        <v>0</v>
      </c>
      <c r="E88" s="74" t="e">
        <f t="shared" si="63"/>
        <v>#DIV/0!</v>
      </c>
      <c r="F88" s="74" t="e">
        <f t="shared" si="64"/>
        <v>#DIV/0!</v>
      </c>
      <c r="G88" s="64">
        <f>'AM Benches Data'!B83</f>
        <v>0</v>
      </c>
      <c r="H88" s="40">
        <f>'AM Benches Data'!L83</f>
        <v>0</v>
      </c>
      <c r="I88" s="40">
        <f>'AM Benches Data'!V83</f>
        <v>0</v>
      </c>
      <c r="J88" s="74" t="e">
        <f t="shared" si="65"/>
        <v>#DIV/0!</v>
      </c>
      <c r="K88" s="74" t="e">
        <f t="shared" si="66"/>
        <v>#DIV/0!</v>
      </c>
      <c r="L88" s="40">
        <f>'AM Benches Data'!C83</f>
        <v>0</v>
      </c>
      <c r="M88" s="40">
        <f>'AM Benches Data'!M83</f>
        <v>0</v>
      </c>
      <c r="N88" s="40">
        <f>'AM Benches Data'!W83</f>
        <v>0</v>
      </c>
      <c r="O88" s="506" t="e">
        <f t="shared" si="67"/>
        <v>#DIV/0!</v>
      </c>
      <c r="P88" s="74" t="e">
        <f t="shared" si="68"/>
        <v>#DIV/0!</v>
      </c>
      <c r="Q88" s="40">
        <f>'AM Benches Data'!D83</f>
        <v>0</v>
      </c>
      <c r="R88" s="40">
        <f>'AM Benches Data'!N83</f>
        <v>0</v>
      </c>
      <c r="S88" s="40">
        <f>'AM Benches Data'!X83</f>
        <v>0</v>
      </c>
      <c r="T88" s="506" t="e">
        <f t="shared" si="69"/>
        <v>#DIV/0!</v>
      </c>
      <c r="U88" s="74" t="e">
        <f t="shared" si="70"/>
        <v>#DIV/0!</v>
      </c>
      <c r="V88" s="40">
        <f>'AM Benches Data'!H83</f>
        <v>0</v>
      </c>
      <c r="W88" s="40">
        <f>'AM Benches Data'!R83</f>
        <v>0</v>
      </c>
      <c r="X88" s="40">
        <f>'AM Benches Data'!Z83</f>
        <v>0</v>
      </c>
      <c r="Y88" s="506" t="e">
        <f t="shared" si="71"/>
        <v>#DIV/0!</v>
      </c>
      <c r="Z88" s="74" t="e">
        <f t="shared" si="72"/>
        <v>#DIV/0!</v>
      </c>
      <c r="AA88" s="40">
        <f>'AM Benches Data'!I83</f>
        <v>0</v>
      </c>
      <c r="AB88" s="40">
        <f>'AM Benches Data'!S83</f>
        <v>0</v>
      </c>
      <c r="AC88" s="40">
        <f>'AM Benches Data'!AA83</f>
        <v>0</v>
      </c>
      <c r="AD88" s="506" t="e">
        <f t="shared" si="73"/>
        <v>#DIV/0!</v>
      </c>
      <c r="AE88" s="74" t="e">
        <f t="shared" si="74"/>
        <v>#DIV/0!</v>
      </c>
      <c r="AF88" s="40">
        <f>'AM Benches Data'!K83</f>
        <v>0</v>
      </c>
      <c r="AG88" s="40">
        <f>'AM Benches Data'!U83</f>
        <v>0</v>
      </c>
      <c r="AH88" s="40">
        <f>'AM Benches Data'!AC83</f>
        <v>0</v>
      </c>
      <c r="AI88" s="506" t="e">
        <f t="shared" si="75"/>
        <v>#DIV/0!</v>
      </c>
      <c r="AJ88" s="74" t="e">
        <f t="shared" si="76"/>
        <v>#DIV/0!</v>
      </c>
    </row>
    <row r="89" spans="2:36" hidden="1" outlineLevel="1" x14ac:dyDescent="0.25">
      <c r="B89" s="7">
        <f>'AM Benches Data'!AG84*('AM Benches Data'!AD84/100)</f>
        <v>0</v>
      </c>
      <c r="C89" s="7">
        <f>'AM Benches Data'!AH84*('AM Benches Data'!AE84/100)</f>
        <v>0</v>
      </c>
      <c r="D89" s="7">
        <f>'AM Benches Data'!AI84*('AM Benches Data'!AF84/100)</f>
        <v>0</v>
      </c>
      <c r="E89" s="74" t="e">
        <f t="shared" si="63"/>
        <v>#DIV/0!</v>
      </c>
      <c r="F89" s="74" t="e">
        <f t="shared" si="64"/>
        <v>#DIV/0!</v>
      </c>
      <c r="G89" s="64">
        <f>'AM Benches Data'!B84</f>
        <v>0</v>
      </c>
      <c r="H89" s="40">
        <f>'AM Benches Data'!L84</f>
        <v>0</v>
      </c>
      <c r="I89" s="40">
        <f>'AM Benches Data'!V84</f>
        <v>0</v>
      </c>
      <c r="J89" s="74" t="e">
        <f t="shared" si="65"/>
        <v>#DIV/0!</v>
      </c>
      <c r="K89" s="74" t="e">
        <f t="shared" si="66"/>
        <v>#DIV/0!</v>
      </c>
      <c r="L89" s="40">
        <f>'AM Benches Data'!C84</f>
        <v>0</v>
      </c>
      <c r="M89" s="40">
        <f>'AM Benches Data'!M84</f>
        <v>0</v>
      </c>
      <c r="N89" s="40">
        <f>'AM Benches Data'!W84</f>
        <v>0</v>
      </c>
      <c r="O89" s="506" t="e">
        <f t="shared" si="67"/>
        <v>#DIV/0!</v>
      </c>
      <c r="P89" s="74" t="e">
        <f t="shared" si="68"/>
        <v>#DIV/0!</v>
      </c>
      <c r="Q89" s="40">
        <f>'AM Benches Data'!D84</f>
        <v>0</v>
      </c>
      <c r="R89" s="40">
        <f>'AM Benches Data'!N84</f>
        <v>0</v>
      </c>
      <c r="S89" s="40">
        <f>'AM Benches Data'!X84</f>
        <v>0</v>
      </c>
      <c r="T89" s="506" t="e">
        <f t="shared" si="69"/>
        <v>#DIV/0!</v>
      </c>
      <c r="U89" s="74" t="e">
        <f t="shared" si="70"/>
        <v>#DIV/0!</v>
      </c>
      <c r="V89" s="40">
        <f>'AM Benches Data'!H84</f>
        <v>0</v>
      </c>
      <c r="W89" s="40">
        <f>'AM Benches Data'!R84</f>
        <v>0</v>
      </c>
      <c r="X89" s="40">
        <f>'AM Benches Data'!Z84</f>
        <v>0</v>
      </c>
      <c r="Y89" s="506" t="e">
        <f t="shared" si="71"/>
        <v>#DIV/0!</v>
      </c>
      <c r="Z89" s="74" t="e">
        <f t="shared" si="72"/>
        <v>#DIV/0!</v>
      </c>
      <c r="AA89" s="40">
        <f>'AM Benches Data'!I84</f>
        <v>0</v>
      </c>
      <c r="AB89" s="40">
        <f>'AM Benches Data'!S84</f>
        <v>0</v>
      </c>
      <c r="AC89" s="40">
        <f>'AM Benches Data'!AA84</f>
        <v>0</v>
      </c>
      <c r="AD89" s="506" t="e">
        <f t="shared" si="73"/>
        <v>#DIV/0!</v>
      </c>
      <c r="AE89" s="74" t="e">
        <f t="shared" si="74"/>
        <v>#DIV/0!</v>
      </c>
      <c r="AF89" s="40">
        <f>'AM Benches Data'!K84</f>
        <v>0</v>
      </c>
      <c r="AG89" s="40">
        <f>'AM Benches Data'!U84</f>
        <v>0</v>
      </c>
      <c r="AH89" s="40">
        <f>'AM Benches Data'!AC84</f>
        <v>0</v>
      </c>
      <c r="AI89" s="506" t="e">
        <f t="shared" si="75"/>
        <v>#DIV/0!</v>
      </c>
      <c r="AJ89" s="74" t="e">
        <f t="shared" si="76"/>
        <v>#DIV/0!</v>
      </c>
    </row>
    <row r="90" spans="2:36" hidden="1" outlineLevel="1" x14ac:dyDescent="0.25">
      <c r="B90" s="7">
        <f>'AM Benches Data'!AG85*('AM Benches Data'!AD85/100)</f>
        <v>0</v>
      </c>
      <c r="C90" s="7">
        <f>'AM Benches Data'!AH85*('AM Benches Data'!AE85/100)</f>
        <v>0</v>
      </c>
      <c r="D90" s="7">
        <f>'AM Benches Data'!AI85*('AM Benches Data'!AF85/100)</f>
        <v>0</v>
      </c>
      <c r="E90" s="74" t="e">
        <f t="shared" si="63"/>
        <v>#DIV/0!</v>
      </c>
      <c r="F90" s="74" t="e">
        <f t="shared" si="64"/>
        <v>#DIV/0!</v>
      </c>
      <c r="G90" s="64">
        <f>'AM Benches Data'!B85</f>
        <v>0</v>
      </c>
      <c r="H90" s="40">
        <f>'AM Benches Data'!L85</f>
        <v>0</v>
      </c>
      <c r="I90" s="40">
        <f>'AM Benches Data'!V85</f>
        <v>0</v>
      </c>
      <c r="J90" s="74" t="e">
        <f t="shared" si="65"/>
        <v>#DIV/0!</v>
      </c>
      <c r="K90" s="74" t="e">
        <f t="shared" si="66"/>
        <v>#DIV/0!</v>
      </c>
      <c r="L90" s="40">
        <f>'AM Benches Data'!C85</f>
        <v>0</v>
      </c>
      <c r="M90" s="40">
        <f>'AM Benches Data'!M85</f>
        <v>0</v>
      </c>
      <c r="N90" s="40">
        <f>'AM Benches Data'!W85</f>
        <v>0</v>
      </c>
      <c r="O90" s="506" t="e">
        <f t="shared" si="67"/>
        <v>#DIV/0!</v>
      </c>
      <c r="P90" s="74" t="e">
        <f t="shared" si="68"/>
        <v>#DIV/0!</v>
      </c>
      <c r="Q90" s="40">
        <f>'AM Benches Data'!D85</f>
        <v>0</v>
      </c>
      <c r="R90" s="40">
        <f>'AM Benches Data'!N85</f>
        <v>0</v>
      </c>
      <c r="S90" s="40">
        <f>'AM Benches Data'!X85</f>
        <v>0</v>
      </c>
      <c r="T90" s="506" t="e">
        <f t="shared" si="69"/>
        <v>#DIV/0!</v>
      </c>
      <c r="U90" s="74" t="e">
        <f t="shared" si="70"/>
        <v>#DIV/0!</v>
      </c>
      <c r="V90" s="40">
        <f>'AM Benches Data'!H85</f>
        <v>0</v>
      </c>
      <c r="W90" s="40">
        <f>'AM Benches Data'!R85</f>
        <v>0</v>
      </c>
      <c r="X90" s="40">
        <f>'AM Benches Data'!Z85</f>
        <v>0</v>
      </c>
      <c r="Y90" s="506" t="e">
        <f t="shared" si="71"/>
        <v>#DIV/0!</v>
      </c>
      <c r="Z90" s="74" t="e">
        <f t="shared" si="72"/>
        <v>#DIV/0!</v>
      </c>
      <c r="AA90" s="40">
        <f>'AM Benches Data'!I85</f>
        <v>0</v>
      </c>
      <c r="AB90" s="40">
        <f>'AM Benches Data'!S85</f>
        <v>0</v>
      </c>
      <c r="AC90" s="40">
        <f>'AM Benches Data'!AA85</f>
        <v>0</v>
      </c>
      <c r="AD90" s="506" t="e">
        <f t="shared" si="73"/>
        <v>#DIV/0!</v>
      </c>
      <c r="AE90" s="74" t="e">
        <f t="shared" si="74"/>
        <v>#DIV/0!</v>
      </c>
      <c r="AF90" s="40">
        <f>'AM Benches Data'!K85</f>
        <v>0</v>
      </c>
      <c r="AG90" s="40">
        <f>'AM Benches Data'!U85</f>
        <v>0</v>
      </c>
      <c r="AH90" s="40">
        <f>'AM Benches Data'!AC85</f>
        <v>0</v>
      </c>
      <c r="AI90" s="506" t="e">
        <f t="shared" si="75"/>
        <v>#DIV/0!</v>
      </c>
      <c r="AJ90" s="74" t="e">
        <f t="shared" si="76"/>
        <v>#DIV/0!</v>
      </c>
    </row>
    <row r="91" spans="2:36" hidden="1" outlineLevel="1" x14ac:dyDescent="0.25">
      <c r="B91" s="7">
        <f>'AM Benches Data'!AG86*('AM Benches Data'!AD86/100)</f>
        <v>0</v>
      </c>
      <c r="C91" s="7">
        <f>'AM Benches Data'!AH86*('AM Benches Data'!AE86/100)</f>
        <v>0</v>
      </c>
      <c r="D91" s="7">
        <f>'AM Benches Data'!AI86*('AM Benches Data'!AF86/100)</f>
        <v>0</v>
      </c>
      <c r="E91" s="74" t="e">
        <f t="shared" si="63"/>
        <v>#DIV/0!</v>
      </c>
      <c r="F91" s="74" t="e">
        <f t="shared" si="64"/>
        <v>#DIV/0!</v>
      </c>
      <c r="G91" s="64">
        <f>'AM Benches Data'!B86</f>
        <v>0</v>
      </c>
      <c r="H91" s="40">
        <f>'AM Benches Data'!L86</f>
        <v>0</v>
      </c>
      <c r="I91" s="40">
        <f>'AM Benches Data'!V86</f>
        <v>0</v>
      </c>
      <c r="J91" s="74" t="e">
        <f t="shared" si="65"/>
        <v>#DIV/0!</v>
      </c>
      <c r="K91" s="74" t="e">
        <f t="shared" si="66"/>
        <v>#DIV/0!</v>
      </c>
      <c r="L91" s="40">
        <f>'AM Benches Data'!C86</f>
        <v>0</v>
      </c>
      <c r="M91" s="40">
        <f>'AM Benches Data'!M86</f>
        <v>0</v>
      </c>
      <c r="N91" s="40">
        <f>'AM Benches Data'!W86</f>
        <v>0</v>
      </c>
      <c r="O91" s="506" t="e">
        <f t="shared" si="67"/>
        <v>#DIV/0!</v>
      </c>
      <c r="P91" s="74" t="e">
        <f t="shared" si="68"/>
        <v>#DIV/0!</v>
      </c>
      <c r="Q91" s="40">
        <f>'AM Benches Data'!D86</f>
        <v>0</v>
      </c>
      <c r="R91" s="40">
        <f>'AM Benches Data'!N86</f>
        <v>0</v>
      </c>
      <c r="S91" s="40">
        <f>'AM Benches Data'!X86</f>
        <v>0</v>
      </c>
      <c r="T91" s="506" t="e">
        <f t="shared" si="69"/>
        <v>#DIV/0!</v>
      </c>
      <c r="U91" s="74" t="e">
        <f t="shared" si="70"/>
        <v>#DIV/0!</v>
      </c>
      <c r="V91" s="40">
        <f>'AM Benches Data'!H86</f>
        <v>0</v>
      </c>
      <c r="W91" s="40">
        <f>'AM Benches Data'!R86</f>
        <v>0</v>
      </c>
      <c r="X91" s="40">
        <f>'AM Benches Data'!Z86</f>
        <v>0</v>
      </c>
      <c r="Y91" s="506" t="e">
        <f t="shared" si="71"/>
        <v>#DIV/0!</v>
      </c>
      <c r="Z91" s="74" t="e">
        <f t="shared" si="72"/>
        <v>#DIV/0!</v>
      </c>
      <c r="AA91" s="40">
        <f>'AM Benches Data'!I86</f>
        <v>0</v>
      </c>
      <c r="AB91" s="40">
        <f>'AM Benches Data'!S86</f>
        <v>0</v>
      </c>
      <c r="AC91" s="40">
        <f>'AM Benches Data'!AA86</f>
        <v>0</v>
      </c>
      <c r="AD91" s="506" t="e">
        <f t="shared" si="73"/>
        <v>#DIV/0!</v>
      </c>
      <c r="AE91" s="74" t="e">
        <f t="shared" si="74"/>
        <v>#DIV/0!</v>
      </c>
      <c r="AF91" s="40">
        <f>'AM Benches Data'!K86</f>
        <v>0</v>
      </c>
      <c r="AG91" s="40">
        <f>'AM Benches Data'!U86</f>
        <v>0</v>
      </c>
      <c r="AH91" s="40">
        <f>'AM Benches Data'!AC86</f>
        <v>0</v>
      </c>
      <c r="AI91" s="506" t="e">
        <f t="shared" si="75"/>
        <v>#DIV/0!</v>
      </c>
      <c r="AJ91" s="74" t="e">
        <f t="shared" si="76"/>
        <v>#DIV/0!</v>
      </c>
    </row>
    <row r="92" spans="2:36" hidden="1" outlineLevel="1" x14ac:dyDescent="0.25">
      <c r="B92" s="7">
        <f>'AM Benches Data'!AG87*('AM Benches Data'!AD87/100)</f>
        <v>0</v>
      </c>
      <c r="C92" s="7">
        <f>'AM Benches Data'!AH87*('AM Benches Data'!AE87/100)</f>
        <v>0</v>
      </c>
      <c r="D92" s="7">
        <f>'AM Benches Data'!AI87*('AM Benches Data'!AF87/100)</f>
        <v>0</v>
      </c>
      <c r="E92" s="74" t="e">
        <f t="shared" si="63"/>
        <v>#DIV/0!</v>
      </c>
      <c r="F92" s="74" t="e">
        <f t="shared" si="64"/>
        <v>#DIV/0!</v>
      </c>
      <c r="G92" s="64">
        <f>'AM Benches Data'!B87</f>
        <v>0</v>
      </c>
      <c r="H92" s="40">
        <f>'AM Benches Data'!L87</f>
        <v>0</v>
      </c>
      <c r="I92" s="40">
        <f>'AM Benches Data'!V87</f>
        <v>0</v>
      </c>
      <c r="J92" s="74" t="e">
        <f t="shared" si="65"/>
        <v>#DIV/0!</v>
      </c>
      <c r="K92" s="74" t="e">
        <f t="shared" si="66"/>
        <v>#DIV/0!</v>
      </c>
      <c r="L92" s="40">
        <f>'AM Benches Data'!C87</f>
        <v>0</v>
      </c>
      <c r="M92" s="40">
        <f>'AM Benches Data'!M87</f>
        <v>0</v>
      </c>
      <c r="N92" s="40">
        <f>'AM Benches Data'!W87</f>
        <v>0</v>
      </c>
      <c r="O92" s="506" t="e">
        <f t="shared" si="67"/>
        <v>#DIV/0!</v>
      </c>
      <c r="P92" s="74" t="e">
        <f t="shared" si="68"/>
        <v>#DIV/0!</v>
      </c>
      <c r="Q92" s="40">
        <f>'AM Benches Data'!D87</f>
        <v>0</v>
      </c>
      <c r="R92" s="40">
        <f>'AM Benches Data'!N87</f>
        <v>0</v>
      </c>
      <c r="S92" s="40">
        <f>'AM Benches Data'!X87</f>
        <v>0</v>
      </c>
      <c r="T92" s="506" t="e">
        <f t="shared" si="69"/>
        <v>#DIV/0!</v>
      </c>
      <c r="U92" s="74" t="e">
        <f t="shared" si="70"/>
        <v>#DIV/0!</v>
      </c>
      <c r="V92" s="40">
        <f>'AM Benches Data'!H87</f>
        <v>0</v>
      </c>
      <c r="W92" s="40">
        <f>'AM Benches Data'!R87</f>
        <v>0</v>
      </c>
      <c r="X92" s="40">
        <f>'AM Benches Data'!Z87</f>
        <v>0</v>
      </c>
      <c r="Y92" s="506" t="e">
        <f t="shared" si="71"/>
        <v>#DIV/0!</v>
      </c>
      <c r="Z92" s="74" t="e">
        <f t="shared" si="72"/>
        <v>#DIV/0!</v>
      </c>
      <c r="AA92" s="40">
        <f>'AM Benches Data'!I87</f>
        <v>0</v>
      </c>
      <c r="AB92" s="40">
        <f>'AM Benches Data'!S87</f>
        <v>0</v>
      </c>
      <c r="AC92" s="40">
        <f>'AM Benches Data'!AA87</f>
        <v>0</v>
      </c>
      <c r="AD92" s="506" t="e">
        <f t="shared" si="73"/>
        <v>#DIV/0!</v>
      </c>
      <c r="AE92" s="74" t="e">
        <f t="shared" si="74"/>
        <v>#DIV/0!</v>
      </c>
      <c r="AF92" s="40">
        <f>'AM Benches Data'!K87</f>
        <v>0</v>
      </c>
      <c r="AG92" s="40">
        <f>'AM Benches Data'!U87</f>
        <v>0</v>
      </c>
      <c r="AH92" s="40">
        <f>'AM Benches Data'!AC87</f>
        <v>0</v>
      </c>
      <c r="AI92" s="506" t="e">
        <f t="shared" si="75"/>
        <v>#DIV/0!</v>
      </c>
      <c r="AJ92" s="74" t="e">
        <f t="shared" si="76"/>
        <v>#DIV/0!</v>
      </c>
    </row>
    <row r="93" spans="2:36" hidden="1" outlineLevel="1" x14ac:dyDescent="0.25">
      <c r="B93" s="7">
        <f>'AM Benches Data'!AG88*('AM Benches Data'!AD88/100)</f>
        <v>0</v>
      </c>
      <c r="C93" s="7">
        <f>'AM Benches Data'!AH88*('AM Benches Data'!AE88/100)</f>
        <v>0</v>
      </c>
      <c r="D93" s="7">
        <f>'AM Benches Data'!AI88*('AM Benches Data'!AF88/100)</f>
        <v>0</v>
      </c>
      <c r="E93" s="74" t="e">
        <f t="shared" si="63"/>
        <v>#DIV/0!</v>
      </c>
      <c r="F93" s="74" t="e">
        <f t="shared" si="64"/>
        <v>#DIV/0!</v>
      </c>
      <c r="G93" s="64">
        <f>'AM Benches Data'!B88</f>
        <v>0</v>
      </c>
      <c r="H93" s="40">
        <f>'AM Benches Data'!L88</f>
        <v>0</v>
      </c>
      <c r="I93" s="40">
        <f>'AM Benches Data'!V88</f>
        <v>0</v>
      </c>
      <c r="J93" s="74" t="e">
        <f t="shared" si="65"/>
        <v>#DIV/0!</v>
      </c>
      <c r="K93" s="74" t="e">
        <f t="shared" si="66"/>
        <v>#DIV/0!</v>
      </c>
      <c r="L93" s="40">
        <f>'AM Benches Data'!C88</f>
        <v>0</v>
      </c>
      <c r="M93" s="40">
        <f>'AM Benches Data'!M88</f>
        <v>0</v>
      </c>
      <c r="N93" s="40">
        <f>'AM Benches Data'!W88</f>
        <v>0</v>
      </c>
      <c r="O93" s="506" t="e">
        <f t="shared" si="67"/>
        <v>#DIV/0!</v>
      </c>
      <c r="P93" s="74" t="e">
        <f t="shared" si="68"/>
        <v>#DIV/0!</v>
      </c>
      <c r="Q93" s="40">
        <f>'AM Benches Data'!D88</f>
        <v>0</v>
      </c>
      <c r="R93" s="40">
        <f>'AM Benches Data'!N88</f>
        <v>0</v>
      </c>
      <c r="S93" s="40">
        <f>'AM Benches Data'!X88</f>
        <v>0</v>
      </c>
      <c r="T93" s="506" t="e">
        <f t="shared" si="69"/>
        <v>#DIV/0!</v>
      </c>
      <c r="U93" s="74" t="e">
        <f t="shared" si="70"/>
        <v>#DIV/0!</v>
      </c>
      <c r="V93" s="40">
        <f>'AM Benches Data'!H88</f>
        <v>0</v>
      </c>
      <c r="W93" s="40">
        <f>'AM Benches Data'!R88</f>
        <v>0</v>
      </c>
      <c r="X93" s="40">
        <f>'AM Benches Data'!Z88</f>
        <v>0</v>
      </c>
      <c r="Y93" s="506" t="e">
        <f t="shared" si="71"/>
        <v>#DIV/0!</v>
      </c>
      <c r="Z93" s="74" t="e">
        <f t="shared" si="72"/>
        <v>#DIV/0!</v>
      </c>
      <c r="AA93" s="40">
        <f>'AM Benches Data'!I88</f>
        <v>0</v>
      </c>
      <c r="AB93" s="40">
        <f>'AM Benches Data'!S88</f>
        <v>0</v>
      </c>
      <c r="AC93" s="40">
        <f>'AM Benches Data'!AA88</f>
        <v>0</v>
      </c>
      <c r="AD93" s="506" t="e">
        <f t="shared" si="73"/>
        <v>#DIV/0!</v>
      </c>
      <c r="AE93" s="74" t="e">
        <f t="shared" si="74"/>
        <v>#DIV/0!</v>
      </c>
      <c r="AF93" s="40">
        <f>'AM Benches Data'!K88</f>
        <v>0</v>
      </c>
      <c r="AG93" s="40">
        <f>'AM Benches Data'!U88</f>
        <v>0</v>
      </c>
      <c r="AH93" s="40">
        <f>'AM Benches Data'!AC88</f>
        <v>0</v>
      </c>
      <c r="AI93" s="506" t="e">
        <f t="shared" si="75"/>
        <v>#DIV/0!</v>
      </c>
      <c r="AJ93" s="74" t="e">
        <f t="shared" si="76"/>
        <v>#DIV/0!</v>
      </c>
    </row>
    <row r="94" spans="2:36" hidden="1" outlineLevel="1" x14ac:dyDescent="0.25">
      <c r="B94" s="7">
        <f>'AM Benches Data'!AG89*('AM Benches Data'!AD89/100)</f>
        <v>0</v>
      </c>
      <c r="C94" s="7">
        <f>'AM Benches Data'!AH89*('AM Benches Data'!AE89/100)</f>
        <v>0</v>
      </c>
      <c r="D94" s="7">
        <f>'AM Benches Data'!AI89*('AM Benches Data'!AF89/100)</f>
        <v>0</v>
      </c>
      <c r="E94" s="74" t="e">
        <f t="shared" si="63"/>
        <v>#DIV/0!</v>
      </c>
      <c r="F94" s="74" t="e">
        <f t="shared" si="64"/>
        <v>#DIV/0!</v>
      </c>
      <c r="G94" s="64">
        <f>'AM Benches Data'!B89</f>
        <v>0</v>
      </c>
      <c r="H94" s="40">
        <f>'AM Benches Data'!L89</f>
        <v>0</v>
      </c>
      <c r="I94" s="40">
        <f>'AM Benches Data'!V89</f>
        <v>0</v>
      </c>
      <c r="J94" s="74" t="e">
        <f t="shared" si="65"/>
        <v>#DIV/0!</v>
      </c>
      <c r="K94" s="74" t="e">
        <f t="shared" si="66"/>
        <v>#DIV/0!</v>
      </c>
      <c r="L94" s="40">
        <f>'AM Benches Data'!C89</f>
        <v>0</v>
      </c>
      <c r="M94" s="40">
        <f>'AM Benches Data'!M89</f>
        <v>0</v>
      </c>
      <c r="N94" s="40">
        <f>'AM Benches Data'!W89</f>
        <v>0</v>
      </c>
      <c r="O94" s="506" t="e">
        <f t="shared" si="67"/>
        <v>#DIV/0!</v>
      </c>
      <c r="P94" s="74" t="e">
        <f t="shared" si="68"/>
        <v>#DIV/0!</v>
      </c>
      <c r="Q94" s="40">
        <f>'AM Benches Data'!D89</f>
        <v>0</v>
      </c>
      <c r="R94" s="40">
        <f>'AM Benches Data'!N89</f>
        <v>0</v>
      </c>
      <c r="S94" s="40">
        <f>'AM Benches Data'!X89</f>
        <v>0</v>
      </c>
      <c r="T94" s="506" t="e">
        <f t="shared" si="69"/>
        <v>#DIV/0!</v>
      </c>
      <c r="U94" s="74" t="e">
        <f t="shared" si="70"/>
        <v>#DIV/0!</v>
      </c>
      <c r="V94" s="40">
        <f>'AM Benches Data'!H89</f>
        <v>0</v>
      </c>
      <c r="W94" s="40">
        <f>'AM Benches Data'!R89</f>
        <v>0</v>
      </c>
      <c r="X94" s="40">
        <f>'AM Benches Data'!Z89</f>
        <v>0</v>
      </c>
      <c r="Y94" s="506" t="e">
        <f t="shared" si="71"/>
        <v>#DIV/0!</v>
      </c>
      <c r="Z94" s="74" t="e">
        <f t="shared" si="72"/>
        <v>#DIV/0!</v>
      </c>
      <c r="AA94" s="40">
        <f>'AM Benches Data'!I89</f>
        <v>0</v>
      </c>
      <c r="AB94" s="40">
        <f>'AM Benches Data'!S89</f>
        <v>0</v>
      </c>
      <c r="AC94" s="40">
        <f>'AM Benches Data'!AA89</f>
        <v>0</v>
      </c>
      <c r="AD94" s="506" t="e">
        <f t="shared" si="73"/>
        <v>#DIV/0!</v>
      </c>
      <c r="AE94" s="74" t="e">
        <f t="shared" si="74"/>
        <v>#DIV/0!</v>
      </c>
      <c r="AF94" s="40">
        <f>'AM Benches Data'!K89</f>
        <v>0</v>
      </c>
      <c r="AG94" s="40">
        <f>'AM Benches Data'!U89</f>
        <v>0</v>
      </c>
      <c r="AH94" s="40">
        <f>'AM Benches Data'!AC89</f>
        <v>0</v>
      </c>
      <c r="AI94" s="506" t="e">
        <f t="shared" si="75"/>
        <v>#DIV/0!</v>
      </c>
      <c r="AJ94" s="74" t="e">
        <f t="shared" si="76"/>
        <v>#DIV/0!</v>
      </c>
    </row>
    <row r="95" spans="2:36" hidden="1" outlineLevel="1" x14ac:dyDescent="0.25">
      <c r="B95" s="7">
        <f>'AM Benches Data'!AG90*('AM Benches Data'!AD90/100)</f>
        <v>0</v>
      </c>
      <c r="C95" s="7">
        <f>'AM Benches Data'!AH90*('AM Benches Data'!AE90/100)</f>
        <v>0</v>
      </c>
      <c r="D95" s="7">
        <f>'AM Benches Data'!AI90*('AM Benches Data'!AF90/100)</f>
        <v>0</v>
      </c>
      <c r="E95" s="74" t="e">
        <f t="shared" si="63"/>
        <v>#DIV/0!</v>
      </c>
      <c r="F95" s="74" t="e">
        <f t="shared" si="64"/>
        <v>#DIV/0!</v>
      </c>
      <c r="G95" s="64">
        <f>'AM Benches Data'!B90</f>
        <v>0</v>
      </c>
      <c r="H95" s="40">
        <f>'AM Benches Data'!L90</f>
        <v>0</v>
      </c>
      <c r="I95" s="40">
        <f>'AM Benches Data'!V90</f>
        <v>0</v>
      </c>
      <c r="J95" s="74" t="e">
        <f t="shared" si="65"/>
        <v>#DIV/0!</v>
      </c>
      <c r="K95" s="74" t="e">
        <f t="shared" si="66"/>
        <v>#DIV/0!</v>
      </c>
      <c r="L95" s="40">
        <f>'AM Benches Data'!C90</f>
        <v>0</v>
      </c>
      <c r="M95" s="40">
        <f>'AM Benches Data'!M90</f>
        <v>0</v>
      </c>
      <c r="N95" s="40">
        <f>'AM Benches Data'!W90</f>
        <v>0</v>
      </c>
      <c r="O95" s="506" t="e">
        <f t="shared" si="67"/>
        <v>#DIV/0!</v>
      </c>
      <c r="P95" s="74" t="e">
        <f t="shared" si="68"/>
        <v>#DIV/0!</v>
      </c>
      <c r="Q95" s="40">
        <f>'AM Benches Data'!D90</f>
        <v>0</v>
      </c>
      <c r="R95" s="40">
        <f>'AM Benches Data'!N90</f>
        <v>0</v>
      </c>
      <c r="S95" s="40">
        <f>'AM Benches Data'!X90</f>
        <v>0</v>
      </c>
      <c r="T95" s="506" t="e">
        <f t="shared" si="69"/>
        <v>#DIV/0!</v>
      </c>
      <c r="U95" s="74" t="e">
        <f t="shared" si="70"/>
        <v>#DIV/0!</v>
      </c>
      <c r="V95" s="40">
        <f>'AM Benches Data'!H90</f>
        <v>0</v>
      </c>
      <c r="W95" s="40">
        <f>'AM Benches Data'!R90</f>
        <v>0</v>
      </c>
      <c r="X95" s="40">
        <f>'AM Benches Data'!Z90</f>
        <v>0</v>
      </c>
      <c r="Y95" s="506" t="e">
        <f t="shared" si="71"/>
        <v>#DIV/0!</v>
      </c>
      <c r="Z95" s="74" t="e">
        <f t="shared" si="72"/>
        <v>#DIV/0!</v>
      </c>
      <c r="AA95" s="40">
        <f>'AM Benches Data'!I90</f>
        <v>0</v>
      </c>
      <c r="AB95" s="40">
        <f>'AM Benches Data'!S90</f>
        <v>0</v>
      </c>
      <c r="AC95" s="40">
        <f>'AM Benches Data'!AA90</f>
        <v>0</v>
      </c>
      <c r="AD95" s="506" t="e">
        <f t="shared" si="73"/>
        <v>#DIV/0!</v>
      </c>
      <c r="AE95" s="74" t="e">
        <f t="shared" si="74"/>
        <v>#DIV/0!</v>
      </c>
      <c r="AF95" s="40">
        <f>'AM Benches Data'!K90</f>
        <v>0</v>
      </c>
      <c r="AG95" s="40">
        <f>'AM Benches Data'!U90</f>
        <v>0</v>
      </c>
      <c r="AH95" s="40">
        <f>'AM Benches Data'!AC90</f>
        <v>0</v>
      </c>
      <c r="AI95" s="506" t="e">
        <f t="shared" si="75"/>
        <v>#DIV/0!</v>
      </c>
      <c r="AJ95" s="74" t="e">
        <f t="shared" si="76"/>
        <v>#DIV/0!</v>
      </c>
    </row>
    <row r="96" spans="2:36" hidden="1" outlineLevel="1" x14ac:dyDescent="0.25">
      <c r="B96" s="7">
        <f>'AM Benches Data'!AG91*('AM Benches Data'!AD91/100)</f>
        <v>0</v>
      </c>
      <c r="C96" s="7">
        <f>'AM Benches Data'!AH91*('AM Benches Data'!AE91/100)</f>
        <v>0</v>
      </c>
      <c r="D96" s="7">
        <f>'AM Benches Data'!AI91*('AM Benches Data'!AF91/100)</f>
        <v>0</v>
      </c>
      <c r="E96" s="74" t="e">
        <f t="shared" si="63"/>
        <v>#DIV/0!</v>
      </c>
      <c r="F96" s="74" t="e">
        <f t="shared" si="64"/>
        <v>#DIV/0!</v>
      </c>
      <c r="G96" s="64">
        <f>'AM Benches Data'!B91</f>
        <v>0</v>
      </c>
      <c r="H96" s="40">
        <f>'AM Benches Data'!L91</f>
        <v>0</v>
      </c>
      <c r="I96" s="40">
        <f>'AM Benches Data'!V91</f>
        <v>0</v>
      </c>
      <c r="J96" s="74" t="e">
        <f t="shared" si="65"/>
        <v>#DIV/0!</v>
      </c>
      <c r="K96" s="74" t="e">
        <f t="shared" si="66"/>
        <v>#DIV/0!</v>
      </c>
      <c r="L96" s="40">
        <f>'AM Benches Data'!C91</f>
        <v>0</v>
      </c>
      <c r="M96" s="40">
        <f>'AM Benches Data'!M91</f>
        <v>0</v>
      </c>
      <c r="N96" s="40">
        <f>'AM Benches Data'!W91</f>
        <v>0</v>
      </c>
      <c r="O96" s="506" t="e">
        <f t="shared" si="67"/>
        <v>#DIV/0!</v>
      </c>
      <c r="P96" s="74" t="e">
        <f t="shared" si="68"/>
        <v>#DIV/0!</v>
      </c>
      <c r="Q96" s="40">
        <f>'AM Benches Data'!D91</f>
        <v>0</v>
      </c>
      <c r="R96" s="40">
        <f>'AM Benches Data'!N91</f>
        <v>0</v>
      </c>
      <c r="S96" s="40">
        <f>'AM Benches Data'!X91</f>
        <v>0</v>
      </c>
      <c r="T96" s="506" t="e">
        <f t="shared" si="69"/>
        <v>#DIV/0!</v>
      </c>
      <c r="U96" s="74" t="e">
        <f t="shared" si="70"/>
        <v>#DIV/0!</v>
      </c>
      <c r="V96" s="40">
        <f>'AM Benches Data'!H91</f>
        <v>0</v>
      </c>
      <c r="W96" s="40">
        <f>'AM Benches Data'!R91</f>
        <v>0</v>
      </c>
      <c r="X96" s="40">
        <f>'AM Benches Data'!Z91</f>
        <v>0</v>
      </c>
      <c r="Y96" s="506" t="e">
        <f t="shared" si="71"/>
        <v>#DIV/0!</v>
      </c>
      <c r="Z96" s="74" t="e">
        <f t="shared" si="72"/>
        <v>#DIV/0!</v>
      </c>
      <c r="AA96" s="40">
        <f>'AM Benches Data'!I91</f>
        <v>0</v>
      </c>
      <c r="AB96" s="40">
        <f>'AM Benches Data'!S91</f>
        <v>0</v>
      </c>
      <c r="AC96" s="40">
        <f>'AM Benches Data'!AA91</f>
        <v>0</v>
      </c>
      <c r="AD96" s="506" t="e">
        <f t="shared" si="73"/>
        <v>#DIV/0!</v>
      </c>
      <c r="AE96" s="74" t="e">
        <f t="shared" si="74"/>
        <v>#DIV/0!</v>
      </c>
      <c r="AF96" s="40">
        <f>'AM Benches Data'!K91</f>
        <v>0</v>
      </c>
      <c r="AG96" s="40">
        <f>'AM Benches Data'!U91</f>
        <v>0</v>
      </c>
      <c r="AH96" s="40">
        <f>'AM Benches Data'!AC91</f>
        <v>0</v>
      </c>
      <c r="AI96" s="506" t="e">
        <f t="shared" si="75"/>
        <v>#DIV/0!</v>
      </c>
      <c r="AJ96" s="74" t="e">
        <f t="shared" si="76"/>
        <v>#DIV/0!</v>
      </c>
    </row>
    <row r="97" spans="1:51" hidden="1" outlineLevel="1" x14ac:dyDescent="0.25">
      <c r="B97" s="7">
        <f>'AM Benches Data'!AG92*('AM Benches Data'!AD92/100)</f>
        <v>0</v>
      </c>
      <c r="C97" s="7">
        <f>'AM Benches Data'!AH92*('AM Benches Data'!AE92/100)</f>
        <v>0</v>
      </c>
      <c r="D97" s="7">
        <f>'AM Benches Data'!AI92*('AM Benches Data'!AF92/100)</f>
        <v>0</v>
      </c>
      <c r="E97" s="74" t="e">
        <f t="shared" si="63"/>
        <v>#DIV/0!</v>
      </c>
      <c r="F97" s="74" t="e">
        <f t="shared" si="64"/>
        <v>#DIV/0!</v>
      </c>
      <c r="G97" s="64">
        <f>'AM Benches Data'!B92</f>
        <v>0</v>
      </c>
      <c r="H97" s="40">
        <f>'AM Benches Data'!L92</f>
        <v>0</v>
      </c>
      <c r="I97" s="40">
        <f>'AM Benches Data'!V92</f>
        <v>0</v>
      </c>
      <c r="J97" s="74" t="e">
        <f t="shared" si="65"/>
        <v>#DIV/0!</v>
      </c>
      <c r="K97" s="74" t="e">
        <f t="shared" si="66"/>
        <v>#DIV/0!</v>
      </c>
      <c r="L97" s="40">
        <f>'AM Benches Data'!C92</f>
        <v>0</v>
      </c>
      <c r="M97" s="40">
        <f>'AM Benches Data'!M92</f>
        <v>0</v>
      </c>
      <c r="N97" s="40">
        <f>'AM Benches Data'!W92</f>
        <v>0</v>
      </c>
      <c r="O97" s="506" t="e">
        <f t="shared" si="67"/>
        <v>#DIV/0!</v>
      </c>
      <c r="P97" s="74" t="e">
        <f t="shared" si="68"/>
        <v>#DIV/0!</v>
      </c>
      <c r="Q97" s="40">
        <f>'AM Benches Data'!D92</f>
        <v>0</v>
      </c>
      <c r="R97" s="40">
        <f>'AM Benches Data'!N92</f>
        <v>0</v>
      </c>
      <c r="S97" s="40">
        <f>'AM Benches Data'!X92</f>
        <v>0</v>
      </c>
      <c r="T97" s="506" t="e">
        <f t="shared" si="69"/>
        <v>#DIV/0!</v>
      </c>
      <c r="U97" s="74" t="e">
        <f t="shared" si="70"/>
        <v>#DIV/0!</v>
      </c>
      <c r="V97" s="40">
        <f>'AM Benches Data'!H92</f>
        <v>0</v>
      </c>
      <c r="W97" s="40">
        <f>'AM Benches Data'!R92</f>
        <v>0</v>
      </c>
      <c r="X97" s="40">
        <f>'AM Benches Data'!Z92</f>
        <v>0</v>
      </c>
      <c r="Y97" s="506" t="e">
        <f t="shared" si="71"/>
        <v>#DIV/0!</v>
      </c>
      <c r="Z97" s="74" t="e">
        <f t="shared" si="72"/>
        <v>#DIV/0!</v>
      </c>
      <c r="AA97" s="40">
        <f>'AM Benches Data'!I92</f>
        <v>0</v>
      </c>
      <c r="AB97" s="40">
        <f>'AM Benches Data'!S92</f>
        <v>0</v>
      </c>
      <c r="AC97" s="40">
        <f>'AM Benches Data'!AA92</f>
        <v>0</v>
      </c>
      <c r="AD97" s="506" t="e">
        <f t="shared" si="73"/>
        <v>#DIV/0!</v>
      </c>
      <c r="AE97" s="74" t="e">
        <f t="shared" si="74"/>
        <v>#DIV/0!</v>
      </c>
      <c r="AF97" s="40">
        <f>'AM Benches Data'!K92</f>
        <v>0</v>
      </c>
      <c r="AG97" s="40">
        <f>'AM Benches Data'!U92</f>
        <v>0</v>
      </c>
      <c r="AH97" s="40">
        <f>'AM Benches Data'!AC92</f>
        <v>0</v>
      </c>
      <c r="AI97" s="506" t="e">
        <f t="shared" si="75"/>
        <v>#DIV/0!</v>
      </c>
      <c r="AJ97" s="74" t="e">
        <f t="shared" si="76"/>
        <v>#DIV/0!</v>
      </c>
    </row>
    <row r="98" spans="1:51" hidden="1" outlineLevel="1" x14ac:dyDescent="0.25">
      <c r="B98" s="7">
        <f>'AM Benches Data'!AG93*('AM Benches Data'!AD93/100)</f>
        <v>0</v>
      </c>
      <c r="C98" s="7">
        <f>'AM Benches Data'!AH93*('AM Benches Data'!AE93/100)</f>
        <v>0</v>
      </c>
      <c r="D98" s="7">
        <f>'AM Benches Data'!AI93*('AM Benches Data'!AF93/100)</f>
        <v>0</v>
      </c>
      <c r="E98" s="74" t="e">
        <f t="shared" si="63"/>
        <v>#DIV/0!</v>
      </c>
      <c r="F98" s="74" t="e">
        <f t="shared" si="64"/>
        <v>#DIV/0!</v>
      </c>
      <c r="G98" s="64">
        <f>'AM Benches Data'!B93</f>
        <v>0</v>
      </c>
      <c r="H98" s="40">
        <f>'AM Benches Data'!L93</f>
        <v>0</v>
      </c>
      <c r="I98" s="40">
        <f>'AM Benches Data'!V93</f>
        <v>0</v>
      </c>
      <c r="J98" s="74" t="e">
        <f t="shared" si="65"/>
        <v>#DIV/0!</v>
      </c>
      <c r="K98" s="74" t="e">
        <f t="shared" si="66"/>
        <v>#DIV/0!</v>
      </c>
      <c r="L98" s="40">
        <f>'AM Benches Data'!C93</f>
        <v>0</v>
      </c>
      <c r="M98" s="40">
        <f>'AM Benches Data'!M93</f>
        <v>0</v>
      </c>
      <c r="N98" s="40">
        <f>'AM Benches Data'!W93</f>
        <v>0</v>
      </c>
      <c r="O98" s="506" t="e">
        <f t="shared" si="67"/>
        <v>#DIV/0!</v>
      </c>
      <c r="P98" s="74" t="e">
        <f t="shared" si="68"/>
        <v>#DIV/0!</v>
      </c>
      <c r="Q98" s="40">
        <f>'AM Benches Data'!D93</f>
        <v>0</v>
      </c>
      <c r="R98" s="40">
        <f>'AM Benches Data'!N93</f>
        <v>0</v>
      </c>
      <c r="S98" s="40">
        <f>'AM Benches Data'!X93</f>
        <v>0</v>
      </c>
      <c r="T98" s="506" t="e">
        <f t="shared" si="69"/>
        <v>#DIV/0!</v>
      </c>
      <c r="U98" s="74" t="e">
        <f t="shared" si="70"/>
        <v>#DIV/0!</v>
      </c>
      <c r="V98" s="40">
        <f>'AM Benches Data'!H93</f>
        <v>0</v>
      </c>
      <c r="W98" s="40">
        <f>'AM Benches Data'!R93</f>
        <v>0</v>
      </c>
      <c r="X98" s="40">
        <f>'AM Benches Data'!Z93</f>
        <v>0</v>
      </c>
      <c r="Y98" s="506" t="e">
        <f t="shared" si="71"/>
        <v>#DIV/0!</v>
      </c>
      <c r="Z98" s="74" t="e">
        <f t="shared" si="72"/>
        <v>#DIV/0!</v>
      </c>
      <c r="AA98" s="40">
        <f>'AM Benches Data'!I93</f>
        <v>0</v>
      </c>
      <c r="AB98" s="40">
        <f>'AM Benches Data'!S93</f>
        <v>0</v>
      </c>
      <c r="AC98" s="40">
        <f>'AM Benches Data'!AA93</f>
        <v>0</v>
      </c>
      <c r="AD98" s="506" t="e">
        <f t="shared" si="73"/>
        <v>#DIV/0!</v>
      </c>
      <c r="AE98" s="74" t="e">
        <f t="shared" si="74"/>
        <v>#DIV/0!</v>
      </c>
      <c r="AF98" s="40">
        <f>'AM Benches Data'!K93</f>
        <v>0</v>
      </c>
      <c r="AG98" s="40">
        <f>'AM Benches Data'!U93</f>
        <v>0</v>
      </c>
      <c r="AH98" s="40">
        <f>'AM Benches Data'!AC93</f>
        <v>0</v>
      </c>
      <c r="AI98" s="506" t="e">
        <f t="shared" si="75"/>
        <v>#DIV/0!</v>
      </c>
      <c r="AJ98" s="74" t="e">
        <f t="shared" si="76"/>
        <v>#DIV/0!</v>
      </c>
    </row>
    <row r="99" spans="1:51" hidden="1" outlineLevel="1" x14ac:dyDescent="0.25">
      <c r="B99" s="7">
        <f>'AM Benches Data'!AG94*('AM Benches Data'!AD94/100)</f>
        <v>0</v>
      </c>
      <c r="C99" s="7">
        <f>'AM Benches Data'!AH94*('AM Benches Data'!AE94/100)</f>
        <v>0</v>
      </c>
      <c r="D99" s="7">
        <f>'AM Benches Data'!AI94*('AM Benches Data'!AF94/100)</f>
        <v>0</v>
      </c>
      <c r="E99" s="74" t="e">
        <f t="shared" si="63"/>
        <v>#DIV/0!</v>
      </c>
      <c r="F99" s="74" t="e">
        <f t="shared" si="64"/>
        <v>#DIV/0!</v>
      </c>
      <c r="G99" s="64">
        <f>'AM Benches Data'!B94</f>
        <v>0</v>
      </c>
      <c r="H99" s="40">
        <f>'AM Benches Data'!L94</f>
        <v>0</v>
      </c>
      <c r="I99" s="40">
        <f>'AM Benches Data'!V94</f>
        <v>0</v>
      </c>
      <c r="J99" s="74" t="e">
        <f t="shared" si="65"/>
        <v>#DIV/0!</v>
      </c>
      <c r="K99" s="74" t="e">
        <f t="shared" si="66"/>
        <v>#DIV/0!</v>
      </c>
      <c r="L99" s="40">
        <f>'AM Benches Data'!C94</f>
        <v>0</v>
      </c>
      <c r="M99" s="40">
        <f>'AM Benches Data'!M94</f>
        <v>0</v>
      </c>
      <c r="N99" s="40">
        <f>'AM Benches Data'!W94</f>
        <v>0</v>
      </c>
      <c r="O99" s="506" t="e">
        <f t="shared" si="67"/>
        <v>#DIV/0!</v>
      </c>
      <c r="P99" s="74" t="e">
        <f t="shared" si="68"/>
        <v>#DIV/0!</v>
      </c>
      <c r="Q99" s="40">
        <f>'AM Benches Data'!D94</f>
        <v>0</v>
      </c>
      <c r="R99" s="40">
        <f>'AM Benches Data'!N94</f>
        <v>0</v>
      </c>
      <c r="S99" s="40">
        <f>'AM Benches Data'!X94</f>
        <v>0</v>
      </c>
      <c r="T99" s="506" t="e">
        <f t="shared" si="69"/>
        <v>#DIV/0!</v>
      </c>
      <c r="U99" s="74" t="e">
        <f t="shared" si="70"/>
        <v>#DIV/0!</v>
      </c>
      <c r="V99" s="40">
        <f>'AM Benches Data'!H94</f>
        <v>0</v>
      </c>
      <c r="W99" s="40">
        <f>'AM Benches Data'!R94</f>
        <v>0</v>
      </c>
      <c r="X99" s="40">
        <f>'AM Benches Data'!Z94</f>
        <v>0</v>
      </c>
      <c r="Y99" s="506" t="e">
        <f t="shared" si="71"/>
        <v>#DIV/0!</v>
      </c>
      <c r="Z99" s="74" t="e">
        <f t="shared" si="72"/>
        <v>#DIV/0!</v>
      </c>
      <c r="AA99" s="40">
        <f>'AM Benches Data'!I94</f>
        <v>0</v>
      </c>
      <c r="AB99" s="40">
        <f>'AM Benches Data'!S94</f>
        <v>0</v>
      </c>
      <c r="AC99" s="40">
        <f>'AM Benches Data'!AA94</f>
        <v>0</v>
      </c>
      <c r="AD99" s="506" t="e">
        <f t="shared" si="73"/>
        <v>#DIV/0!</v>
      </c>
      <c r="AE99" s="74" t="e">
        <f t="shared" si="74"/>
        <v>#DIV/0!</v>
      </c>
      <c r="AF99" s="40">
        <f>'AM Benches Data'!K94</f>
        <v>0</v>
      </c>
      <c r="AG99" s="40">
        <f>'AM Benches Data'!U94</f>
        <v>0</v>
      </c>
      <c r="AH99" s="40">
        <f>'AM Benches Data'!AC94</f>
        <v>0</v>
      </c>
      <c r="AI99" s="506" t="e">
        <f t="shared" si="75"/>
        <v>#DIV/0!</v>
      </c>
      <c r="AJ99" s="74" t="e">
        <f t="shared" si="76"/>
        <v>#DIV/0!</v>
      </c>
    </row>
    <row r="100" spans="1:51" hidden="1" outlineLevel="1" x14ac:dyDescent="0.25">
      <c r="B100" s="7">
        <f>'AM Benches Data'!AG95*('AM Benches Data'!AD95/100)</f>
        <v>0</v>
      </c>
      <c r="C100" s="7">
        <f>'AM Benches Data'!AH95*('AM Benches Data'!AE95/100)</f>
        <v>0</v>
      </c>
      <c r="D100" s="7">
        <f>'AM Benches Data'!AI95*('AM Benches Data'!AF95/100)</f>
        <v>0</v>
      </c>
      <c r="E100" s="74" t="e">
        <f t="shared" si="63"/>
        <v>#DIV/0!</v>
      </c>
      <c r="F100" s="74" t="e">
        <f t="shared" si="64"/>
        <v>#DIV/0!</v>
      </c>
      <c r="G100" s="64">
        <f>'AM Benches Data'!B95</f>
        <v>0</v>
      </c>
      <c r="H100" s="40">
        <f>'AM Benches Data'!L95</f>
        <v>0</v>
      </c>
      <c r="I100" s="40">
        <f>'AM Benches Data'!V95</f>
        <v>0</v>
      </c>
      <c r="J100" s="74" t="e">
        <f t="shared" si="65"/>
        <v>#DIV/0!</v>
      </c>
      <c r="K100" s="74" t="e">
        <f t="shared" si="66"/>
        <v>#DIV/0!</v>
      </c>
      <c r="L100" s="40">
        <f>'AM Benches Data'!C95</f>
        <v>0</v>
      </c>
      <c r="M100" s="40">
        <f>'AM Benches Data'!M95</f>
        <v>0</v>
      </c>
      <c r="N100" s="40">
        <f>'AM Benches Data'!W95</f>
        <v>0</v>
      </c>
      <c r="O100" s="506" t="e">
        <f t="shared" si="67"/>
        <v>#DIV/0!</v>
      </c>
      <c r="P100" s="74" t="e">
        <f t="shared" si="68"/>
        <v>#DIV/0!</v>
      </c>
      <c r="Q100" s="40">
        <f>'AM Benches Data'!D95</f>
        <v>0</v>
      </c>
      <c r="R100" s="40">
        <f>'AM Benches Data'!N95</f>
        <v>0</v>
      </c>
      <c r="S100" s="40">
        <f>'AM Benches Data'!X95</f>
        <v>0</v>
      </c>
      <c r="T100" s="506" t="e">
        <f t="shared" si="69"/>
        <v>#DIV/0!</v>
      </c>
      <c r="U100" s="74" t="e">
        <f t="shared" si="70"/>
        <v>#DIV/0!</v>
      </c>
      <c r="V100" s="40">
        <f>'AM Benches Data'!H95</f>
        <v>0</v>
      </c>
      <c r="W100" s="40">
        <f>'AM Benches Data'!R95</f>
        <v>0</v>
      </c>
      <c r="X100" s="40">
        <f>'AM Benches Data'!Z95</f>
        <v>0</v>
      </c>
      <c r="Y100" s="506" t="e">
        <f t="shared" si="71"/>
        <v>#DIV/0!</v>
      </c>
      <c r="Z100" s="74" t="e">
        <f t="shared" si="72"/>
        <v>#DIV/0!</v>
      </c>
      <c r="AA100" s="40">
        <f>'AM Benches Data'!I95</f>
        <v>0</v>
      </c>
      <c r="AB100" s="40">
        <f>'AM Benches Data'!S95</f>
        <v>0</v>
      </c>
      <c r="AC100" s="40">
        <f>'AM Benches Data'!AA95</f>
        <v>0</v>
      </c>
      <c r="AD100" s="506" t="e">
        <f t="shared" si="73"/>
        <v>#DIV/0!</v>
      </c>
      <c r="AE100" s="74" t="e">
        <f t="shared" si="74"/>
        <v>#DIV/0!</v>
      </c>
      <c r="AF100" s="40">
        <f>'AM Benches Data'!K95</f>
        <v>0</v>
      </c>
      <c r="AG100" s="40">
        <f>'AM Benches Data'!U95</f>
        <v>0</v>
      </c>
      <c r="AH100" s="40">
        <f>'AM Benches Data'!AC95</f>
        <v>0</v>
      </c>
      <c r="AI100" s="506" t="e">
        <f t="shared" si="75"/>
        <v>#DIV/0!</v>
      </c>
      <c r="AJ100" s="74" t="e">
        <f t="shared" si="76"/>
        <v>#DIV/0!</v>
      </c>
    </row>
    <row r="101" spans="1:51" hidden="1" outlineLevel="1" x14ac:dyDescent="0.25">
      <c r="B101" s="7">
        <f>'AM Benches Data'!AG96*('AM Benches Data'!AD96/100)</f>
        <v>0</v>
      </c>
      <c r="C101" s="7">
        <f>'AM Benches Data'!AH96*('AM Benches Data'!AE96/100)</f>
        <v>0</v>
      </c>
      <c r="D101" s="7">
        <f>'AM Benches Data'!AI96*('AM Benches Data'!AF96/100)</f>
        <v>0</v>
      </c>
      <c r="E101" s="74" t="e">
        <f t="shared" si="63"/>
        <v>#DIV/0!</v>
      </c>
      <c r="F101" s="74" t="e">
        <f t="shared" si="64"/>
        <v>#DIV/0!</v>
      </c>
      <c r="G101" s="64">
        <f>'AM Benches Data'!B96</f>
        <v>0</v>
      </c>
      <c r="H101" s="40">
        <f>'AM Benches Data'!L96</f>
        <v>0</v>
      </c>
      <c r="I101" s="40">
        <f>'AM Benches Data'!V96</f>
        <v>0</v>
      </c>
      <c r="J101" s="74" t="e">
        <f t="shared" si="65"/>
        <v>#DIV/0!</v>
      </c>
      <c r="K101" s="74" t="e">
        <f t="shared" si="66"/>
        <v>#DIV/0!</v>
      </c>
      <c r="L101" s="40">
        <f>'AM Benches Data'!C96</f>
        <v>0</v>
      </c>
      <c r="M101" s="40">
        <f>'AM Benches Data'!M96</f>
        <v>0</v>
      </c>
      <c r="N101" s="40">
        <f>'AM Benches Data'!W96</f>
        <v>0</v>
      </c>
      <c r="O101" s="506" t="e">
        <f t="shared" si="67"/>
        <v>#DIV/0!</v>
      </c>
      <c r="P101" s="74" t="e">
        <f t="shared" si="68"/>
        <v>#DIV/0!</v>
      </c>
      <c r="Q101" s="40">
        <f>'AM Benches Data'!D96</f>
        <v>0</v>
      </c>
      <c r="R101" s="40">
        <f>'AM Benches Data'!N96</f>
        <v>0</v>
      </c>
      <c r="S101" s="40">
        <f>'AM Benches Data'!X96</f>
        <v>0</v>
      </c>
      <c r="T101" s="506" t="e">
        <f t="shared" si="69"/>
        <v>#DIV/0!</v>
      </c>
      <c r="U101" s="74" t="e">
        <f t="shared" si="70"/>
        <v>#DIV/0!</v>
      </c>
      <c r="V101" s="40">
        <f>'AM Benches Data'!H96</f>
        <v>0</v>
      </c>
      <c r="W101" s="40">
        <f>'AM Benches Data'!R96</f>
        <v>0</v>
      </c>
      <c r="X101" s="40">
        <f>'AM Benches Data'!Z96</f>
        <v>0</v>
      </c>
      <c r="Y101" s="506" t="e">
        <f t="shared" si="71"/>
        <v>#DIV/0!</v>
      </c>
      <c r="Z101" s="74" t="e">
        <f t="shared" si="72"/>
        <v>#DIV/0!</v>
      </c>
      <c r="AA101" s="40">
        <f>'AM Benches Data'!I96</f>
        <v>0</v>
      </c>
      <c r="AB101" s="40">
        <f>'AM Benches Data'!S96</f>
        <v>0</v>
      </c>
      <c r="AC101" s="40">
        <f>'AM Benches Data'!AA96</f>
        <v>0</v>
      </c>
      <c r="AD101" s="506" t="e">
        <f t="shared" si="73"/>
        <v>#DIV/0!</v>
      </c>
      <c r="AE101" s="74" t="e">
        <f t="shared" si="74"/>
        <v>#DIV/0!</v>
      </c>
      <c r="AF101" s="40">
        <f>'AM Benches Data'!K96</f>
        <v>0</v>
      </c>
      <c r="AG101" s="40">
        <f>'AM Benches Data'!U96</f>
        <v>0</v>
      </c>
      <c r="AH101" s="40">
        <f>'AM Benches Data'!AC96</f>
        <v>0</v>
      </c>
      <c r="AI101" s="506" t="e">
        <f t="shared" si="75"/>
        <v>#DIV/0!</v>
      </c>
      <c r="AJ101" s="74" t="e">
        <f t="shared" si="76"/>
        <v>#DIV/0!</v>
      </c>
    </row>
    <row r="102" spans="1:51" hidden="1" outlineLevel="1" x14ac:dyDescent="0.25"/>
    <row r="103" spans="1:51" s="502" customFormat="1" collapsed="1" x14ac:dyDescent="0.25">
      <c r="B103" s="626" t="s">
        <v>13</v>
      </c>
      <c r="C103" s="626"/>
      <c r="D103" s="626"/>
      <c r="E103" s="626" t="s">
        <v>12</v>
      </c>
      <c r="F103" s="627"/>
      <c r="G103" s="626" t="s">
        <v>13</v>
      </c>
      <c r="H103" s="626"/>
      <c r="I103" s="626"/>
      <c r="J103" s="626" t="s">
        <v>12</v>
      </c>
      <c r="K103" s="627"/>
      <c r="L103" s="626" t="s">
        <v>13</v>
      </c>
      <c r="M103" s="626"/>
      <c r="N103" s="626"/>
      <c r="O103" s="626" t="s">
        <v>12</v>
      </c>
      <c r="P103" s="627"/>
      <c r="Q103" s="626" t="s">
        <v>13</v>
      </c>
      <c r="R103" s="626"/>
      <c r="S103" s="626"/>
      <c r="T103" s="626" t="s">
        <v>12</v>
      </c>
      <c r="U103" s="627"/>
      <c r="V103" s="626" t="s">
        <v>13</v>
      </c>
      <c r="W103" s="626"/>
      <c r="X103" s="626"/>
      <c r="Y103" s="626" t="s">
        <v>12</v>
      </c>
      <c r="Z103" s="627"/>
      <c r="AD103" s="507"/>
      <c r="AE103" s="503"/>
      <c r="AI103" s="507"/>
      <c r="AJ103" s="503"/>
      <c r="AN103" s="507"/>
      <c r="AO103" s="503"/>
      <c r="AS103" s="507"/>
      <c r="AT103" s="503"/>
      <c r="AX103" s="507"/>
      <c r="AY103" s="503"/>
    </row>
    <row r="104" spans="1:51" s="71" customFormat="1" x14ac:dyDescent="0.25">
      <c r="A104" s="71" t="s">
        <v>14</v>
      </c>
      <c r="E104" s="624" t="s">
        <v>30</v>
      </c>
      <c r="F104" s="625"/>
      <c r="G104" s="500" t="str">
        <f>'PCB Data'!B2</f>
        <v>SMT - 110</v>
      </c>
      <c r="H104" s="71" t="str">
        <f>G104</f>
        <v>SMT - 110</v>
      </c>
      <c r="I104" s="71" t="str">
        <f>H104</f>
        <v>SMT - 110</v>
      </c>
      <c r="J104" s="71" t="str">
        <f>I104</f>
        <v>SMT - 110</v>
      </c>
      <c r="K104" s="501" t="str">
        <f>J104</f>
        <v>SMT - 110</v>
      </c>
      <c r="L104" s="71" t="str">
        <f>'PCB Data'!C2</f>
        <v>405/Test Towers</v>
      </c>
      <c r="M104" s="71" t="str">
        <f>L104</f>
        <v>405/Test Towers</v>
      </c>
      <c r="N104" s="71" t="str">
        <f>M104</f>
        <v>405/Test Towers</v>
      </c>
      <c r="O104" s="500" t="str">
        <f>N104</f>
        <v>405/Test Towers</v>
      </c>
      <c r="P104" s="501" t="str">
        <f>O104</f>
        <v>405/Test Towers</v>
      </c>
      <c r="Q104" s="71" t="str">
        <f>'PCB Data'!D2</f>
        <v>308/RPS</v>
      </c>
      <c r="R104" s="71" t="str">
        <f>Q104</f>
        <v>308/RPS</v>
      </c>
      <c r="S104" s="71" t="str">
        <f>R104</f>
        <v>308/RPS</v>
      </c>
      <c r="T104" s="500" t="str">
        <f>S104</f>
        <v>308/RPS</v>
      </c>
      <c r="U104" s="501" t="str">
        <f>T104</f>
        <v>308/RPS</v>
      </c>
      <c r="V104" s="71" t="str">
        <f>'PCB Data'!E2</f>
        <v>431/PVA</v>
      </c>
      <c r="W104" s="71" t="str">
        <f>V104</f>
        <v>431/PVA</v>
      </c>
      <c r="X104" s="71" t="str">
        <f>W104</f>
        <v>431/PVA</v>
      </c>
      <c r="Y104" s="500" t="str">
        <f>X104</f>
        <v>431/PVA</v>
      </c>
      <c r="Z104" s="501" t="str">
        <f>Y104</f>
        <v>431/PVA</v>
      </c>
      <c r="AD104" s="500"/>
      <c r="AE104" s="501"/>
      <c r="AI104" s="500"/>
      <c r="AJ104" s="501"/>
      <c r="AN104" s="500"/>
      <c r="AO104" s="501"/>
      <c r="AS104" s="500"/>
      <c r="AT104" s="501"/>
      <c r="AX104" s="500"/>
      <c r="AY104" s="501"/>
    </row>
    <row r="105" spans="1:51" s="71" customFormat="1" x14ac:dyDescent="0.25">
      <c r="A105" s="71" t="s">
        <v>16</v>
      </c>
      <c r="B105" s="500" t="s">
        <v>17</v>
      </c>
      <c r="C105" s="71" t="s">
        <v>18</v>
      </c>
      <c r="D105" s="71" t="s">
        <v>19</v>
      </c>
      <c r="E105" s="71" t="s">
        <v>20</v>
      </c>
      <c r="F105" s="501" t="s">
        <v>21</v>
      </c>
      <c r="G105" s="500" t="s">
        <v>17</v>
      </c>
      <c r="H105" s="71" t="s">
        <v>18</v>
      </c>
      <c r="I105" s="71" t="s">
        <v>19</v>
      </c>
      <c r="J105" s="71" t="s">
        <v>20</v>
      </c>
      <c r="K105" s="501" t="s">
        <v>21</v>
      </c>
      <c r="L105" s="71" t="s">
        <v>17</v>
      </c>
      <c r="M105" s="71" t="s">
        <v>18</v>
      </c>
      <c r="N105" s="71" t="s">
        <v>19</v>
      </c>
      <c r="O105" s="500" t="s">
        <v>20</v>
      </c>
      <c r="P105" s="501" t="s">
        <v>21</v>
      </c>
      <c r="Q105" s="71" t="s">
        <v>17</v>
      </c>
      <c r="R105" s="71" t="s">
        <v>18</v>
      </c>
      <c r="S105" s="71" t="s">
        <v>19</v>
      </c>
      <c r="T105" s="500" t="s">
        <v>20</v>
      </c>
      <c r="U105" s="501" t="s">
        <v>21</v>
      </c>
      <c r="V105" s="71" t="s">
        <v>17</v>
      </c>
      <c r="W105" s="71" t="s">
        <v>18</v>
      </c>
      <c r="X105" s="71" t="s">
        <v>19</v>
      </c>
      <c r="Y105" s="500" t="s">
        <v>20</v>
      </c>
      <c r="Z105" s="501" t="s">
        <v>21</v>
      </c>
      <c r="AD105" s="500"/>
      <c r="AE105" s="501"/>
      <c r="AI105" s="500"/>
      <c r="AJ105" s="501"/>
      <c r="AN105" s="500"/>
      <c r="AO105" s="501"/>
      <c r="AS105" s="500"/>
      <c r="AT105" s="501"/>
      <c r="AX105" s="500"/>
      <c r="AY105" s="501"/>
    </row>
    <row r="106" spans="1:51" s="71" customFormat="1" x14ac:dyDescent="0.25">
      <c r="A106" s="71" t="s">
        <v>22</v>
      </c>
      <c r="B106" s="509" t="s">
        <v>23</v>
      </c>
      <c r="C106" s="510" t="s">
        <v>24</v>
      </c>
      <c r="D106" s="510" t="s">
        <v>25</v>
      </c>
      <c r="E106" s="510" t="s">
        <v>26</v>
      </c>
      <c r="F106" s="511" t="s">
        <v>27</v>
      </c>
      <c r="G106" s="500" t="str">
        <f>'PCB Data'!B3</f>
        <v>13 Wks</v>
      </c>
      <c r="H106" s="71" t="str">
        <f>'PCB Data'!F3</f>
        <v>14 - 26 Wks</v>
      </c>
      <c r="I106" s="71" t="str">
        <f>'PCB Data'!J3</f>
        <v>27 - 52 Wks</v>
      </c>
      <c r="K106" s="501"/>
      <c r="L106" s="71" t="str">
        <f>G106</f>
        <v>13 Wks</v>
      </c>
      <c r="M106" s="71" t="str">
        <f t="shared" ref="M106" si="77">H106</f>
        <v>14 - 26 Wks</v>
      </c>
      <c r="N106" s="71" t="str">
        <f t="shared" ref="N106" si="78">I106</f>
        <v>27 - 52 Wks</v>
      </c>
      <c r="O106" s="500"/>
      <c r="P106" s="501"/>
      <c r="Q106" s="71" t="str">
        <f>G106</f>
        <v>13 Wks</v>
      </c>
      <c r="R106" s="71" t="str">
        <f t="shared" ref="R106" si="79">H106</f>
        <v>14 - 26 Wks</v>
      </c>
      <c r="S106" s="71" t="str">
        <f t="shared" ref="S106" si="80">I106</f>
        <v>27 - 52 Wks</v>
      </c>
      <c r="T106" s="500"/>
      <c r="U106" s="501"/>
      <c r="V106" s="71" t="str">
        <f>Q106</f>
        <v>13 Wks</v>
      </c>
      <c r="W106" s="71" t="str">
        <f>R106</f>
        <v>14 - 26 Wks</v>
      </c>
      <c r="X106" s="71" t="str">
        <f>S106</f>
        <v>27 - 52 Wks</v>
      </c>
      <c r="Y106" s="500"/>
      <c r="Z106" s="501"/>
      <c r="AD106" s="500"/>
      <c r="AE106" s="501"/>
      <c r="AI106" s="500"/>
      <c r="AJ106" s="501"/>
      <c r="AN106" s="500"/>
      <c r="AO106" s="501"/>
      <c r="AS106" s="500"/>
      <c r="AT106" s="501"/>
      <c r="AX106" s="500"/>
      <c r="AY106" s="501"/>
    </row>
    <row r="107" spans="1:51" s="88" customFormat="1" x14ac:dyDescent="0.25">
      <c r="A107" s="498">
        <f>'PCB Data'!A52</f>
        <v>44593</v>
      </c>
      <c r="B107" s="30">
        <f>'PCB Data'!Q52*('PCB Data'!N52/100)</f>
        <v>743.7</v>
      </c>
      <c r="C107" s="30">
        <f>'PCB Data'!R52*('PCB Data'!O52/100)</f>
        <v>392.58000000000004</v>
      </c>
      <c r="D107" s="30">
        <f>'PCB Data'!S52*('PCB Data'!P52/100)</f>
        <v>636.5</v>
      </c>
      <c r="E107" s="88" t="s">
        <v>28</v>
      </c>
      <c r="F107" s="89" t="s">
        <v>28</v>
      </c>
      <c r="G107" s="87">
        <f>'PCB Data'!B52</f>
        <v>127</v>
      </c>
      <c r="H107" s="88">
        <f>'PCB Data'!F52</f>
        <v>72</v>
      </c>
      <c r="I107" s="88">
        <f>'PCB Data'!J52</f>
        <v>104</v>
      </c>
      <c r="J107" s="88" t="s">
        <v>28</v>
      </c>
      <c r="K107" s="89" t="s">
        <v>28</v>
      </c>
      <c r="L107" s="88">
        <f>'PCB Data'!C52</f>
        <v>89</v>
      </c>
      <c r="M107" s="88">
        <f>'PCB Data'!G52</f>
        <v>39</v>
      </c>
      <c r="N107" s="88">
        <f>'PCB Data'!K52</f>
        <v>67</v>
      </c>
      <c r="O107" s="87" t="s">
        <v>28</v>
      </c>
      <c r="P107" s="89" t="s">
        <v>28</v>
      </c>
      <c r="Q107" s="88">
        <f>'PCB Data'!D52</f>
        <v>105</v>
      </c>
      <c r="R107" s="88">
        <f>'PCB Data'!H52</f>
        <v>47</v>
      </c>
      <c r="S107" s="88">
        <f>'PCB Data'!L52</f>
        <v>84</v>
      </c>
      <c r="T107" s="87" t="s">
        <v>28</v>
      </c>
      <c r="U107" s="89" t="s">
        <v>28</v>
      </c>
      <c r="V107" s="88">
        <f>'PCB Data'!E52</f>
        <v>70</v>
      </c>
      <c r="W107" s="88">
        <f>'PCB Data'!I52</f>
        <v>35</v>
      </c>
      <c r="X107" s="88">
        <f>'PCB Data'!M52</f>
        <v>68</v>
      </c>
      <c r="Y107" s="87" t="s">
        <v>28</v>
      </c>
      <c r="Z107" s="89" t="s">
        <v>28</v>
      </c>
      <c r="AD107" s="87"/>
      <c r="AE107" s="89"/>
      <c r="AI107" s="87"/>
      <c r="AJ107" s="89"/>
      <c r="AN107" s="87"/>
      <c r="AO107" s="89"/>
      <c r="AS107" s="87"/>
      <c r="AT107" s="89"/>
      <c r="AX107" s="87"/>
      <c r="AY107" s="89"/>
    </row>
    <row r="108" spans="1:51" x14ac:dyDescent="0.25">
      <c r="A108" s="497">
        <f>'PCB Data'!A53</f>
        <v>44617</v>
      </c>
      <c r="B108" s="7">
        <f>'PCB Data'!Q53*('PCB Data'!N53/100)</f>
        <v>708.24</v>
      </c>
      <c r="C108" s="7">
        <f>'PCB Data'!R53*('PCB Data'!O53/100)</f>
        <v>465.28000000000003</v>
      </c>
      <c r="D108" s="7">
        <f>'PCB Data'!S53*('PCB Data'!P53/100)</f>
        <v>571.04</v>
      </c>
      <c r="E108" s="40" t="s">
        <v>28</v>
      </c>
      <c r="F108" s="69" t="s">
        <v>28</v>
      </c>
      <c r="G108" s="64">
        <f>'PCB Data'!B53</f>
        <v>128</v>
      </c>
      <c r="H108" s="40">
        <f>'PCB Data'!F53</f>
        <v>73</v>
      </c>
      <c r="I108" s="40">
        <f>'PCB Data'!J53</f>
        <v>98</v>
      </c>
      <c r="J108" s="40" t="s">
        <v>28</v>
      </c>
      <c r="K108" s="69" t="s">
        <v>28</v>
      </c>
      <c r="L108" s="40">
        <f>'PCB Data'!C53</f>
        <v>81</v>
      </c>
      <c r="M108" s="40">
        <f>'PCB Data'!G53</f>
        <v>47</v>
      </c>
      <c r="N108" s="40">
        <f>'PCB Data'!K53</f>
        <v>61</v>
      </c>
      <c r="O108" s="64" t="s">
        <v>28</v>
      </c>
      <c r="P108" s="69" t="s">
        <v>28</v>
      </c>
      <c r="Q108" s="40">
        <f>'PCB Data'!D53</f>
        <v>98</v>
      </c>
      <c r="R108" s="40">
        <f>'PCB Data'!H53</f>
        <v>57</v>
      </c>
      <c r="S108" s="40">
        <f>'PCB Data'!L53</f>
        <v>77</v>
      </c>
      <c r="T108" s="64" t="s">
        <v>28</v>
      </c>
      <c r="U108" s="69" t="s">
        <v>28</v>
      </c>
      <c r="V108" s="40">
        <f>'PCB Data'!E53</f>
        <v>66</v>
      </c>
      <c r="W108" s="40">
        <f>'PCB Data'!I53</f>
        <v>47</v>
      </c>
      <c r="X108" s="40">
        <f>'PCB Data'!M53</f>
        <v>58</v>
      </c>
      <c r="Y108" s="64" t="s">
        <v>28</v>
      </c>
      <c r="Z108" s="69" t="s">
        <v>28</v>
      </c>
    </row>
    <row r="109" spans="1:51" x14ac:dyDescent="0.25">
      <c r="A109" s="497">
        <f>'PCB Data'!A54</f>
        <v>44655</v>
      </c>
      <c r="B109" s="7">
        <f>'PCB Data'!Q54*('PCB Data'!N54/100)</f>
        <v>614.76</v>
      </c>
      <c r="C109" s="7">
        <f>'PCB Data'!R54*('PCB Data'!O54/100)</f>
        <v>547.35</v>
      </c>
      <c r="D109" s="7">
        <f>'PCB Data'!S54*('PCB Data'!P54/100)</f>
        <v>554.49</v>
      </c>
      <c r="E109" s="74" t="s">
        <v>28</v>
      </c>
      <c r="F109" s="69" t="s">
        <v>28</v>
      </c>
      <c r="G109" s="64">
        <f>'PCB Data'!B54</f>
        <v>133</v>
      </c>
      <c r="H109" s="40">
        <f>'PCB Data'!F54</f>
        <v>88</v>
      </c>
      <c r="I109" s="40">
        <f>'PCB Data'!J54</f>
        <v>93</v>
      </c>
      <c r="J109" s="74" t="s">
        <v>28</v>
      </c>
      <c r="K109" s="69" t="s">
        <v>28</v>
      </c>
      <c r="L109" s="40">
        <f>'PCB Data'!C54</f>
        <v>69</v>
      </c>
      <c r="M109" s="40">
        <f>'PCB Data'!G54</f>
        <v>55</v>
      </c>
      <c r="N109" s="40">
        <f>'PCB Data'!K54</f>
        <v>62</v>
      </c>
      <c r="O109" s="506" t="s">
        <v>28</v>
      </c>
      <c r="P109" s="69" t="s">
        <v>28</v>
      </c>
      <c r="Q109" s="40">
        <f>'PCB Data'!D54</f>
        <v>83</v>
      </c>
      <c r="R109" s="40">
        <f>'PCB Data'!H54</f>
        <v>66</v>
      </c>
      <c r="S109" s="40">
        <f>'PCB Data'!L54</f>
        <v>74</v>
      </c>
      <c r="T109" s="506" t="s">
        <v>28</v>
      </c>
      <c r="U109" s="69" t="s">
        <v>28</v>
      </c>
      <c r="V109" s="40">
        <f>'PCB Data'!E54</f>
        <v>63</v>
      </c>
      <c r="W109" s="40">
        <f>'PCB Data'!I54</f>
        <v>59</v>
      </c>
      <c r="X109" s="40">
        <f>'PCB Data'!M54</f>
        <v>60</v>
      </c>
      <c r="Y109" s="506" t="s">
        <v>28</v>
      </c>
      <c r="Z109" s="69" t="s">
        <v>28</v>
      </c>
    </row>
    <row r="110" spans="1:51" x14ac:dyDescent="0.25">
      <c r="A110" s="497">
        <f>'PCB Data'!A55</f>
        <v>44691</v>
      </c>
      <c r="B110" s="7">
        <f>'PCB Data'!Q55*('PCB Data'!N55/100)</f>
        <v>677.31000000000006</v>
      </c>
      <c r="C110" s="7">
        <f>'PCB Data'!R55*('PCB Data'!O55/100)</f>
        <v>546.12</v>
      </c>
      <c r="D110" s="7">
        <f>'PCB Data'!S55*('PCB Data'!P55/100)</f>
        <v>460.46000000000004</v>
      </c>
      <c r="E110" s="74">
        <f t="shared" ref="E110:E115" si="81">B110/C107</f>
        <v>1.7252789240409598</v>
      </c>
      <c r="F110" s="69" t="s">
        <v>28</v>
      </c>
      <c r="G110" s="64">
        <f>'PCB Data'!B55</f>
        <v>108</v>
      </c>
      <c r="H110" s="40">
        <f>'PCB Data'!F55</f>
        <v>78</v>
      </c>
      <c r="I110" s="40">
        <f>'PCB Data'!J55</f>
        <v>80</v>
      </c>
      <c r="J110" s="74">
        <f t="shared" ref="J110:J115" si="82">G110/H107</f>
        <v>1.5</v>
      </c>
      <c r="K110" s="69" t="s">
        <v>28</v>
      </c>
      <c r="L110" s="40">
        <f>'PCB Data'!C55</f>
        <v>69</v>
      </c>
      <c r="M110" s="40">
        <f>'PCB Data'!G55</f>
        <v>55</v>
      </c>
      <c r="N110" s="40">
        <f>'PCB Data'!K55</f>
        <v>54</v>
      </c>
      <c r="O110" s="506">
        <f t="shared" ref="O110:O115" si="83">L110/M107</f>
        <v>1.7692307692307692</v>
      </c>
      <c r="P110" s="69" t="s">
        <v>28</v>
      </c>
      <c r="Q110" s="40">
        <f>'PCB Data'!D55</f>
        <v>75</v>
      </c>
      <c r="R110" s="40">
        <f>'PCB Data'!H55</f>
        <v>61</v>
      </c>
      <c r="S110" s="40">
        <f>'PCB Data'!L55</f>
        <v>63</v>
      </c>
      <c r="T110" s="506">
        <f t="shared" ref="T110:T115" si="84">Q110/R107</f>
        <v>1.5957446808510638</v>
      </c>
      <c r="U110" s="69" t="s">
        <v>28</v>
      </c>
      <c r="V110" s="40">
        <f>'PCB Data'!E55</f>
        <v>68</v>
      </c>
      <c r="W110" s="40">
        <f>'PCB Data'!I55</f>
        <v>61</v>
      </c>
      <c r="X110" s="40">
        <f>'PCB Data'!M55</f>
        <v>49</v>
      </c>
      <c r="Y110" s="506">
        <f t="shared" ref="Y110:Y115" si="85">V110/W107</f>
        <v>1.9428571428571428</v>
      </c>
      <c r="Z110" s="69" t="s">
        <v>28</v>
      </c>
    </row>
    <row r="111" spans="1:51" x14ac:dyDescent="0.25">
      <c r="A111" s="497">
        <f>'PCB Data'!A56</f>
        <v>44714</v>
      </c>
      <c r="B111" s="7">
        <f>'PCB Data'!Q56*('PCB Data'!N56/100)</f>
        <v>634.05999999999995</v>
      </c>
      <c r="C111" s="7">
        <f>'PCB Data'!R56*('PCB Data'!O56/100)</f>
        <v>532.80000000000007</v>
      </c>
      <c r="D111" s="7">
        <f>'PCB Data'!S56*('PCB Data'!P56/100)</f>
        <v>394.68</v>
      </c>
      <c r="E111" s="74">
        <f t="shared" si="81"/>
        <v>1.3627493122420906</v>
      </c>
      <c r="F111" s="69" t="s">
        <v>28</v>
      </c>
      <c r="G111" s="64">
        <f>'PCB Data'!B56</f>
        <v>95</v>
      </c>
      <c r="H111" s="40">
        <f>'PCB Data'!F56</f>
        <v>81</v>
      </c>
      <c r="I111" s="40">
        <f>'PCB Data'!J56</f>
        <v>73</v>
      </c>
      <c r="J111" s="74">
        <f t="shared" si="82"/>
        <v>1.3013698630136987</v>
      </c>
      <c r="K111" s="69" t="s">
        <v>28</v>
      </c>
      <c r="L111" s="40">
        <f>'PCB Data'!C56</f>
        <v>65</v>
      </c>
      <c r="M111" s="40">
        <f>'PCB Data'!G56</f>
        <v>55</v>
      </c>
      <c r="N111" s="40">
        <f>'PCB Data'!K56</f>
        <v>46</v>
      </c>
      <c r="O111" s="506">
        <f t="shared" si="83"/>
        <v>1.3829787234042554</v>
      </c>
      <c r="P111" s="69" t="s">
        <v>28</v>
      </c>
      <c r="Q111" s="40">
        <f>'PCB Data'!D56</f>
        <v>70</v>
      </c>
      <c r="R111" s="40">
        <f>'PCB Data'!H56</f>
        <v>64</v>
      </c>
      <c r="S111" s="40">
        <f>'PCB Data'!L56</f>
        <v>55</v>
      </c>
      <c r="T111" s="506">
        <f t="shared" si="84"/>
        <v>1.2280701754385965</v>
      </c>
      <c r="U111" s="69" t="s">
        <v>28</v>
      </c>
      <c r="V111" s="40">
        <f>'PCB Data'!E56</f>
        <v>62</v>
      </c>
      <c r="W111" s="40">
        <f>'PCB Data'!I56</f>
        <v>57</v>
      </c>
      <c r="X111" s="40">
        <f>'PCB Data'!M56</f>
        <v>41</v>
      </c>
      <c r="Y111" s="506">
        <f t="shared" si="85"/>
        <v>1.3191489361702127</v>
      </c>
      <c r="Z111" s="69" t="s">
        <v>28</v>
      </c>
    </row>
    <row r="112" spans="1:51" x14ac:dyDescent="0.25">
      <c r="A112" s="497">
        <f>'PCB Data'!A57</f>
        <v>44753</v>
      </c>
      <c r="B112" s="7">
        <f>'PCB Data'!Q57*('PCB Data'!N57/100)</f>
        <v>611.04999999999995</v>
      </c>
      <c r="C112" s="7">
        <f>'PCB Data'!R57*('PCB Data'!O57/100)</f>
        <v>459.90000000000003</v>
      </c>
      <c r="D112" s="7">
        <f>'PCB Data'!S57*('PCB Data'!P57/100)</f>
        <v>442.32</v>
      </c>
      <c r="E112" s="74">
        <f t="shared" si="81"/>
        <v>1.1163789165981546</v>
      </c>
      <c r="F112" s="69" t="s">
        <v>28</v>
      </c>
      <c r="G112" s="64">
        <f>'PCB Data'!B57</f>
        <v>80</v>
      </c>
      <c r="H112" s="40">
        <f>'PCB Data'!F57</f>
        <v>85</v>
      </c>
      <c r="I112" s="40">
        <f>'PCB Data'!J57</f>
        <v>73</v>
      </c>
      <c r="J112" s="74">
        <f t="shared" si="82"/>
        <v>0.90909090909090906</v>
      </c>
      <c r="K112" s="69" t="s">
        <v>28</v>
      </c>
      <c r="L112" s="40">
        <f>'PCB Data'!C57</f>
        <v>63</v>
      </c>
      <c r="M112" s="40">
        <f>'PCB Data'!G57</f>
        <v>59</v>
      </c>
      <c r="N112" s="40">
        <f>'PCB Data'!K57</f>
        <v>50</v>
      </c>
      <c r="O112" s="506">
        <f t="shared" si="83"/>
        <v>1.1454545454545455</v>
      </c>
      <c r="P112" s="69" t="s">
        <v>28</v>
      </c>
      <c r="Q112" s="40">
        <f>'PCB Data'!D57</f>
        <v>68</v>
      </c>
      <c r="R112" s="40">
        <f>'PCB Data'!H57</f>
        <v>71</v>
      </c>
      <c r="S112" s="40">
        <f>'PCB Data'!L57</f>
        <v>60</v>
      </c>
      <c r="T112" s="506">
        <f t="shared" si="84"/>
        <v>1.0303030303030303</v>
      </c>
      <c r="U112" s="69" t="s">
        <v>28</v>
      </c>
      <c r="V112" s="40">
        <f>'PCB Data'!E57</f>
        <v>52</v>
      </c>
      <c r="W112" s="40">
        <f>'PCB Data'!I57</f>
        <v>50</v>
      </c>
      <c r="X112" s="40">
        <f>'PCB Data'!M57</f>
        <v>41</v>
      </c>
      <c r="Y112" s="506">
        <f t="shared" si="85"/>
        <v>0.88135593220338981</v>
      </c>
      <c r="Z112" s="69" t="s">
        <v>28</v>
      </c>
    </row>
    <row r="113" spans="1:26" x14ac:dyDescent="0.25">
      <c r="A113" s="497">
        <v>44774</v>
      </c>
      <c r="B113" s="7">
        <f>'PCB Data'!Q58*('PCB Data'!N58/100)</f>
        <v>577.72</v>
      </c>
      <c r="C113" s="7">
        <f>'PCB Data'!R58*('PCB Data'!O58/100)</f>
        <v>461.7</v>
      </c>
      <c r="D113" s="7">
        <f>'PCB Data'!S58*('PCB Data'!P58/100)</f>
        <v>412.92</v>
      </c>
      <c r="E113" s="74">
        <f t="shared" si="81"/>
        <v>1.05786274078957</v>
      </c>
      <c r="F113" s="74">
        <f t="shared" ref="F113:F118" si="86">B113/D107</f>
        <v>0.90765121759622946</v>
      </c>
      <c r="G113" s="64">
        <f>'PCB Data'!B58</f>
        <v>81</v>
      </c>
      <c r="H113" s="40">
        <f>'PCB Data'!F58</f>
        <v>89</v>
      </c>
      <c r="I113" s="40">
        <f>'PCB Data'!J58</f>
        <v>65</v>
      </c>
      <c r="J113" s="74">
        <f t="shared" si="82"/>
        <v>1.0384615384615385</v>
      </c>
      <c r="K113" s="74">
        <f t="shared" ref="K113:K118" si="87">G113/I107</f>
        <v>0.77884615384615385</v>
      </c>
      <c r="L113" s="40">
        <f>'PCB Data'!C58</f>
        <v>61</v>
      </c>
      <c r="M113" s="40">
        <f>'PCB Data'!G58</f>
        <v>57</v>
      </c>
      <c r="N113" s="40">
        <f>'PCB Data'!K58</f>
        <v>45</v>
      </c>
      <c r="O113" s="506">
        <f t="shared" si="83"/>
        <v>1.1090909090909091</v>
      </c>
      <c r="P113" s="74">
        <f t="shared" ref="P113:P118" si="88">L113/N107</f>
        <v>0.91044776119402981</v>
      </c>
      <c r="Q113" s="40">
        <f>'PCB Data'!D58</f>
        <v>69</v>
      </c>
      <c r="R113" s="40">
        <f>'PCB Data'!H58</f>
        <v>71</v>
      </c>
      <c r="S113" s="40">
        <f>'PCB Data'!L58</f>
        <v>54</v>
      </c>
      <c r="T113" s="506">
        <f t="shared" si="84"/>
        <v>1.1311475409836065</v>
      </c>
      <c r="U113" s="74">
        <f t="shared" ref="U113:U118" si="89">Q113/S107</f>
        <v>0.8214285714285714</v>
      </c>
      <c r="V113" s="40">
        <f>'PCB Data'!E58</f>
        <v>40</v>
      </c>
      <c r="W113" s="40">
        <f>'PCB Data'!I58</f>
        <v>57</v>
      </c>
      <c r="X113" s="40">
        <f>'PCB Data'!M58</f>
        <v>40</v>
      </c>
      <c r="Y113" s="506">
        <f t="shared" si="85"/>
        <v>0.65573770491803274</v>
      </c>
      <c r="Z113" s="74">
        <f t="shared" ref="Z113:Z118" si="90">V113/X107</f>
        <v>0.58823529411764708</v>
      </c>
    </row>
    <row r="114" spans="1:26" x14ac:dyDescent="0.25">
      <c r="A114" s="497">
        <v>44805</v>
      </c>
      <c r="B114" s="7">
        <f>'PCB Data'!Q59*('PCB Data'!N59/100)</f>
        <v>621.31999999999994</v>
      </c>
      <c r="C114" s="7">
        <f>'PCB Data'!R59*('PCB Data'!O59/100)</f>
        <v>399</v>
      </c>
      <c r="D114" s="7">
        <f>'PCB Data'!S59*('PCB Data'!P59/100)</f>
        <v>445.68</v>
      </c>
      <c r="E114" s="74">
        <f t="shared" si="81"/>
        <v>1.1661411411411409</v>
      </c>
      <c r="F114" s="74">
        <f t="shared" si="86"/>
        <v>1.0880498739142617</v>
      </c>
      <c r="G114" s="64">
        <f>'PCB Data'!B59</f>
        <v>89</v>
      </c>
      <c r="H114" s="40">
        <f>'PCB Data'!F59</f>
        <v>72</v>
      </c>
      <c r="I114" s="40">
        <f>'PCB Data'!J59</f>
        <v>74</v>
      </c>
      <c r="J114" s="74">
        <f t="shared" si="82"/>
        <v>1.0987654320987654</v>
      </c>
      <c r="K114" s="74">
        <f t="shared" si="87"/>
        <v>0.90816326530612246</v>
      </c>
      <c r="L114" s="40">
        <f>'PCB Data'!C59</f>
        <v>68</v>
      </c>
      <c r="M114" s="40">
        <f>'PCB Data'!G59</f>
        <v>46</v>
      </c>
      <c r="N114" s="40">
        <f>'PCB Data'!K59</f>
        <v>50</v>
      </c>
      <c r="O114" s="506">
        <f t="shared" si="83"/>
        <v>1.2363636363636363</v>
      </c>
      <c r="P114" s="74">
        <f t="shared" si="88"/>
        <v>1.1147540983606556</v>
      </c>
      <c r="Q114" s="40">
        <f>'PCB Data'!D59</f>
        <v>79</v>
      </c>
      <c r="R114" s="40">
        <f>'PCB Data'!H59</f>
        <v>56</v>
      </c>
      <c r="S114" s="40">
        <f>'PCB Data'!L59</f>
        <v>60</v>
      </c>
      <c r="T114" s="506">
        <f t="shared" si="84"/>
        <v>1.234375</v>
      </c>
      <c r="U114" s="74">
        <f t="shared" si="89"/>
        <v>1.025974025974026</v>
      </c>
      <c r="V114" s="40">
        <f>'PCB Data'!E59</f>
        <v>50</v>
      </c>
      <c r="W114" s="40">
        <f>'PCB Data'!I59</f>
        <v>53</v>
      </c>
      <c r="X114" s="40">
        <f>'PCB Data'!M59</f>
        <v>38</v>
      </c>
      <c r="Y114" s="506">
        <f t="shared" si="85"/>
        <v>0.8771929824561403</v>
      </c>
      <c r="Z114" s="74">
        <f t="shared" si="90"/>
        <v>0.86206896551724133</v>
      </c>
    </row>
    <row r="115" spans="1:26" x14ac:dyDescent="0.25">
      <c r="A115" s="497">
        <v>44838</v>
      </c>
      <c r="B115" s="7">
        <f>'PCB Data'!Q60*('PCB Data'!N60/100)</f>
        <v>571.54999999999995</v>
      </c>
      <c r="C115" s="7">
        <f>'PCB Data'!R60*('PCB Data'!O60/100)</f>
        <v>445.38</v>
      </c>
      <c r="D115" s="7">
        <f>'PCB Data'!S60*('PCB Data'!P60/100)</f>
        <v>411.79999999999995</v>
      </c>
      <c r="E115" s="74">
        <f t="shared" si="81"/>
        <v>1.2427701674277014</v>
      </c>
      <c r="F115" s="74">
        <f t="shared" si="86"/>
        <v>1.0307670111273421</v>
      </c>
      <c r="G115" s="64">
        <f>'PCB Data'!B60</f>
        <v>98</v>
      </c>
      <c r="H115" s="40">
        <f>'PCB Data'!F60</f>
        <v>79</v>
      </c>
      <c r="I115" s="40">
        <f>'PCB Data'!J60</f>
        <v>67</v>
      </c>
      <c r="J115" s="74">
        <f t="shared" si="82"/>
        <v>1.1529411764705881</v>
      </c>
      <c r="K115" s="74">
        <f t="shared" si="87"/>
        <v>1.053763440860215</v>
      </c>
      <c r="L115" s="40">
        <f>'PCB Data'!C60</f>
        <v>71</v>
      </c>
      <c r="M115" s="40">
        <f>'PCB Data'!G60</f>
        <v>46</v>
      </c>
      <c r="N115" s="40">
        <f>'PCB Data'!K60</f>
        <v>42</v>
      </c>
      <c r="O115" s="506">
        <f t="shared" si="83"/>
        <v>1.2033898305084745</v>
      </c>
      <c r="P115" s="74">
        <f t="shared" si="88"/>
        <v>1.1451612903225807</v>
      </c>
      <c r="Q115" s="40">
        <f>'PCB Data'!D60</f>
        <v>81</v>
      </c>
      <c r="R115" s="40">
        <f>'PCB Data'!H60</f>
        <v>53</v>
      </c>
      <c r="S115" s="40">
        <f>'PCB Data'!L60</f>
        <v>49</v>
      </c>
      <c r="T115" s="506">
        <f t="shared" si="84"/>
        <v>1.1408450704225352</v>
      </c>
      <c r="U115" s="74">
        <f t="shared" si="89"/>
        <v>1.0945945945945945</v>
      </c>
      <c r="V115" s="40">
        <f>'PCB Data'!E60</f>
        <v>55</v>
      </c>
      <c r="W115" s="40">
        <f>'PCB Data'!I60</f>
        <v>48</v>
      </c>
      <c r="X115" s="40">
        <f>'PCB Data'!M60</f>
        <v>41</v>
      </c>
      <c r="Y115" s="506">
        <f t="shared" si="85"/>
        <v>1.1000000000000001</v>
      </c>
      <c r="Z115" s="74">
        <f t="shared" si="90"/>
        <v>0.91666666666666663</v>
      </c>
    </row>
    <row r="116" spans="1:26" x14ac:dyDescent="0.25">
      <c r="A116" s="497">
        <v>44868</v>
      </c>
      <c r="B116" s="7">
        <f>'PCB Data'!Q61*('PCB Data'!N61/100)</f>
        <v>465.75000000000006</v>
      </c>
      <c r="C116" s="7">
        <f>'PCB Data'!R61*('PCB Data'!O61/100)</f>
        <v>324.89000000000004</v>
      </c>
      <c r="D116" s="7">
        <f>'PCB Data'!S61*('PCB Data'!P61/100)</f>
        <v>424.96000000000004</v>
      </c>
      <c r="E116" s="74">
        <f t="shared" ref="E116" si="91">B116/C113</f>
        <v>1.0087719298245617</v>
      </c>
      <c r="F116" s="74">
        <f t="shared" si="86"/>
        <v>1.0114885114885115</v>
      </c>
      <c r="G116" s="64">
        <f>'PCB Data'!B61</f>
        <v>62</v>
      </c>
      <c r="H116" s="40">
        <f>'PCB Data'!F61</f>
        <v>53</v>
      </c>
      <c r="I116" s="40">
        <f>'PCB Data'!J61</f>
        <v>60</v>
      </c>
      <c r="J116" s="74">
        <f t="shared" ref="J116" si="92">G116/H113</f>
        <v>0.6966292134831461</v>
      </c>
      <c r="K116" s="74">
        <f t="shared" si="87"/>
        <v>0.77500000000000002</v>
      </c>
      <c r="L116" s="40">
        <f>'PCB Data'!C61</f>
        <v>48</v>
      </c>
      <c r="M116" s="40">
        <f>'PCB Data'!G61</f>
        <v>45</v>
      </c>
      <c r="N116" s="40">
        <f>'PCB Data'!K61</f>
        <v>44</v>
      </c>
      <c r="O116" s="506">
        <f t="shared" ref="O116" si="93">L116/M113</f>
        <v>0.84210526315789469</v>
      </c>
      <c r="P116" s="74">
        <f t="shared" si="88"/>
        <v>0.88888888888888884</v>
      </c>
      <c r="Q116" s="40">
        <f>'PCB Data'!D61</f>
        <v>54</v>
      </c>
      <c r="R116" s="40">
        <f>'PCB Data'!H61</f>
        <v>41</v>
      </c>
      <c r="S116" s="40">
        <f>'PCB Data'!L61</f>
        <v>52</v>
      </c>
      <c r="T116" s="506">
        <f t="shared" ref="T116" si="94">Q116/R113</f>
        <v>0.76056338028169013</v>
      </c>
      <c r="U116" s="74">
        <f t="shared" si="89"/>
        <v>0.8571428571428571</v>
      </c>
      <c r="V116" s="40">
        <f>'PCB Data'!E61</f>
        <v>56</v>
      </c>
      <c r="W116" s="40">
        <f>'PCB Data'!I61</f>
        <v>39</v>
      </c>
      <c r="X116" s="40">
        <f>'PCB Data'!M61</f>
        <v>39</v>
      </c>
      <c r="Y116" s="506">
        <f t="shared" ref="Y116" si="95">V116/W113</f>
        <v>0.98245614035087714</v>
      </c>
      <c r="Z116" s="74">
        <f t="shared" si="90"/>
        <v>1.1428571428571428</v>
      </c>
    </row>
    <row r="117" spans="1:26" x14ac:dyDescent="0.25">
      <c r="A117" s="497">
        <v>44908</v>
      </c>
      <c r="B117" s="7">
        <f>'PCB Data'!Q62*('PCB Data'!N62/100)</f>
        <v>304.92</v>
      </c>
      <c r="C117" s="7">
        <f>'PCB Data'!R62*('PCB Data'!O62/100)</f>
        <v>228</v>
      </c>
      <c r="D117" s="7">
        <f>'PCB Data'!S62*('PCB Data'!P62/100)</f>
        <v>409.94</v>
      </c>
      <c r="E117" s="74">
        <f t="shared" ref="E117" si="96">B117/C114</f>
        <v>0.76421052631578956</v>
      </c>
      <c r="F117" s="74">
        <f t="shared" si="86"/>
        <v>0.77257525083612044</v>
      </c>
      <c r="G117" s="64">
        <f>'PCB Data'!B62</f>
        <v>45</v>
      </c>
      <c r="H117" s="40">
        <f>'PCB Data'!F62</f>
        <v>45</v>
      </c>
      <c r="I117" s="40">
        <f>'PCB Data'!J62</f>
        <v>48</v>
      </c>
      <c r="J117" s="74">
        <f t="shared" ref="J117" si="97">G117/H114</f>
        <v>0.625</v>
      </c>
      <c r="K117" s="74">
        <f t="shared" si="87"/>
        <v>0.61643835616438358</v>
      </c>
      <c r="L117" s="40">
        <f>'PCB Data'!C62</f>
        <v>32</v>
      </c>
      <c r="M117" s="40">
        <f>'PCB Data'!G62</f>
        <v>23</v>
      </c>
      <c r="N117" s="40">
        <f>'PCB Data'!K62</f>
        <v>42</v>
      </c>
      <c r="O117" s="506">
        <f t="shared" ref="O117" si="98">L117/M114</f>
        <v>0.69565217391304346</v>
      </c>
      <c r="P117" s="74">
        <f t="shared" si="88"/>
        <v>0.69565217391304346</v>
      </c>
      <c r="Q117" s="40">
        <f>'PCB Data'!D62</f>
        <v>36</v>
      </c>
      <c r="R117" s="40">
        <f>'PCB Data'!H62</f>
        <v>26</v>
      </c>
      <c r="S117" s="40">
        <f>'PCB Data'!L62</f>
        <v>49</v>
      </c>
      <c r="T117" s="506">
        <f t="shared" ref="T117" si="99">Q117/R114</f>
        <v>0.6428571428571429</v>
      </c>
      <c r="U117" s="74">
        <f t="shared" si="89"/>
        <v>0.65454545454545454</v>
      </c>
      <c r="V117" s="40">
        <f>'PCB Data'!E62</f>
        <v>38</v>
      </c>
      <c r="W117" s="40">
        <f>'PCB Data'!I62</f>
        <v>30</v>
      </c>
      <c r="X117" s="40">
        <f>'PCB Data'!M62</f>
        <v>41</v>
      </c>
      <c r="Y117" s="506">
        <f t="shared" ref="Y117" si="100">V117/W114</f>
        <v>0.71698113207547165</v>
      </c>
      <c r="Z117" s="74">
        <f t="shared" si="90"/>
        <v>0.92682926829268297</v>
      </c>
    </row>
    <row r="118" spans="1:26" x14ac:dyDescent="0.25">
      <c r="A118" s="497">
        <v>44965</v>
      </c>
      <c r="B118" s="7">
        <f>'PCB Data'!Q63*('PCB Data'!N63/100)</f>
        <v>276.5</v>
      </c>
      <c r="C118" s="7">
        <f>'PCB Data'!R63*('PCB Data'!O63/100)</f>
        <v>297.48</v>
      </c>
      <c r="D118" s="7">
        <f>'PCB Data'!S63*('PCB Data'!P63/100)</f>
        <v>500.96</v>
      </c>
      <c r="E118" s="74">
        <f t="shared" ref="E118" si="101">B118/C115</f>
        <v>0.62081817773586601</v>
      </c>
      <c r="F118" s="74">
        <f t="shared" si="86"/>
        <v>0.6251130403327908</v>
      </c>
      <c r="G118" s="64">
        <f>'PCB Data'!B63</f>
        <v>27</v>
      </c>
      <c r="H118" s="40">
        <f>'PCB Data'!F63</f>
        <v>39</v>
      </c>
      <c r="I118" s="40">
        <f>'PCB Data'!J63</f>
        <v>63</v>
      </c>
      <c r="J118" s="74">
        <f t="shared" ref="J118" si="102">G118/H115</f>
        <v>0.34177215189873417</v>
      </c>
      <c r="K118" s="74">
        <f t="shared" si="87"/>
        <v>0.36986301369863012</v>
      </c>
      <c r="L118" s="40">
        <f>'PCB Data'!C63</f>
        <v>27</v>
      </c>
      <c r="M118" s="40">
        <f>'PCB Data'!G63</f>
        <v>22</v>
      </c>
      <c r="N118" s="40">
        <f>'PCB Data'!K63</f>
        <v>49</v>
      </c>
      <c r="O118" s="506">
        <f t="shared" ref="O118" si="103">L118/M115</f>
        <v>0.58695652173913049</v>
      </c>
      <c r="P118" s="74">
        <f t="shared" si="88"/>
        <v>0.54</v>
      </c>
      <c r="Q118" s="40">
        <f>'PCB Data'!D63</f>
        <v>30</v>
      </c>
      <c r="R118" s="40">
        <f>'PCB Data'!H63</f>
        <v>27</v>
      </c>
      <c r="S118" s="40">
        <f>'PCB Data'!L63</f>
        <v>58</v>
      </c>
      <c r="T118" s="506">
        <f t="shared" ref="T118" si="104">Q118/R115</f>
        <v>0.56603773584905659</v>
      </c>
      <c r="U118" s="74">
        <f t="shared" si="89"/>
        <v>0.5</v>
      </c>
      <c r="V118" s="40">
        <f>'PCB Data'!E63</f>
        <v>36</v>
      </c>
      <c r="W118" s="40">
        <f>'PCB Data'!I63</f>
        <v>23</v>
      </c>
      <c r="X118" s="40">
        <f>'PCB Data'!M63</f>
        <v>50</v>
      </c>
      <c r="Y118" s="506">
        <f t="shared" ref="Y118" si="105">V118/W115</f>
        <v>0.75</v>
      </c>
      <c r="Z118" s="74">
        <f t="shared" si="90"/>
        <v>0.87804878048780488</v>
      </c>
    </row>
    <row r="119" spans="1:26" x14ac:dyDescent="0.25">
      <c r="A119" s="497">
        <v>44992</v>
      </c>
      <c r="B119" s="7">
        <f>'PCB Data'!Q64*('PCB Data'!N64/100)</f>
        <v>258.54000000000002</v>
      </c>
      <c r="C119" s="7">
        <f>'PCB Data'!R64*('PCB Data'!O64/100)</f>
        <v>234.09</v>
      </c>
      <c r="D119" s="7">
        <f>'PCB Data'!S64*('PCB Data'!P64/100)</f>
        <v>528.39</v>
      </c>
      <c r="E119" s="74">
        <f t="shared" ref="E119:E151" si="106">B119/C116</f>
        <v>0.79577703222629192</v>
      </c>
      <c r="F119" s="74">
        <f t="shared" ref="F119:F151" si="107">B119/D113</f>
        <v>0.62612612612612617</v>
      </c>
      <c r="G119" s="64">
        <f>'PCB Data'!B64</f>
        <v>30</v>
      </c>
      <c r="H119" s="40">
        <f>'PCB Data'!F64</f>
        <v>31</v>
      </c>
      <c r="I119" s="40">
        <f>'PCB Data'!J64</f>
        <v>56</v>
      </c>
      <c r="J119" s="74">
        <f t="shared" ref="J119:J151" si="108">G119/H116</f>
        <v>0.56603773584905659</v>
      </c>
      <c r="K119" s="74">
        <f t="shared" ref="K119:K151" si="109">G119/I113</f>
        <v>0.46153846153846156</v>
      </c>
      <c r="L119" s="40">
        <f>'PCB Data'!C64</f>
        <v>26</v>
      </c>
      <c r="M119" s="40">
        <f>'PCB Data'!G64</f>
        <v>27</v>
      </c>
      <c r="N119" s="40">
        <f>'PCB Data'!K64</f>
        <v>50</v>
      </c>
      <c r="O119" s="506">
        <f t="shared" ref="O119:O151" si="110">L119/M116</f>
        <v>0.57777777777777772</v>
      </c>
      <c r="P119" s="74">
        <f t="shared" ref="P119:P151" si="111">L119/N113</f>
        <v>0.57777777777777772</v>
      </c>
      <c r="Q119" s="40">
        <f>'PCB Data'!D64</f>
        <v>28</v>
      </c>
      <c r="R119" s="40">
        <f>'PCB Data'!H64</f>
        <v>30</v>
      </c>
      <c r="S119" s="40">
        <f>'PCB Data'!L64</f>
        <v>58</v>
      </c>
      <c r="T119" s="506">
        <f t="shared" ref="T119:T151" si="112">Q119/R116</f>
        <v>0.68292682926829273</v>
      </c>
      <c r="U119" s="74">
        <f t="shared" ref="U119:U151" si="113">Q119/S113</f>
        <v>0.51851851851851849</v>
      </c>
      <c r="V119" s="40">
        <f>'PCB Data'!E64</f>
        <v>36</v>
      </c>
      <c r="W119" s="40">
        <f>'PCB Data'!I64</f>
        <v>33</v>
      </c>
      <c r="X119" s="40">
        <f>'PCB Data'!M64</f>
        <v>59</v>
      </c>
      <c r="Y119" s="506">
        <f t="shared" ref="Y119:Y151" si="114">V119/W116</f>
        <v>0.92307692307692313</v>
      </c>
      <c r="Z119" s="74">
        <f t="shared" ref="Z119:Z151" si="115">V119/X113</f>
        <v>0.9</v>
      </c>
    </row>
    <row r="120" spans="1:26" x14ac:dyDescent="0.25">
      <c r="A120" s="497">
        <v>45020</v>
      </c>
      <c r="B120" s="7">
        <f>'PCB Data'!Q65*('PCB Data'!N65/100)</f>
        <v>371.29999999999995</v>
      </c>
      <c r="C120" s="7">
        <f>'PCB Data'!R65*('PCB Data'!O65/100)</f>
        <v>399.84</v>
      </c>
      <c r="D120" s="7">
        <f>'PCB Data'!S65*('PCB Data'!P65/100)</f>
        <v>432.73</v>
      </c>
      <c r="E120" s="74">
        <f t="shared" si="106"/>
        <v>1.6285087719298244</v>
      </c>
      <c r="F120" s="74">
        <f t="shared" si="107"/>
        <v>0.83310895709926391</v>
      </c>
      <c r="G120" s="64">
        <f>'PCB Data'!B65</f>
        <v>37</v>
      </c>
      <c r="H120" s="40">
        <f>'PCB Data'!F65</f>
        <v>41</v>
      </c>
      <c r="I120" s="40">
        <f>'PCB Data'!J65</f>
        <v>50</v>
      </c>
      <c r="J120" s="74">
        <f t="shared" si="108"/>
        <v>0.82222222222222219</v>
      </c>
      <c r="K120" s="74">
        <f t="shared" si="109"/>
        <v>0.5</v>
      </c>
      <c r="L120" s="40">
        <f>'PCB Data'!C65</f>
        <v>35</v>
      </c>
      <c r="M120" s="40">
        <f>'PCB Data'!G65</f>
        <v>38</v>
      </c>
      <c r="N120" s="40">
        <f>'PCB Data'!K65</f>
        <v>44</v>
      </c>
      <c r="O120" s="506">
        <f t="shared" si="110"/>
        <v>1.5217391304347827</v>
      </c>
      <c r="P120" s="74">
        <f t="shared" si="111"/>
        <v>0.7</v>
      </c>
      <c r="Q120" s="40">
        <f>'PCB Data'!D65</f>
        <v>39</v>
      </c>
      <c r="R120" s="40">
        <f>'PCB Data'!H65</f>
        <v>43</v>
      </c>
      <c r="S120" s="40">
        <f>'PCB Data'!L65</f>
        <v>49</v>
      </c>
      <c r="T120" s="506">
        <f t="shared" si="112"/>
        <v>1.5</v>
      </c>
      <c r="U120" s="74">
        <f t="shared" si="113"/>
        <v>0.65</v>
      </c>
      <c r="V120" s="40">
        <f>'PCB Data'!E65</f>
        <v>41</v>
      </c>
      <c r="W120" s="40">
        <f>'PCB Data'!I65</f>
        <v>45</v>
      </c>
      <c r="X120" s="40">
        <f>'PCB Data'!M65</f>
        <v>52</v>
      </c>
      <c r="Y120" s="506">
        <f t="shared" si="114"/>
        <v>1.3666666666666667</v>
      </c>
      <c r="Z120" s="74">
        <f t="shared" si="115"/>
        <v>1.0789473684210527</v>
      </c>
    </row>
    <row r="121" spans="1:26" x14ac:dyDescent="0.25">
      <c r="A121" s="497">
        <v>45047</v>
      </c>
      <c r="B121" s="7">
        <f>'PCB Data'!Q66*('PCB Data'!N66/100)</f>
        <v>402</v>
      </c>
      <c r="C121" s="7">
        <f>'PCB Data'!R66*('PCB Data'!O66/100)</f>
        <v>428.40000000000003</v>
      </c>
      <c r="D121" s="7">
        <f>'PCB Data'!S66*('PCB Data'!P66/100)</f>
        <v>416.85</v>
      </c>
      <c r="E121" s="74">
        <f t="shared" si="106"/>
        <v>1.3513513513513513</v>
      </c>
      <c r="F121" s="74">
        <f t="shared" si="107"/>
        <v>0.97620203982515796</v>
      </c>
      <c r="G121" s="64">
        <f>'PCB Data'!B66</f>
        <v>48</v>
      </c>
      <c r="H121" s="40">
        <f>'PCB Data'!F66</f>
        <v>49</v>
      </c>
      <c r="I121" s="40">
        <f>'PCB Data'!J66</f>
        <v>48</v>
      </c>
      <c r="J121" s="74">
        <f t="shared" si="108"/>
        <v>1.2307692307692308</v>
      </c>
      <c r="K121" s="74">
        <f t="shared" si="109"/>
        <v>0.71641791044776115</v>
      </c>
      <c r="L121" s="40">
        <f>'PCB Data'!C66</f>
        <v>38</v>
      </c>
      <c r="M121" s="40">
        <f>'PCB Data'!G66</f>
        <v>42</v>
      </c>
      <c r="N121" s="40">
        <f>'PCB Data'!K66</f>
        <v>44</v>
      </c>
      <c r="O121" s="506">
        <f t="shared" si="110"/>
        <v>1.7272727272727273</v>
      </c>
      <c r="P121" s="74">
        <f t="shared" si="111"/>
        <v>0.90476190476190477</v>
      </c>
      <c r="Q121" s="40">
        <f>'PCB Data'!D66</f>
        <v>41</v>
      </c>
      <c r="R121" s="40">
        <f>'PCB Data'!H66</f>
        <v>46</v>
      </c>
      <c r="S121" s="40">
        <f>'PCB Data'!L66</f>
        <v>49</v>
      </c>
      <c r="T121" s="506">
        <f t="shared" si="112"/>
        <v>1.5185185185185186</v>
      </c>
      <c r="U121" s="74">
        <f t="shared" si="113"/>
        <v>0.83673469387755106</v>
      </c>
      <c r="V121" s="40">
        <f>'PCB Data'!E66</f>
        <v>44</v>
      </c>
      <c r="W121" s="40">
        <f>'PCB Data'!I66</f>
        <v>50</v>
      </c>
      <c r="X121" s="40">
        <f>'PCB Data'!M66</f>
        <v>48</v>
      </c>
      <c r="Y121" s="506">
        <f t="shared" si="114"/>
        <v>1.9130434782608696</v>
      </c>
      <c r="Z121" s="74">
        <f t="shared" si="115"/>
        <v>1.0731707317073171</v>
      </c>
    </row>
    <row r="122" spans="1:26" x14ac:dyDescent="0.25">
      <c r="B122" s="7">
        <f>'PCB Data'!Q67*('PCB Data'!N67/100)</f>
        <v>0</v>
      </c>
      <c r="C122" s="7">
        <f>'PCB Data'!R67*('PCB Data'!O67/100)</f>
        <v>0</v>
      </c>
      <c r="D122" s="7">
        <f>'PCB Data'!S67*('PCB Data'!P67/100)</f>
        <v>0</v>
      </c>
      <c r="E122" s="74">
        <f t="shared" si="106"/>
        <v>0</v>
      </c>
      <c r="F122" s="74">
        <f t="shared" si="107"/>
        <v>0</v>
      </c>
      <c r="G122" s="64">
        <f>'PCB Data'!B67</f>
        <v>0</v>
      </c>
      <c r="H122" s="40">
        <f>'PCB Data'!F67</f>
        <v>0</v>
      </c>
      <c r="I122" s="40">
        <f>'PCB Data'!J67</f>
        <v>0</v>
      </c>
      <c r="J122" s="74">
        <f t="shared" si="108"/>
        <v>0</v>
      </c>
      <c r="K122" s="74">
        <f t="shared" si="109"/>
        <v>0</v>
      </c>
      <c r="L122" s="40">
        <f>'PCB Data'!C67</f>
        <v>0</v>
      </c>
      <c r="M122" s="40">
        <f>'PCB Data'!G67</f>
        <v>0</v>
      </c>
      <c r="N122" s="40">
        <f>'PCB Data'!K67</f>
        <v>0</v>
      </c>
      <c r="O122" s="506">
        <f t="shared" si="110"/>
        <v>0</v>
      </c>
      <c r="P122" s="74">
        <f t="shared" si="111"/>
        <v>0</v>
      </c>
      <c r="Q122" s="40">
        <f>'PCB Data'!D67</f>
        <v>0</v>
      </c>
      <c r="R122" s="40">
        <f>'PCB Data'!H67</f>
        <v>0</v>
      </c>
      <c r="S122" s="40">
        <f>'PCB Data'!L67</f>
        <v>0</v>
      </c>
      <c r="T122" s="506">
        <f t="shared" si="112"/>
        <v>0</v>
      </c>
      <c r="U122" s="74">
        <f t="shared" si="113"/>
        <v>0</v>
      </c>
      <c r="V122" s="40">
        <f>'PCB Data'!E67</f>
        <v>0</v>
      </c>
      <c r="W122" s="40">
        <f>'PCB Data'!I67</f>
        <v>0</v>
      </c>
      <c r="X122" s="40">
        <f>'PCB Data'!M67</f>
        <v>0</v>
      </c>
      <c r="Y122" s="506">
        <f t="shared" si="114"/>
        <v>0</v>
      </c>
      <c r="Z122" s="74">
        <f t="shared" si="115"/>
        <v>0</v>
      </c>
    </row>
    <row r="123" spans="1:26" x14ac:dyDescent="0.25">
      <c r="B123" s="7">
        <f>'PCB Data'!Q68*('PCB Data'!N68/100)</f>
        <v>0</v>
      </c>
      <c r="C123" s="7">
        <f>'PCB Data'!R68*('PCB Data'!O68/100)</f>
        <v>0</v>
      </c>
      <c r="D123" s="7">
        <f>'PCB Data'!S68*('PCB Data'!P68/100)</f>
        <v>0</v>
      </c>
      <c r="E123" s="74">
        <f t="shared" si="106"/>
        <v>0</v>
      </c>
      <c r="F123" s="74">
        <f t="shared" si="107"/>
        <v>0</v>
      </c>
      <c r="G123" s="64">
        <f>'PCB Data'!B68</f>
        <v>0</v>
      </c>
      <c r="H123" s="40">
        <f>'PCB Data'!F68</f>
        <v>0</v>
      </c>
      <c r="I123" s="40">
        <f>'PCB Data'!J68</f>
        <v>0</v>
      </c>
      <c r="J123" s="74">
        <f t="shared" si="108"/>
        <v>0</v>
      </c>
      <c r="K123" s="74">
        <f t="shared" si="109"/>
        <v>0</v>
      </c>
      <c r="L123" s="40">
        <f>'PCB Data'!C68</f>
        <v>0</v>
      </c>
      <c r="M123" s="40">
        <f>'PCB Data'!G68</f>
        <v>0</v>
      </c>
      <c r="N123" s="40">
        <f>'PCB Data'!K68</f>
        <v>0</v>
      </c>
      <c r="O123" s="506">
        <f t="shared" si="110"/>
        <v>0</v>
      </c>
      <c r="P123" s="74">
        <f t="shared" si="111"/>
        <v>0</v>
      </c>
      <c r="Q123" s="40">
        <f>'PCB Data'!D68</f>
        <v>0</v>
      </c>
      <c r="R123" s="40">
        <f>'PCB Data'!H68</f>
        <v>0</v>
      </c>
      <c r="S123" s="40">
        <f>'PCB Data'!L68</f>
        <v>0</v>
      </c>
      <c r="T123" s="506">
        <f t="shared" si="112"/>
        <v>0</v>
      </c>
      <c r="U123" s="74">
        <f t="shared" si="113"/>
        <v>0</v>
      </c>
      <c r="V123" s="40">
        <f>'PCB Data'!E68</f>
        <v>0</v>
      </c>
      <c r="W123" s="40">
        <f>'PCB Data'!I68</f>
        <v>0</v>
      </c>
      <c r="X123" s="40">
        <f>'PCB Data'!M68</f>
        <v>0</v>
      </c>
      <c r="Y123" s="506">
        <f t="shared" si="114"/>
        <v>0</v>
      </c>
      <c r="Z123" s="74">
        <f t="shared" si="115"/>
        <v>0</v>
      </c>
    </row>
    <row r="124" spans="1:26" x14ac:dyDescent="0.25">
      <c r="B124" s="7">
        <f>'PCB Data'!Q69*('PCB Data'!N69/100)</f>
        <v>0</v>
      </c>
      <c r="C124" s="7">
        <f>'PCB Data'!R69*('PCB Data'!O69/100)</f>
        <v>0</v>
      </c>
      <c r="D124" s="7">
        <f>'PCB Data'!S69*('PCB Data'!P69/100)</f>
        <v>0</v>
      </c>
      <c r="E124" s="74">
        <f t="shared" si="106"/>
        <v>0</v>
      </c>
      <c r="F124" s="74">
        <f t="shared" si="107"/>
        <v>0</v>
      </c>
      <c r="G124" s="64">
        <f>'PCB Data'!B69</f>
        <v>0</v>
      </c>
      <c r="H124" s="40">
        <f>'PCB Data'!F69</f>
        <v>0</v>
      </c>
      <c r="I124" s="40">
        <f>'PCB Data'!J69</f>
        <v>0</v>
      </c>
      <c r="J124" s="74">
        <f t="shared" si="108"/>
        <v>0</v>
      </c>
      <c r="K124" s="74">
        <f t="shared" si="109"/>
        <v>0</v>
      </c>
      <c r="L124" s="40">
        <f>'PCB Data'!C69</f>
        <v>0</v>
      </c>
      <c r="M124" s="40">
        <f>'PCB Data'!G69</f>
        <v>0</v>
      </c>
      <c r="N124" s="40">
        <f>'PCB Data'!K69</f>
        <v>0</v>
      </c>
      <c r="O124" s="506">
        <f t="shared" si="110"/>
        <v>0</v>
      </c>
      <c r="P124" s="74">
        <f t="shared" si="111"/>
        <v>0</v>
      </c>
      <c r="Q124" s="40">
        <f>'PCB Data'!D69</f>
        <v>0</v>
      </c>
      <c r="R124" s="40">
        <f>'PCB Data'!H69</f>
        <v>0</v>
      </c>
      <c r="S124" s="40">
        <f>'PCB Data'!L69</f>
        <v>0</v>
      </c>
      <c r="T124" s="506">
        <f t="shared" si="112"/>
        <v>0</v>
      </c>
      <c r="U124" s="74">
        <f t="shared" si="113"/>
        <v>0</v>
      </c>
      <c r="V124" s="40">
        <f>'PCB Data'!E69</f>
        <v>0</v>
      </c>
      <c r="W124" s="40">
        <f>'PCB Data'!I69</f>
        <v>0</v>
      </c>
      <c r="X124" s="40">
        <f>'PCB Data'!M69</f>
        <v>0</v>
      </c>
      <c r="Y124" s="506">
        <f t="shared" si="114"/>
        <v>0</v>
      </c>
      <c r="Z124" s="74">
        <f t="shared" si="115"/>
        <v>0</v>
      </c>
    </row>
    <row r="125" spans="1:26" hidden="1" outlineLevel="1" x14ac:dyDescent="0.25">
      <c r="B125" s="7">
        <f>'PCB Data'!Q70*('PCB Data'!N70/100)</f>
        <v>0</v>
      </c>
      <c r="C125" s="7">
        <f>'PCB Data'!R70*('PCB Data'!O70/100)</f>
        <v>0</v>
      </c>
      <c r="D125" s="7">
        <f>'PCB Data'!S70*('PCB Data'!P70/100)</f>
        <v>0</v>
      </c>
      <c r="E125" s="74" t="e">
        <f t="shared" si="106"/>
        <v>#DIV/0!</v>
      </c>
      <c r="F125" s="74">
        <f t="shared" si="107"/>
        <v>0</v>
      </c>
      <c r="G125" s="64">
        <f>'PCB Data'!B70</f>
        <v>0</v>
      </c>
      <c r="H125" s="40">
        <f>'PCB Data'!F70</f>
        <v>0</v>
      </c>
      <c r="I125" s="40">
        <f>'PCB Data'!J70</f>
        <v>0</v>
      </c>
      <c r="J125" s="74" t="e">
        <f t="shared" si="108"/>
        <v>#DIV/0!</v>
      </c>
      <c r="K125" s="74">
        <f t="shared" si="109"/>
        <v>0</v>
      </c>
      <c r="L125" s="40">
        <f>'PCB Data'!C70</f>
        <v>0</v>
      </c>
      <c r="M125" s="40">
        <f>'PCB Data'!G70</f>
        <v>0</v>
      </c>
      <c r="N125" s="40">
        <f>'PCB Data'!K70</f>
        <v>0</v>
      </c>
      <c r="O125" s="506" t="e">
        <f t="shared" si="110"/>
        <v>#DIV/0!</v>
      </c>
      <c r="P125" s="74">
        <f t="shared" si="111"/>
        <v>0</v>
      </c>
      <c r="Q125" s="40">
        <f>'PCB Data'!D70</f>
        <v>0</v>
      </c>
      <c r="R125" s="40">
        <f>'PCB Data'!H70</f>
        <v>0</v>
      </c>
      <c r="S125" s="40">
        <f>'PCB Data'!L70</f>
        <v>0</v>
      </c>
      <c r="T125" s="506" t="e">
        <f t="shared" si="112"/>
        <v>#DIV/0!</v>
      </c>
      <c r="U125" s="74">
        <f t="shared" si="113"/>
        <v>0</v>
      </c>
      <c r="V125" s="40">
        <f>'PCB Data'!E70</f>
        <v>0</v>
      </c>
      <c r="W125" s="40">
        <f>'PCB Data'!I70</f>
        <v>0</v>
      </c>
      <c r="X125" s="40">
        <f>'PCB Data'!M70</f>
        <v>0</v>
      </c>
      <c r="Y125" s="506" t="e">
        <f t="shared" si="114"/>
        <v>#DIV/0!</v>
      </c>
      <c r="Z125" s="74">
        <f t="shared" si="115"/>
        <v>0</v>
      </c>
    </row>
    <row r="126" spans="1:26" hidden="1" outlineLevel="1" x14ac:dyDescent="0.25">
      <c r="B126" s="7">
        <f>'PCB Data'!Q71*('PCB Data'!N71/100)</f>
        <v>0</v>
      </c>
      <c r="C126" s="7">
        <f>'PCB Data'!R71*('PCB Data'!O71/100)</f>
        <v>0</v>
      </c>
      <c r="D126" s="7">
        <f>'PCB Data'!S71*('PCB Data'!P71/100)</f>
        <v>0</v>
      </c>
      <c r="E126" s="74" t="e">
        <f t="shared" si="106"/>
        <v>#DIV/0!</v>
      </c>
      <c r="F126" s="74">
        <f t="shared" si="107"/>
        <v>0</v>
      </c>
      <c r="G126" s="64">
        <f>'PCB Data'!B71</f>
        <v>0</v>
      </c>
      <c r="H126" s="40">
        <f>'PCB Data'!F71</f>
        <v>0</v>
      </c>
      <c r="I126" s="40">
        <f>'PCB Data'!J71</f>
        <v>0</v>
      </c>
      <c r="J126" s="74" t="e">
        <f t="shared" si="108"/>
        <v>#DIV/0!</v>
      </c>
      <c r="K126" s="74">
        <f t="shared" si="109"/>
        <v>0</v>
      </c>
      <c r="L126" s="40">
        <f>'PCB Data'!C71</f>
        <v>0</v>
      </c>
      <c r="M126" s="40">
        <f>'PCB Data'!G71</f>
        <v>0</v>
      </c>
      <c r="N126" s="40">
        <f>'PCB Data'!K71</f>
        <v>0</v>
      </c>
      <c r="O126" s="506" t="e">
        <f t="shared" si="110"/>
        <v>#DIV/0!</v>
      </c>
      <c r="P126" s="74">
        <f t="shared" si="111"/>
        <v>0</v>
      </c>
      <c r="Q126" s="40">
        <f>'PCB Data'!D71</f>
        <v>0</v>
      </c>
      <c r="R126" s="40">
        <f>'PCB Data'!H71</f>
        <v>0</v>
      </c>
      <c r="S126" s="40">
        <f>'PCB Data'!L71</f>
        <v>0</v>
      </c>
      <c r="T126" s="506" t="e">
        <f t="shared" si="112"/>
        <v>#DIV/0!</v>
      </c>
      <c r="U126" s="74">
        <f t="shared" si="113"/>
        <v>0</v>
      </c>
      <c r="V126" s="40">
        <f>'PCB Data'!E71</f>
        <v>0</v>
      </c>
      <c r="W126" s="40">
        <f>'PCB Data'!I71</f>
        <v>0</v>
      </c>
      <c r="X126" s="40">
        <f>'PCB Data'!M71</f>
        <v>0</v>
      </c>
      <c r="Y126" s="506" t="e">
        <f t="shared" si="114"/>
        <v>#DIV/0!</v>
      </c>
      <c r="Z126" s="74">
        <f t="shared" si="115"/>
        <v>0</v>
      </c>
    </row>
    <row r="127" spans="1:26" hidden="1" outlineLevel="1" x14ac:dyDescent="0.25">
      <c r="B127" s="7">
        <f>'PCB Data'!Q72*('PCB Data'!N72/100)</f>
        <v>0</v>
      </c>
      <c r="C127" s="7">
        <f>'PCB Data'!R72*('PCB Data'!O72/100)</f>
        <v>0</v>
      </c>
      <c r="D127" s="7">
        <f>'PCB Data'!S72*('PCB Data'!P72/100)</f>
        <v>0</v>
      </c>
      <c r="E127" s="74" t="e">
        <f t="shared" si="106"/>
        <v>#DIV/0!</v>
      </c>
      <c r="F127" s="74">
        <f t="shared" si="107"/>
        <v>0</v>
      </c>
      <c r="G127" s="64">
        <f>'PCB Data'!B72</f>
        <v>0</v>
      </c>
      <c r="H127" s="40">
        <f>'PCB Data'!F72</f>
        <v>0</v>
      </c>
      <c r="I127" s="40">
        <f>'PCB Data'!J72</f>
        <v>0</v>
      </c>
      <c r="J127" s="74" t="e">
        <f t="shared" si="108"/>
        <v>#DIV/0!</v>
      </c>
      <c r="K127" s="74">
        <f t="shared" si="109"/>
        <v>0</v>
      </c>
      <c r="L127" s="40">
        <f>'PCB Data'!C72</f>
        <v>0</v>
      </c>
      <c r="M127" s="40">
        <f>'PCB Data'!G72</f>
        <v>0</v>
      </c>
      <c r="N127" s="40">
        <f>'PCB Data'!K72</f>
        <v>0</v>
      </c>
      <c r="O127" s="506" t="e">
        <f t="shared" si="110"/>
        <v>#DIV/0!</v>
      </c>
      <c r="P127" s="74">
        <f t="shared" si="111"/>
        <v>0</v>
      </c>
      <c r="Q127" s="40">
        <f>'PCB Data'!D72</f>
        <v>0</v>
      </c>
      <c r="R127" s="40">
        <f>'PCB Data'!H72</f>
        <v>0</v>
      </c>
      <c r="S127" s="40">
        <f>'PCB Data'!L72</f>
        <v>0</v>
      </c>
      <c r="T127" s="506" t="e">
        <f t="shared" si="112"/>
        <v>#DIV/0!</v>
      </c>
      <c r="U127" s="74">
        <f t="shared" si="113"/>
        <v>0</v>
      </c>
      <c r="V127" s="40">
        <f>'PCB Data'!E72</f>
        <v>0</v>
      </c>
      <c r="W127" s="40">
        <f>'PCB Data'!I72</f>
        <v>0</v>
      </c>
      <c r="X127" s="40">
        <f>'PCB Data'!M72</f>
        <v>0</v>
      </c>
      <c r="Y127" s="506" t="e">
        <f t="shared" si="114"/>
        <v>#DIV/0!</v>
      </c>
      <c r="Z127" s="74">
        <f t="shared" si="115"/>
        <v>0</v>
      </c>
    </row>
    <row r="128" spans="1:26" hidden="1" outlineLevel="1" x14ac:dyDescent="0.25">
      <c r="B128" s="7">
        <f>'PCB Data'!Q73*('PCB Data'!N73/100)</f>
        <v>0</v>
      </c>
      <c r="C128" s="7">
        <f>'PCB Data'!R73*('PCB Data'!O73/100)</f>
        <v>0</v>
      </c>
      <c r="D128" s="7">
        <f>'PCB Data'!S73*('PCB Data'!P73/100)</f>
        <v>0</v>
      </c>
      <c r="E128" s="74" t="e">
        <f t="shared" si="106"/>
        <v>#DIV/0!</v>
      </c>
      <c r="F128" s="74" t="e">
        <f t="shared" si="107"/>
        <v>#DIV/0!</v>
      </c>
      <c r="G128" s="64">
        <f>'PCB Data'!B73</f>
        <v>0</v>
      </c>
      <c r="H128" s="40">
        <f>'PCB Data'!F73</f>
        <v>0</v>
      </c>
      <c r="I128" s="40">
        <f>'PCB Data'!J73</f>
        <v>0</v>
      </c>
      <c r="J128" s="74" t="e">
        <f t="shared" si="108"/>
        <v>#DIV/0!</v>
      </c>
      <c r="K128" s="74" t="e">
        <f t="shared" si="109"/>
        <v>#DIV/0!</v>
      </c>
      <c r="L128" s="40">
        <f>'PCB Data'!C73</f>
        <v>0</v>
      </c>
      <c r="M128" s="40">
        <f>'PCB Data'!G73</f>
        <v>0</v>
      </c>
      <c r="N128" s="40">
        <f>'PCB Data'!K73</f>
        <v>0</v>
      </c>
      <c r="O128" s="506" t="e">
        <f t="shared" si="110"/>
        <v>#DIV/0!</v>
      </c>
      <c r="P128" s="74" t="e">
        <f t="shared" si="111"/>
        <v>#DIV/0!</v>
      </c>
      <c r="Q128" s="40">
        <f>'PCB Data'!D73</f>
        <v>0</v>
      </c>
      <c r="R128" s="40">
        <f>'PCB Data'!H73</f>
        <v>0</v>
      </c>
      <c r="S128" s="40">
        <f>'PCB Data'!L73</f>
        <v>0</v>
      </c>
      <c r="T128" s="506" t="e">
        <f t="shared" si="112"/>
        <v>#DIV/0!</v>
      </c>
      <c r="U128" s="74" t="e">
        <f t="shared" si="113"/>
        <v>#DIV/0!</v>
      </c>
      <c r="V128" s="40">
        <f>'PCB Data'!E73</f>
        <v>0</v>
      </c>
      <c r="W128" s="40">
        <f>'PCB Data'!I73</f>
        <v>0</v>
      </c>
      <c r="X128" s="40">
        <f>'PCB Data'!M73</f>
        <v>0</v>
      </c>
      <c r="Y128" s="506" t="e">
        <f t="shared" si="114"/>
        <v>#DIV/0!</v>
      </c>
      <c r="Z128" s="74" t="e">
        <f t="shared" si="115"/>
        <v>#DIV/0!</v>
      </c>
    </row>
    <row r="129" spans="2:26" hidden="1" outlineLevel="1" x14ac:dyDescent="0.25">
      <c r="B129" s="7">
        <f>'PCB Data'!Q74*('PCB Data'!N74/100)</f>
        <v>0</v>
      </c>
      <c r="C129" s="7">
        <f>'PCB Data'!R74*('PCB Data'!O74/100)</f>
        <v>0</v>
      </c>
      <c r="D129" s="7">
        <f>'PCB Data'!S74*('PCB Data'!P74/100)</f>
        <v>0</v>
      </c>
      <c r="E129" s="74" t="e">
        <f t="shared" si="106"/>
        <v>#DIV/0!</v>
      </c>
      <c r="F129" s="74" t="e">
        <f t="shared" si="107"/>
        <v>#DIV/0!</v>
      </c>
      <c r="G129" s="64">
        <f>'PCB Data'!B74</f>
        <v>0</v>
      </c>
      <c r="H129" s="40">
        <f>'PCB Data'!F74</f>
        <v>0</v>
      </c>
      <c r="I129" s="40">
        <f>'PCB Data'!J74</f>
        <v>0</v>
      </c>
      <c r="J129" s="74" t="e">
        <f t="shared" si="108"/>
        <v>#DIV/0!</v>
      </c>
      <c r="K129" s="74" t="e">
        <f t="shared" si="109"/>
        <v>#DIV/0!</v>
      </c>
      <c r="L129" s="40">
        <f>'PCB Data'!C74</f>
        <v>0</v>
      </c>
      <c r="M129" s="40">
        <f>'PCB Data'!G74</f>
        <v>0</v>
      </c>
      <c r="N129" s="40">
        <f>'PCB Data'!K74</f>
        <v>0</v>
      </c>
      <c r="O129" s="506" t="e">
        <f t="shared" si="110"/>
        <v>#DIV/0!</v>
      </c>
      <c r="P129" s="74" t="e">
        <f t="shared" si="111"/>
        <v>#DIV/0!</v>
      </c>
      <c r="Q129" s="40">
        <f>'PCB Data'!D74</f>
        <v>0</v>
      </c>
      <c r="R129" s="40">
        <f>'PCB Data'!H74</f>
        <v>0</v>
      </c>
      <c r="S129" s="40">
        <f>'PCB Data'!L74</f>
        <v>0</v>
      </c>
      <c r="T129" s="506" t="e">
        <f t="shared" si="112"/>
        <v>#DIV/0!</v>
      </c>
      <c r="U129" s="74" t="e">
        <f t="shared" si="113"/>
        <v>#DIV/0!</v>
      </c>
      <c r="V129" s="40">
        <f>'PCB Data'!E74</f>
        <v>0</v>
      </c>
      <c r="W129" s="40">
        <f>'PCB Data'!I74</f>
        <v>0</v>
      </c>
      <c r="X129" s="40">
        <f>'PCB Data'!M74</f>
        <v>0</v>
      </c>
      <c r="Y129" s="506" t="e">
        <f t="shared" si="114"/>
        <v>#DIV/0!</v>
      </c>
      <c r="Z129" s="74" t="e">
        <f t="shared" si="115"/>
        <v>#DIV/0!</v>
      </c>
    </row>
    <row r="130" spans="2:26" hidden="1" outlineLevel="1" x14ac:dyDescent="0.25">
      <c r="B130" s="7">
        <f>'PCB Data'!Q75*('PCB Data'!N75/100)</f>
        <v>0</v>
      </c>
      <c r="C130" s="7">
        <f>'PCB Data'!R75*('PCB Data'!O75/100)</f>
        <v>0</v>
      </c>
      <c r="D130" s="7">
        <f>'PCB Data'!S75*('PCB Data'!P75/100)</f>
        <v>0</v>
      </c>
      <c r="E130" s="74" t="e">
        <f t="shared" si="106"/>
        <v>#DIV/0!</v>
      </c>
      <c r="F130" s="74" t="e">
        <f t="shared" si="107"/>
        <v>#DIV/0!</v>
      </c>
      <c r="G130" s="64">
        <f>'PCB Data'!B75</f>
        <v>0</v>
      </c>
      <c r="H130" s="40">
        <f>'PCB Data'!F75</f>
        <v>0</v>
      </c>
      <c r="I130" s="40">
        <f>'PCB Data'!J75</f>
        <v>0</v>
      </c>
      <c r="J130" s="74" t="e">
        <f t="shared" si="108"/>
        <v>#DIV/0!</v>
      </c>
      <c r="K130" s="74" t="e">
        <f t="shared" si="109"/>
        <v>#DIV/0!</v>
      </c>
      <c r="L130" s="40">
        <f>'PCB Data'!C75</f>
        <v>0</v>
      </c>
      <c r="M130" s="40">
        <f>'PCB Data'!G75</f>
        <v>0</v>
      </c>
      <c r="N130" s="40">
        <f>'PCB Data'!K75</f>
        <v>0</v>
      </c>
      <c r="O130" s="506" t="e">
        <f t="shared" si="110"/>
        <v>#DIV/0!</v>
      </c>
      <c r="P130" s="74" t="e">
        <f t="shared" si="111"/>
        <v>#DIV/0!</v>
      </c>
      <c r="Q130" s="40">
        <f>'PCB Data'!D75</f>
        <v>0</v>
      </c>
      <c r="R130" s="40">
        <f>'PCB Data'!H75</f>
        <v>0</v>
      </c>
      <c r="S130" s="40">
        <f>'PCB Data'!L75</f>
        <v>0</v>
      </c>
      <c r="T130" s="506" t="e">
        <f t="shared" si="112"/>
        <v>#DIV/0!</v>
      </c>
      <c r="U130" s="74" t="e">
        <f t="shared" si="113"/>
        <v>#DIV/0!</v>
      </c>
      <c r="V130" s="40">
        <f>'PCB Data'!E75</f>
        <v>0</v>
      </c>
      <c r="W130" s="40">
        <f>'PCB Data'!I75</f>
        <v>0</v>
      </c>
      <c r="X130" s="40">
        <f>'PCB Data'!M75</f>
        <v>0</v>
      </c>
      <c r="Y130" s="506" t="e">
        <f t="shared" si="114"/>
        <v>#DIV/0!</v>
      </c>
      <c r="Z130" s="74" t="e">
        <f t="shared" si="115"/>
        <v>#DIV/0!</v>
      </c>
    </row>
    <row r="131" spans="2:26" hidden="1" outlineLevel="1" x14ac:dyDescent="0.25">
      <c r="B131" s="7">
        <f>'PCB Data'!Q76*('PCB Data'!N76/100)</f>
        <v>0</v>
      </c>
      <c r="C131" s="7">
        <f>'PCB Data'!R76*('PCB Data'!O76/100)</f>
        <v>0</v>
      </c>
      <c r="D131" s="7">
        <f>'PCB Data'!S76*('PCB Data'!P76/100)</f>
        <v>0</v>
      </c>
      <c r="E131" s="74" t="e">
        <f t="shared" si="106"/>
        <v>#DIV/0!</v>
      </c>
      <c r="F131" s="74" t="e">
        <f t="shared" si="107"/>
        <v>#DIV/0!</v>
      </c>
      <c r="G131" s="64">
        <f>'PCB Data'!B76</f>
        <v>0</v>
      </c>
      <c r="H131" s="40">
        <f>'PCB Data'!F76</f>
        <v>0</v>
      </c>
      <c r="I131" s="40">
        <f>'PCB Data'!J76</f>
        <v>0</v>
      </c>
      <c r="J131" s="74" t="e">
        <f t="shared" si="108"/>
        <v>#DIV/0!</v>
      </c>
      <c r="K131" s="74" t="e">
        <f t="shared" si="109"/>
        <v>#DIV/0!</v>
      </c>
      <c r="L131" s="40">
        <f>'PCB Data'!C76</f>
        <v>0</v>
      </c>
      <c r="M131" s="40">
        <f>'PCB Data'!G76</f>
        <v>0</v>
      </c>
      <c r="N131" s="40">
        <f>'PCB Data'!K76</f>
        <v>0</v>
      </c>
      <c r="O131" s="506" t="e">
        <f t="shared" si="110"/>
        <v>#DIV/0!</v>
      </c>
      <c r="P131" s="74" t="e">
        <f t="shared" si="111"/>
        <v>#DIV/0!</v>
      </c>
      <c r="Q131" s="40">
        <f>'PCB Data'!D76</f>
        <v>0</v>
      </c>
      <c r="R131" s="40">
        <f>'PCB Data'!H76</f>
        <v>0</v>
      </c>
      <c r="S131" s="40">
        <f>'PCB Data'!L76</f>
        <v>0</v>
      </c>
      <c r="T131" s="506" t="e">
        <f t="shared" si="112"/>
        <v>#DIV/0!</v>
      </c>
      <c r="U131" s="74" t="e">
        <f t="shared" si="113"/>
        <v>#DIV/0!</v>
      </c>
      <c r="V131" s="40">
        <f>'PCB Data'!E76</f>
        <v>0</v>
      </c>
      <c r="W131" s="40">
        <f>'PCB Data'!I76</f>
        <v>0</v>
      </c>
      <c r="X131" s="40">
        <f>'PCB Data'!M76</f>
        <v>0</v>
      </c>
      <c r="Y131" s="506" t="e">
        <f t="shared" si="114"/>
        <v>#DIV/0!</v>
      </c>
      <c r="Z131" s="74" t="e">
        <f t="shared" si="115"/>
        <v>#DIV/0!</v>
      </c>
    </row>
    <row r="132" spans="2:26" hidden="1" outlineLevel="1" x14ac:dyDescent="0.25">
      <c r="B132" s="7">
        <f>'PCB Data'!Q77*('PCB Data'!N77/100)</f>
        <v>0</v>
      </c>
      <c r="C132" s="7">
        <f>'PCB Data'!R77*('PCB Data'!O77/100)</f>
        <v>0</v>
      </c>
      <c r="D132" s="7">
        <f>'PCB Data'!S77*('PCB Data'!P77/100)</f>
        <v>0</v>
      </c>
      <c r="E132" s="74" t="e">
        <f t="shared" si="106"/>
        <v>#DIV/0!</v>
      </c>
      <c r="F132" s="74" t="e">
        <f t="shared" si="107"/>
        <v>#DIV/0!</v>
      </c>
      <c r="G132" s="64">
        <f>'PCB Data'!B77</f>
        <v>0</v>
      </c>
      <c r="H132" s="40">
        <f>'PCB Data'!F77</f>
        <v>0</v>
      </c>
      <c r="I132" s="40">
        <f>'PCB Data'!J77</f>
        <v>0</v>
      </c>
      <c r="J132" s="74" t="e">
        <f t="shared" si="108"/>
        <v>#DIV/0!</v>
      </c>
      <c r="K132" s="74" t="e">
        <f t="shared" si="109"/>
        <v>#DIV/0!</v>
      </c>
      <c r="L132" s="40">
        <f>'PCB Data'!C77</f>
        <v>0</v>
      </c>
      <c r="M132" s="40">
        <f>'PCB Data'!G77</f>
        <v>0</v>
      </c>
      <c r="N132" s="40">
        <f>'PCB Data'!K77</f>
        <v>0</v>
      </c>
      <c r="O132" s="506" t="e">
        <f t="shared" si="110"/>
        <v>#DIV/0!</v>
      </c>
      <c r="P132" s="74" t="e">
        <f t="shared" si="111"/>
        <v>#DIV/0!</v>
      </c>
      <c r="Q132" s="40">
        <f>'PCB Data'!D77</f>
        <v>0</v>
      </c>
      <c r="R132" s="40">
        <f>'PCB Data'!H77</f>
        <v>0</v>
      </c>
      <c r="S132" s="40">
        <f>'PCB Data'!L77</f>
        <v>0</v>
      </c>
      <c r="T132" s="506" t="e">
        <f t="shared" si="112"/>
        <v>#DIV/0!</v>
      </c>
      <c r="U132" s="74" t="e">
        <f t="shared" si="113"/>
        <v>#DIV/0!</v>
      </c>
      <c r="V132" s="40">
        <f>'PCB Data'!E77</f>
        <v>0</v>
      </c>
      <c r="W132" s="40">
        <f>'PCB Data'!I77</f>
        <v>0</v>
      </c>
      <c r="X132" s="40">
        <f>'PCB Data'!M77</f>
        <v>0</v>
      </c>
      <c r="Y132" s="506" t="e">
        <f t="shared" si="114"/>
        <v>#DIV/0!</v>
      </c>
      <c r="Z132" s="74" t="e">
        <f t="shared" si="115"/>
        <v>#DIV/0!</v>
      </c>
    </row>
    <row r="133" spans="2:26" hidden="1" outlineLevel="1" x14ac:dyDescent="0.25">
      <c r="B133" s="7">
        <f>'PCB Data'!Q78*('PCB Data'!N78/100)</f>
        <v>0</v>
      </c>
      <c r="C133" s="7">
        <f>'PCB Data'!R78*('PCB Data'!O78/100)</f>
        <v>0</v>
      </c>
      <c r="D133" s="7">
        <f>'PCB Data'!S78*('PCB Data'!P78/100)</f>
        <v>0</v>
      </c>
      <c r="E133" s="74" t="e">
        <f t="shared" si="106"/>
        <v>#DIV/0!</v>
      </c>
      <c r="F133" s="74" t="e">
        <f t="shared" si="107"/>
        <v>#DIV/0!</v>
      </c>
      <c r="G133" s="64">
        <f>'PCB Data'!B78</f>
        <v>0</v>
      </c>
      <c r="H133" s="40">
        <f>'PCB Data'!F78</f>
        <v>0</v>
      </c>
      <c r="I133" s="40">
        <f>'PCB Data'!J78</f>
        <v>0</v>
      </c>
      <c r="J133" s="74" t="e">
        <f t="shared" si="108"/>
        <v>#DIV/0!</v>
      </c>
      <c r="K133" s="74" t="e">
        <f t="shared" si="109"/>
        <v>#DIV/0!</v>
      </c>
      <c r="L133" s="40">
        <f>'PCB Data'!C78</f>
        <v>0</v>
      </c>
      <c r="M133" s="40">
        <f>'PCB Data'!G78</f>
        <v>0</v>
      </c>
      <c r="N133" s="40">
        <f>'PCB Data'!K78</f>
        <v>0</v>
      </c>
      <c r="O133" s="506" t="e">
        <f t="shared" si="110"/>
        <v>#DIV/0!</v>
      </c>
      <c r="P133" s="74" t="e">
        <f t="shared" si="111"/>
        <v>#DIV/0!</v>
      </c>
      <c r="Q133" s="40">
        <f>'PCB Data'!D78</f>
        <v>0</v>
      </c>
      <c r="R133" s="40">
        <f>'PCB Data'!H78</f>
        <v>0</v>
      </c>
      <c r="S133" s="40">
        <f>'PCB Data'!L78</f>
        <v>0</v>
      </c>
      <c r="T133" s="506" t="e">
        <f t="shared" si="112"/>
        <v>#DIV/0!</v>
      </c>
      <c r="U133" s="74" t="e">
        <f t="shared" si="113"/>
        <v>#DIV/0!</v>
      </c>
      <c r="V133" s="40">
        <f>'PCB Data'!E78</f>
        <v>0</v>
      </c>
      <c r="W133" s="40">
        <f>'PCB Data'!I78</f>
        <v>0</v>
      </c>
      <c r="X133" s="40">
        <f>'PCB Data'!M78</f>
        <v>0</v>
      </c>
      <c r="Y133" s="506" t="e">
        <f t="shared" si="114"/>
        <v>#DIV/0!</v>
      </c>
      <c r="Z133" s="74" t="e">
        <f t="shared" si="115"/>
        <v>#DIV/0!</v>
      </c>
    </row>
    <row r="134" spans="2:26" hidden="1" outlineLevel="1" x14ac:dyDescent="0.25">
      <c r="B134" s="7">
        <f>'PCB Data'!Q79*('PCB Data'!N79/100)</f>
        <v>0</v>
      </c>
      <c r="C134" s="7">
        <f>'PCB Data'!R79*('PCB Data'!O79/100)</f>
        <v>0</v>
      </c>
      <c r="D134" s="7">
        <f>'PCB Data'!S79*('PCB Data'!P79/100)</f>
        <v>0</v>
      </c>
      <c r="E134" s="74" t="e">
        <f t="shared" si="106"/>
        <v>#DIV/0!</v>
      </c>
      <c r="F134" s="74" t="e">
        <f t="shared" si="107"/>
        <v>#DIV/0!</v>
      </c>
      <c r="G134" s="64">
        <f>'PCB Data'!B79</f>
        <v>0</v>
      </c>
      <c r="H134" s="40">
        <f>'PCB Data'!F79</f>
        <v>0</v>
      </c>
      <c r="I134" s="40">
        <f>'PCB Data'!J79</f>
        <v>0</v>
      </c>
      <c r="J134" s="74" t="e">
        <f t="shared" si="108"/>
        <v>#DIV/0!</v>
      </c>
      <c r="K134" s="74" t="e">
        <f t="shared" si="109"/>
        <v>#DIV/0!</v>
      </c>
      <c r="L134" s="40">
        <f>'PCB Data'!C79</f>
        <v>0</v>
      </c>
      <c r="M134" s="40">
        <f>'PCB Data'!G79</f>
        <v>0</v>
      </c>
      <c r="N134" s="40">
        <f>'PCB Data'!K79</f>
        <v>0</v>
      </c>
      <c r="O134" s="506" t="e">
        <f t="shared" si="110"/>
        <v>#DIV/0!</v>
      </c>
      <c r="P134" s="74" t="e">
        <f t="shared" si="111"/>
        <v>#DIV/0!</v>
      </c>
      <c r="Q134" s="40">
        <f>'PCB Data'!D79</f>
        <v>0</v>
      </c>
      <c r="R134" s="40">
        <f>'PCB Data'!H79</f>
        <v>0</v>
      </c>
      <c r="S134" s="40">
        <f>'PCB Data'!L79</f>
        <v>0</v>
      </c>
      <c r="T134" s="506" t="e">
        <f t="shared" si="112"/>
        <v>#DIV/0!</v>
      </c>
      <c r="U134" s="74" t="e">
        <f t="shared" si="113"/>
        <v>#DIV/0!</v>
      </c>
      <c r="V134" s="40">
        <f>'PCB Data'!E79</f>
        <v>0</v>
      </c>
      <c r="W134" s="40">
        <f>'PCB Data'!I79</f>
        <v>0</v>
      </c>
      <c r="X134" s="40">
        <f>'PCB Data'!M79</f>
        <v>0</v>
      </c>
      <c r="Y134" s="506" t="e">
        <f t="shared" si="114"/>
        <v>#DIV/0!</v>
      </c>
      <c r="Z134" s="74" t="e">
        <f t="shared" si="115"/>
        <v>#DIV/0!</v>
      </c>
    </row>
    <row r="135" spans="2:26" hidden="1" outlineLevel="1" x14ac:dyDescent="0.25">
      <c r="B135" s="7">
        <f>'PCB Data'!Q80*('PCB Data'!N80/100)</f>
        <v>0</v>
      </c>
      <c r="C135" s="7">
        <f>'PCB Data'!R80*('PCB Data'!O80/100)</f>
        <v>0</v>
      </c>
      <c r="D135" s="7">
        <f>'PCB Data'!S80*('PCB Data'!P80/100)</f>
        <v>0</v>
      </c>
      <c r="E135" s="74" t="e">
        <f t="shared" si="106"/>
        <v>#DIV/0!</v>
      </c>
      <c r="F135" s="74" t="e">
        <f t="shared" si="107"/>
        <v>#DIV/0!</v>
      </c>
      <c r="G135" s="64">
        <f>'PCB Data'!B80</f>
        <v>0</v>
      </c>
      <c r="H135" s="40">
        <f>'PCB Data'!F80</f>
        <v>0</v>
      </c>
      <c r="I135" s="40">
        <f>'PCB Data'!J80</f>
        <v>0</v>
      </c>
      <c r="J135" s="74" t="e">
        <f t="shared" si="108"/>
        <v>#DIV/0!</v>
      </c>
      <c r="K135" s="74" t="e">
        <f t="shared" si="109"/>
        <v>#DIV/0!</v>
      </c>
      <c r="L135" s="40">
        <f>'PCB Data'!C80</f>
        <v>0</v>
      </c>
      <c r="M135" s="40">
        <f>'PCB Data'!G80</f>
        <v>0</v>
      </c>
      <c r="N135" s="40">
        <f>'PCB Data'!K80</f>
        <v>0</v>
      </c>
      <c r="O135" s="506" t="e">
        <f t="shared" si="110"/>
        <v>#DIV/0!</v>
      </c>
      <c r="P135" s="74" t="e">
        <f t="shared" si="111"/>
        <v>#DIV/0!</v>
      </c>
      <c r="Q135" s="40">
        <f>'PCB Data'!D80</f>
        <v>0</v>
      </c>
      <c r="R135" s="40">
        <f>'PCB Data'!H80</f>
        <v>0</v>
      </c>
      <c r="S135" s="40">
        <f>'PCB Data'!L80</f>
        <v>0</v>
      </c>
      <c r="T135" s="506" t="e">
        <f t="shared" si="112"/>
        <v>#DIV/0!</v>
      </c>
      <c r="U135" s="74" t="e">
        <f t="shared" si="113"/>
        <v>#DIV/0!</v>
      </c>
      <c r="V135" s="40">
        <f>'PCB Data'!E80</f>
        <v>0</v>
      </c>
      <c r="W135" s="40">
        <f>'PCB Data'!I80</f>
        <v>0</v>
      </c>
      <c r="X135" s="40">
        <f>'PCB Data'!M80</f>
        <v>0</v>
      </c>
      <c r="Y135" s="506" t="e">
        <f t="shared" si="114"/>
        <v>#DIV/0!</v>
      </c>
      <c r="Z135" s="74" t="e">
        <f t="shared" si="115"/>
        <v>#DIV/0!</v>
      </c>
    </row>
    <row r="136" spans="2:26" hidden="1" outlineLevel="1" x14ac:dyDescent="0.25">
      <c r="B136" s="7">
        <f>'PCB Data'!Q81*('PCB Data'!N81/100)</f>
        <v>0</v>
      </c>
      <c r="C136" s="7">
        <f>'PCB Data'!R81*('PCB Data'!O81/100)</f>
        <v>0</v>
      </c>
      <c r="D136" s="7">
        <f>'PCB Data'!S81*('PCB Data'!P81/100)</f>
        <v>0</v>
      </c>
      <c r="E136" s="74" t="e">
        <f t="shared" si="106"/>
        <v>#DIV/0!</v>
      </c>
      <c r="F136" s="74" t="e">
        <f t="shared" si="107"/>
        <v>#DIV/0!</v>
      </c>
      <c r="G136" s="64">
        <f>'PCB Data'!B81</f>
        <v>0</v>
      </c>
      <c r="H136" s="40">
        <f>'PCB Data'!F81</f>
        <v>0</v>
      </c>
      <c r="I136" s="40">
        <f>'PCB Data'!J81</f>
        <v>0</v>
      </c>
      <c r="J136" s="74" t="e">
        <f t="shared" si="108"/>
        <v>#DIV/0!</v>
      </c>
      <c r="K136" s="74" t="e">
        <f t="shared" si="109"/>
        <v>#DIV/0!</v>
      </c>
      <c r="L136" s="40">
        <f>'PCB Data'!C81</f>
        <v>0</v>
      </c>
      <c r="M136" s="40">
        <f>'PCB Data'!G81</f>
        <v>0</v>
      </c>
      <c r="N136" s="40">
        <f>'PCB Data'!K81</f>
        <v>0</v>
      </c>
      <c r="O136" s="506" t="e">
        <f t="shared" si="110"/>
        <v>#DIV/0!</v>
      </c>
      <c r="P136" s="74" t="e">
        <f t="shared" si="111"/>
        <v>#DIV/0!</v>
      </c>
      <c r="Q136" s="40">
        <f>'PCB Data'!D81</f>
        <v>0</v>
      </c>
      <c r="R136" s="40">
        <f>'PCB Data'!H81</f>
        <v>0</v>
      </c>
      <c r="S136" s="40">
        <f>'PCB Data'!L81</f>
        <v>0</v>
      </c>
      <c r="T136" s="506" t="e">
        <f t="shared" si="112"/>
        <v>#DIV/0!</v>
      </c>
      <c r="U136" s="74" t="e">
        <f t="shared" si="113"/>
        <v>#DIV/0!</v>
      </c>
      <c r="V136" s="40">
        <f>'PCB Data'!E81</f>
        <v>0</v>
      </c>
      <c r="W136" s="40">
        <f>'PCB Data'!I81</f>
        <v>0</v>
      </c>
      <c r="X136" s="40">
        <f>'PCB Data'!M81</f>
        <v>0</v>
      </c>
      <c r="Y136" s="506" t="e">
        <f t="shared" si="114"/>
        <v>#DIV/0!</v>
      </c>
      <c r="Z136" s="74" t="e">
        <f t="shared" si="115"/>
        <v>#DIV/0!</v>
      </c>
    </row>
    <row r="137" spans="2:26" hidden="1" outlineLevel="1" x14ac:dyDescent="0.25">
      <c r="B137" s="7">
        <f>'PCB Data'!Q82*('PCB Data'!N82/100)</f>
        <v>0</v>
      </c>
      <c r="C137" s="7">
        <f>'PCB Data'!R82*('PCB Data'!O82/100)</f>
        <v>0</v>
      </c>
      <c r="D137" s="7">
        <f>'PCB Data'!S82*('PCB Data'!P82/100)</f>
        <v>0</v>
      </c>
      <c r="E137" s="74" t="e">
        <f t="shared" si="106"/>
        <v>#DIV/0!</v>
      </c>
      <c r="F137" s="74" t="e">
        <f t="shared" si="107"/>
        <v>#DIV/0!</v>
      </c>
      <c r="G137" s="64">
        <f>'PCB Data'!B82</f>
        <v>0</v>
      </c>
      <c r="H137" s="40">
        <f>'PCB Data'!F82</f>
        <v>0</v>
      </c>
      <c r="I137" s="40">
        <f>'PCB Data'!J82</f>
        <v>0</v>
      </c>
      <c r="J137" s="74" t="e">
        <f t="shared" si="108"/>
        <v>#DIV/0!</v>
      </c>
      <c r="K137" s="74" t="e">
        <f t="shared" si="109"/>
        <v>#DIV/0!</v>
      </c>
      <c r="L137" s="40">
        <f>'PCB Data'!C82</f>
        <v>0</v>
      </c>
      <c r="M137" s="40">
        <f>'PCB Data'!G82</f>
        <v>0</v>
      </c>
      <c r="N137" s="40">
        <f>'PCB Data'!K82</f>
        <v>0</v>
      </c>
      <c r="O137" s="506" t="e">
        <f t="shared" si="110"/>
        <v>#DIV/0!</v>
      </c>
      <c r="P137" s="74" t="e">
        <f t="shared" si="111"/>
        <v>#DIV/0!</v>
      </c>
      <c r="Q137" s="40">
        <f>'PCB Data'!D82</f>
        <v>0</v>
      </c>
      <c r="R137" s="40">
        <f>'PCB Data'!H82</f>
        <v>0</v>
      </c>
      <c r="S137" s="40">
        <f>'PCB Data'!L82</f>
        <v>0</v>
      </c>
      <c r="T137" s="506" t="e">
        <f t="shared" si="112"/>
        <v>#DIV/0!</v>
      </c>
      <c r="U137" s="74" t="e">
        <f t="shared" si="113"/>
        <v>#DIV/0!</v>
      </c>
      <c r="V137" s="40">
        <f>'PCB Data'!E82</f>
        <v>0</v>
      </c>
      <c r="W137" s="40">
        <f>'PCB Data'!I82</f>
        <v>0</v>
      </c>
      <c r="X137" s="40">
        <f>'PCB Data'!M82</f>
        <v>0</v>
      </c>
      <c r="Y137" s="506" t="e">
        <f t="shared" si="114"/>
        <v>#DIV/0!</v>
      </c>
      <c r="Z137" s="74" t="e">
        <f t="shared" si="115"/>
        <v>#DIV/0!</v>
      </c>
    </row>
    <row r="138" spans="2:26" hidden="1" outlineLevel="1" x14ac:dyDescent="0.25">
      <c r="B138" s="7">
        <f>'PCB Data'!Q83*('PCB Data'!N83/100)</f>
        <v>0</v>
      </c>
      <c r="C138" s="7">
        <f>'PCB Data'!R83*('PCB Data'!O83/100)</f>
        <v>0</v>
      </c>
      <c r="D138" s="7">
        <f>'PCB Data'!S83*('PCB Data'!P83/100)</f>
        <v>0</v>
      </c>
      <c r="E138" s="74" t="e">
        <f t="shared" si="106"/>
        <v>#DIV/0!</v>
      </c>
      <c r="F138" s="74" t="e">
        <f t="shared" si="107"/>
        <v>#DIV/0!</v>
      </c>
      <c r="G138" s="64">
        <f>'PCB Data'!B83</f>
        <v>0</v>
      </c>
      <c r="H138" s="40">
        <f>'PCB Data'!F83</f>
        <v>0</v>
      </c>
      <c r="I138" s="40">
        <f>'PCB Data'!J83</f>
        <v>0</v>
      </c>
      <c r="J138" s="74" t="e">
        <f t="shared" si="108"/>
        <v>#DIV/0!</v>
      </c>
      <c r="K138" s="74" t="e">
        <f t="shared" si="109"/>
        <v>#DIV/0!</v>
      </c>
      <c r="L138" s="40">
        <f>'PCB Data'!C83</f>
        <v>0</v>
      </c>
      <c r="M138" s="40">
        <f>'PCB Data'!G83</f>
        <v>0</v>
      </c>
      <c r="N138" s="40">
        <f>'PCB Data'!K83</f>
        <v>0</v>
      </c>
      <c r="O138" s="506" t="e">
        <f t="shared" si="110"/>
        <v>#DIV/0!</v>
      </c>
      <c r="P138" s="74" t="e">
        <f t="shared" si="111"/>
        <v>#DIV/0!</v>
      </c>
      <c r="Q138" s="40">
        <f>'PCB Data'!D83</f>
        <v>0</v>
      </c>
      <c r="R138" s="40">
        <f>'PCB Data'!H83</f>
        <v>0</v>
      </c>
      <c r="S138" s="40">
        <f>'PCB Data'!L83</f>
        <v>0</v>
      </c>
      <c r="T138" s="506" t="e">
        <f t="shared" si="112"/>
        <v>#DIV/0!</v>
      </c>
      <c r="U138" s="74" t="e">
        <f t="shared" si="113"/>
        <v>#DIV/0!</v>
      </c>
      <c r="V138" s="40">
        <f>'PCB Data'!E83</f>
        <v>0</v>
      </c>
      <c r="W138" s="40">
        <f>'PCB Data'!I83</f>
        <v>0</v>
      </c>
      <c r="X138" s="40">
        <f>'PCB Data'!M83</f>
        <v>0</v>
      </c>
      <c r="Y138" s="506" t="e">
        <f t="shared" si="114"/>
        <v>#DIV/0!</v>
      </c>
      <c r="Z138" s="74" t="e">
        <f t="shared" si="115"/>
        <v>#DIV/0!</v>
      </c>
    </row>
    <row r="139" spans="2:26" hidden="1" outlineLevel="1" x14ac:dyDescent="0.25">
      <c r="B139" s="7">
        <f>'PCB Data'!Q84*('PCB Data'!N84/100)</f>
        <v>0</v>
      </c>
      <c r="C139" s="7">
        <f>'PCB Data'!R84*('PCB Data'!O84/100)</f>
        <v>0</v>
      </c>
      <c r="D139" s="7">
        <f>'PCB Data'!S84*('PCB Data'!P84/100)</f>
        <v>0</v>
      </c>
      <c r="E139" s="74" t="e">
        <f t="shared" si="106"/>
        <v>#DIV/0!</v>
      </c>
      <c r="F139" s="74" t="e">
        <f t="shared" si="107"/>
        <v>#DIV/0!</v>
      </c>
      <c r="G139" s="64">
        <f>'PCB Data'!B84</f>
        <v>0</v>
      </c>
      <c r="H139" s="40">
        <f>'PCB Data'!F84</f>
        <v>0</v>
      </c>
      <c r="I139" s="40">
        <f>'PCB Data'!J84</f>
        <v>0</v>
      </c>
      <c r="J139" s="74" t="e">
        <f t="shared" si="108"/>
        <v>#DIV/0!</v>
      </c>
      <c r="K139" s="74" t="e">
        <f t="shared" si="109"/>
        <v>#DIV/0!</v>
      </c>
      <c r="L139" s="40">
        <f>'PCB Data'!C84</f>
        <v>0</v>
      </c>
      <c r="M139" s="40">
        <f>'PCB Data'!G84</f>
        <v>0</v>
      </c>
      <c r="N139" s="40">
        <f>'PCB Data'!K84</f>
        <v>0</v>
      </c>
      <c r="O139" s="506" t="e">
        <f t="shared" si="110"/>
        <v>#DIV/0!</v>
      </c>
      <c r="P139" s="74" t="e">
        <f t="shared" si="111"/>
        <v>#DIV/0!</v>
      </c>
      <c r="Q139" s="40">
        <f>'PCB Data'!D84</f>
        <v>0</v>
      </c>
      <c r="R139" s="40">
        <f>'PCB Data'!H84</f>
        <v>0</v>
      </c>
      <c r="S139" s="40">
        <f>'PCB Data'!L84</f>
        <v>0</v>
      </c>
      <c r="T139" s="506" t="e">
        <f t="shared" si="112"/>
        <v>#DIV/0!</v>
      </c>
      <c r="U139" s="74" t="e">
        <f t="shared" si="113"/>
        <v>#DIV/0!</v>
      </c>
      <c r="V139" s="40">
        <f>'PCB Data'!E84</f>
        <v>0</v>
      </c>
      <c r="W139" s="40">
        <f>'PCB Data'!I84</f>
        <v>0</v>
      </c>
      <c r="X139" s="40">
        <f>'PCB Data'!M84</f>
        <v>0</v>
      </c>
      <c r="Y139" s="506" t="e">
        <f t="shared" si="114"/>
        <v>#DIV/0!</v>
      </c>
      <c r="Z139" s="74" t="e">
        <f t="shared" si="115"/>
        <v>#DIV/0!</v>
      </c>
    </row>
    <row r="140" spans="2:26" hidden="1" outlineLevel="1" x14ac:dyDescent="0.25">
      <c r="B140" s="7">
        <f>'PCB Data'!Q85*('PCB Data'!N85/100)</f>
        <v>0</v>
      </c>
      <c r="C140" s="7">
        <f>'PCB Data'!R85*('PCB Data'!O85/100)</f>
        <v>0</v>
      </c>
      <c r="D140" s="7">
        <f>'PCB Data'!S85*('PCB Data'!P85/100)</f>
        <v>0</v>
      </c>
      <c r="E140" s="74" t="e">
        <f t="shared" si="106"/>
        <v>#DIV/0!</v>
      </c>
      <c r="F140" s="74" t="e">
        <f t="shared" si="107"/>
        <v>#DIV/0!</v>
      </c>
      <c r="G140" s="64">
        <f>'PCB Data'!B85</f>
        <v>0</v>
      </c>
      <c r="H140" s="40">
        <f>'PCB Data'!F85</f>
        <v>0</v>
      </c>
      <c r="I140" s="40">
        <f>'PCB Data'!J85</f>
        <v>0</v>
      </c>
      <c r="J140" s="74" t="e">
        <f t="shared" si="108"/>
        <v>#DIV/0!</v>
      </c>
      <c r="K140" s="74" t="e">
        <f t="shared" si="109"/>
        <v>#DIV/0!</v>
      </c>
      <c r="L140" s="40">
        <f>'PCB Data'!C85</f>
        <v>0</v>
      </c>
      <c r="M140" s="40">
        <f>'PCB Data'!G85</f>
        <v>0</v>
      </c>
      <c r="N140" s="40">
        <f>'PCB Data'!K85</f>
        <v>0</v>
      </c>
      <c r="O140" s="506" t="e">
        <f t="shared" si="110"/>
        <v>#DIV/0!</v>
      </c>
      <c r="P140" s="74" t="e">
        <f t="shared" si="111"/>
        <v>#DIV/0!</v>
      </c>
      <c r="Q140" s="40">
        <f>'PCB Data'!D85</f>
        <v>0</v>
      </c>
      <c r="R140" s="40">
        <f>'PCB Data'!H85</f>
        <v>0</v>
      </c>
      <c r="S140" s="40">
        <f>'PCB Data'!L85</f>
        <v>0</v>
      </c>
      <c r="T140" s="506" t="e">
        <f t="shared" si="112"/>
        <v>#DIV/0!</v>
      </c>
      <c r="U140" s="74" t="e">
        <f t="shared" si="113"/>
        <v>#DIV/0!</v>
      </c>
      <c r="V140" s="40">
        <f>'PCB Data'!E85</f>
        <v>0</v>
      </c>
      <c r="W140" s="40">
        <f>'PCB Data'!I85</f>
        <v>0</v>
      </c>
      <c r="X140" s="40">
        <f>'PCB Data'!M85</f>
        <v>0</v>
      </c>
      <c r="Y140" s="506" t="e">
        <f t="shared" si="114"/>
        <v>#DIV/0!</v>
      </c>
      <c r="Z140" s="74" t="e">
        <f t="shared" si="115"/>
        <v>#DIV/0!</v>
      </c>
    </row>
    <row r="141" spans="2:26" hidden="1" outlineLevel="1" x14ac:dyDescent="0.25">
      <c r="B141" s="7">
        <f>'PCB Data'!Q86*('PCB Data'!N86/100)</f>
        <v>0</v>
      </c>
      <c r="C141" s="7">
        <f>'PCB Data'!R86*('PCB Data'!O86/100)</f>
        <v>0</v>
      </c>
      <c r="D141" s="7">
        <f>'PCB Data'!S86*('PCB Data'!P86/100)</f>
        <v>0</v>
      </c>
      <c r="E141" s="74" t="e">
        <f t="shared" si="106"/>
        <v>#DIV/0!</v>
      </c>
      <c r="F141" s="74" t="e">
        <f t="shared" si="107"/>
        <v>#DIV/0!</v>
      </c>
      <c r="G141" s="64">
        <f>'PCB Data'!B86</f>
        <v>0</v>
      </c>
      <c r="H141" s="40">
        <f>'PCB Data'!F86</f>
        <v>0</v>
      </c>
      <c r="I141" s="40">
        <f>'PCB Data'!J86</f>
        <v>0</v>
      </c>
      <c r="J141" s="74" t="e">
        <f t="shared" si="108"/>
        <v>#DIV/0!</v>
      </c>
      <c r="K141" s="74" t="e">
        <f t="shared" si="109"/>
        <v>#DIV/0!</v>
      </c>
      <c r="L141" s="40">
        <f>'PCB Data'!C86</f>
        <v>0</v>
      </c>
      <c r="M141" s="40">
        <f>'PCB Data'!G86</f>
        <v>0</v>
      </c>
      <c r="N141" s="40">
        <f>'PCB Data'!K86</f>
        <v>0</v>
      </c>
      <c r="O141" s="506" t="e">
        <f t="shared" si="110"/>
        <v>#DIV/0!</v>
      </c>
      <c r="P141" s="74" t="e">
        <f t="shared" si="111"/>
        <v>#DIV/0!</v>
      </c>
      <c r="Q141" s="40">
        <f>'PCB Data'!D86</f>
        <v>0</v>
      </c>
      <c r="R141" s="40">
        <f>'PCB Data'!H86</f>
        <v>0</v>
      </c>
      <c r="S141" s="40">
        <f>'PCB Data'!L86</f>
        <v>0</v>
      </c>
      <c r="T141" s="506" t="e">
        <f t="shared" si="112"/>
        <v>#DIV/0!</v>
      </c>
      <c r="U141" s="74" t="e">
        <f t="shared" si="113"/>
        <v>#DIV/0!</v>
      </c>
      <c r="V141" s="40">
        <f>'PCB Data'!E86</f>
        <v>0</v>
      </c>
      <c r="W141" s="40">
        <f>'PCB Data'!I86</f>
        <v>0</v>
      </c>
      <c r="X141" s="40">
        <f>'PCB Data'!M86</f>
        <v>0</v>
      </c>
      <c r="Y141" s="506" t="e">
        <f t="shared" si="114"/>
        <v>#DIV/0!</v>
      </c>
      <c r="Z141" s="74" t="e">
        <f t="shared" si="115"/>
        <v>#DIV/0!</v>
      </c>
    </row>
    <row r="142" spans="2:26" hidden="1" outlineLevel="1" x14ac:dyDescent="0.25">
      <c r="B142" s="7">
        <f>'PCB Data'!Q87*('PCB Data'!N87/100)</f>
        <v>0</v>
      </c>
      <c r="C142" s="7">
        <f>'PCB Data'!R87*('PCB Data'!O87/100)</f>
        <v>0</v>
      </c>
      <c r="D142" s="7">
        <f>'PCB Data'!S87*('PCB Data'!P87/100)</f>
        <v>0</v>
      </c>
      <c r="E142" s="74" t="e">
        <f t="shared" si="106"/>
        <v>#DIV/0!</v>
      </c>
      <c r="F142" s="74" t="e">
        <f t="shared" si="107"/>
        <v>#DIV/0!</v>
      </c>
      <c r="G142" s="64">
        <f>'PCB Data'!B87</f>
        <v>0</v>
      </c>
      <c r="H142" s="40">
        <f>'PCB Data'!F87</f>
        <v>0</v>
      </c>
      <c r="I142" s="40">
        <f>'PCB Data'!J87</f>
        <v>0</v>
      </c>
      <c r="J142" s="74" t="e">
        <f t="shared" si="108"/>
        <v>#DIV/0!</v>
      </c>
      <c r="K142" s="74" t="e">
        <f t="shared" si="109"/>
        <v>#DIV/0!</v>
      </c>
      <c r="L142" s="40">
        <f>'PCB Data'!C87</f>
        <v>0</v>
      </c>
      <c r="M142" s="40">
        <f>'PCB Data'!G87</f>
        <v>0</v>
      </c>
      <c r="N142" s="40">
        <f>'PCB Data'!K87</f>
        <v>0</v>
      </c>
      <c r="O142" s="506" t="e">
        <f t="shared" si="110"/>
        <v>#DIV/0!</v>
      </c>
      <c r="P142" s="74" t="e">
        <f t="shared" si="111"/>
        <v>#DIV/0!</v>
      </c>
      <c r="Q142" s="40">
        <f>'PCB Data'!D87</f>
        <v>0</v>
      </c>
      <c r="R142" s="40">
        <f>'PCB Data'!H87</f>
        <v>0</v>
      </c>
      <c r="S142" s="40">
        <f>'PCB Data'!L87</f>
        <v>0</v>
      </c>
      <c r="T142" s="506" t="e">
        <f t="shared" si="112"/>
        <v>#DIV/0!</v>
      </c>
      <c r="U142" s="74" t="e">
        <f t="shared" si="113"/>
        <v>#DIV/0!</v>
      </c>
      <c r="V142" s="40">
        <f>'PCB Data'!E87</f>
        <v>0</v>
      </c>
      <c r="W142" s="40">
        <f>'PCB Data'!I87</f>
        <v>0</v>
      </c>
      <c r="X142" s="40">
        <f>'PCB Data'!M87</f>
        <v>0</v>
      </c>
      <c r="Y142" s="506" t="e">
        <f t="shared" si="114"/>
        <v>#DIV/0!</v>
      </c>
      <c r="Z142" s="74" t="e">
        <f t="shared" si="115"/>
        <v>#DIV/0!</v>
      </c>
    </row>
    <row r="143" spans="2:26" hidden="1" outlineLevel="1" x14ac:dyDescent="0.25">
      <c r="B143" s="7">
        <f>'PCB Data'!Q88*('PCB Data'!N88/100)</f>
        <v>0</v>
      </c>
      <c r="C143" s="7">
        <f>'PCB Data'!R88*('PCB Data'!O88/100)</f>
        <v>0</v>
      </c>
      <c r="D143" s="7">
        <f>'PCB Data'!S88*('PCB Data'!P88/100)</f>
        <v>0</v>
      </c>
      <c r="E143" s="74" t="e">
        <f t="shared" si="106"/>
        <v>#DIV/0!</v>
      </c>
      <c r="F143" s="74" t="e">
        <f t="shared" si="107"/>
        <v>#DIV/0!</v>
      </c>
      <c r="G143" s="64">
        <f>'PCB Data'!B88</f>
        <v>0</v>
      </c>
      <c r="H143" s="40">
        <f>'PCB Data'!F88</f>
        <v>0</v>
      </c>
      <c r="I143" s="40">
        <f>'PCB Data'!J88</f>
        <v>0</v>
      </c>
      <c r="J143" s="74" t="e">
        <f t="shared" si="108"/>
        <v>#DIV/0!</v>
      </c>
      <c r="K143" s="74" t="e">
        <f t="shared" si="109"/>
        <v>#DIV/0!</v>
      </c>
      <c r="L143" s="40">
        <f>'PCB Data'!C88</f>
        <v>0</v>
      </c>
      <c r="M143" s="40">
        <f>'PCB Data'!G88</f>
        <v>0</v>
      </c>
      <c r="N143" s="40">
        <f>'PCB Data'!K88</f>
        <v>0</v>
      </c>
      <c r="O143" s="506" t="e">
        <f t="shared" si="110"/>
        <v>#DIV/0!</v>
      </c>
      <c r="P143" s="74" t="e">
        <f t="shared" si="111"/>
        <v>#DIV/0!</v>
      </c>
      <c r="Q143" s="40">
        <f>'PCB Data'!D88</f>
        <v>0</v>
      </c>
      <c r="R143" s="40">
        <f>'PCB Data'!H88</f>
        <v>0</v>
      </c>
      <c r="S143" s="40">
        <f>'PCB Data'!L88</f>
        <v>0</v>
      </c>
      <c r="T143" s="506" t="e">
        <f t="shared" si="112"/>
        <v>#DIV/0!</v>
      </c>
      <c r="U143" s="74" t="e">
        <f t="shared" si="113"/>
        <v>#DIV/0!</v>
      </c>
      <c r="V143" s="40">
        <f>'PCB Data'!E88</f>
        <v>0</v>
      </c>
      <c r="W143" s="40">
        <f>'PCB Data'!I88</f>
        <v>0</v>
      </c>
      <c r="X143" s="40">
        <f>'PCB Data'!M88</f>
        <v>0</v>
      </c>
      <c r="Y143" s="506" t="e">
        <f t="shared" si="114"/>
        <v>#DIV/0!</v>
      </c>
      <c r="Z143" s="74" t="e">
        <f t="shared" si="115"/>
        <v>#DIV/0!</v>
      </c>
    </row>
    <row r="144" spans="2:26" hidden="1" outlineLevel="1" x14ac:dyDescent="0.25">
      <c r="B144" s="7">
        <f>'PCB Data'!Q89*('PCB Data'!N89/100)</f>
        <v>0</v>
      </c>
      <c r="C144" s="7">
        <f>'PCB Data'!R89*('PCB Data'!O89/100)</f>
        <v>0</v>
      </c>
      <c r="D144" s="7">
        <f>'PCB Data'!S89*('PCB Data'!P89/100)</f>
        <v>0</v>
      </c>
      <c r="E144" s="74" t="e">
        <f t="shared" si="106"/>
        <v>#DIV/0!</v>
      </c>
      <c r="F144" s="74" t="e">
        <f t="shared" si="107"/>
        <v>#DIV/0!</v>
      </c>
      <c r="G144" s="64">
        <f>'PCB Data'!B89</f>
        <v>0</v>
      </c>
      <c r="H144" s="40">
        <f>'PCB Data'!F89</f>
        <v>0</v>
      </c>
      <c r="I144" s="40">
        <f>'PCB Data'!J89</f>
        <v>0</v>
      </c>
      <c r="J144" s="74" t="e">
        <f t="shared" si="108"/>
        <v>#DIV/0!</v>
      </c>
      <c r="K144" s="74" t="e">
        <f t="shared" si="109"/>
        <v>#DIV/0!</v>
      </c>
      <c r="L144" s="40">
        <f>'PCB Data'!C89</f>
        <v>0</v>
      </c>
      <c r="M144" s="40">
        <f>'PCB Data'!G89</f>
        <v>0</v>
      </c>
      <c r="N144" s="40">
        <f>'PCB Data'!K89</f>
        <v>0</v>
      </c>
      <c r="O144" s="506" t="e">
        <f t="shared" si="110"/>
        <v>#DIV/0!</v>
      </c>
      <c r="P144" s="74" t="e">
        <f t="shared" si="111"/>
        <v>#DIV/0!</v>
      </c>
      <c r="Q144" s="40">
        <f>'PCB Data'!D89</f>
        <v>0</v>
      </c>
      <c r="R144" s="40">
        <f>'PCB Data'!H89</f>
        <v>0</v>
      </c>
      <c r="S144" s="40">
        <f>'PCB Data'!L89</f>
        <v>0</v>
      </c>
      <c r="T144" s="506" t="e">
        <f t="shared" si="112"/>
        <v>#DIV/0!</v>
      </c>
      <c r="U144" s="74" t="e">
        <f t="shared" si="113"/>
        <v>#DIV/0!</v>
      </c>
      <c r="V144" s="40">
        <f>'PCB Data'!E89</f>
        <v>0</v>
      </c>
      <c r="W144" s="40">
        <f>'PCB Data'!I89</f>
        <v>0</v>
      </c>
      <c r="X144" s="40">
        <f>'PCB Data'!M89</f>
        <v>0</v>
      </c>
      <c r="Y144" s="506" t="e">
        <f t="shared" si="114"/>
        <v>#DIV/0!</v>
      </c>
      <c r="Z144" s="74" t="e">
        <f t="shared" si="115"/>
        <v>#DIV/0!</v>
      </c>
    </row>
    <row r="145" spans="1:51" hidden="1" outlineLevel="1" x14ac:dyDescent="0.25">
      <c r="B145" s="7">
        <f>'PCB Data'!Q90*('PCB Data'!N90/100)</f>
        <v>0</v>
      </c>
      <c r="C145" s="7">
        <f>'PCB Data'!R90*('PCB Data'!O90/100)</f>
        <v>0</v>
      </c>
      <c r="D145" s="7">
        <f>'PCB Data'!S90*('PCB Data'!P90/100)</f>
        <v>0</v>
      </c>
      <c r="E145" s="74" t="e">
        <f t="shared" si="106"/>
        <v>#DIV/0!</v>
      </c>
      <c r="F145" s="74" t="e">
        <f t="shared" si="107"/>
        <v>#DIV/0!</v>
      </c>
      <c r="G145" s="64">
        <f>'PCB Data'!B90</f>
        <v>0</v>
      </c>
      <c r="H145" s="40">
        <f>'PCB Data'!F90</f>
        <v>0</v>
      </c>
      <c r="I145" s="40">
        <f>'PCB Data'!J90</f>
        <v>0</v>
      </c>
      <c r="J145" s="74" t="e">
        <f t="shared" si="108"/>
        <v>#DIV/0!</v>
      </c>
      <c r="K145" s="74" t="e">
        <f t="shared" si="109"/>
        <v>#DIV/0!</v>
      </c>
      <c r="L145" s="40">
        <f>'PCB Data'!C90</f>
        <v>0</v>
      </c>
      <c r="M145" s="40">
        <f>'PCB Data'!G90</f>
        <v>0</v>
      </c>
      <c r="N145" s="40">
        <f>'PCB Data'!K90</f>
        <v>0</v>
      </c>
      <c r="O145" s="506" t="e">
        <f t="shared" si="110"/>
        <v>#DIV/0!</v>
      </c>
      <c r="P145" s="74" t="e">
        <f t="shared" si="111"/>
        <v>#DIV/0!</v>
      </c>
      <c r="Q145" s="40">
        <f>'PCB Data'!D90</f>
        <v>0</v>
      </c>
      <c r="R145" s="40">
        <f>'PCB Data'!H90</f>
        <v>0</v>
      </c>
      <c r="S145" s="40">
        <f>'PCB Data'!L90</f>
        <v>0</v>
      </c>
      <c r="T145" s="506" t="e">
        <f t="shared" si="112"/>
        <v>#DIV/0!</v>
      </c>
      <c r="U145" s="74" t="e">
        <f t="shared" si="113"/>
        <v>#DIV/0!</v>
      </c>
      <c r="V145" s="40">
        <f>'PCB Data'!E90</f>
        <v>0</v>
      </c>
      <c r="W145" s="40">
        <f>'PCB Data'!I90</f>
        <v>0</v>
      </c>
      <c r="X145" s="40">
        <f>'PCB Data'!M90</f>
        <v>0</v>
      </c>
      <c r="Y145" s="506" t="e">
        <f t="shared" si="114"/>
        <v>#DIV/0!</v>
      </c>
      <c r="Z145" s="74" t="e">
        <f t="shared" si="115"/>
        <v>#DIV/0!</v>
      </c>
    </row>
    <row r="146" spans="1:51" hidden="1" outlineLevel="1" x14ac:dyDescent="0.25">
      <c r="B146" s="7">
        <f>'PCB Data'!Q91*('PCB Data'!N91/100)</f>
        <v>0</v>
      </c>
      <c r="C146" s="7">
        <f>'PCB Data'!R91*('PCB Data'!O91/100)</f>
        <v>0</v>
      </c>
      <c r="D146" s="7">
        <f>'PCB Data'!S91*('PCB Data'!P91/100)</f>
        <v>0</v>
      </c>
      <c r="E146" s="74" t="e">
        <f t="shared" si="106"/>
        <v>#DIV/0!</v>
      </c>
      <c r="F146" s="74" t="e">
        <f t="shared" si="107"/>
        <v>#DIV/0!</v>
      </c>
      <c r="G146" s="64">
        <f>'PCB Data'!B91</f>
        <v>0</v>
      </c>
      <c r="H146" s="40">
        <f>'PCB Data'!F91</f>
        <v>0</v>
      </c>
      <c r="I146" s="40">
        <f>'PCB Data'!J91</f>
        <v>0</v>
      </c>
      <c r="J146" s="74" t="e">
        <f t="shared" si="108"/>
        <v>#DIV/0!</v>
      </c>
      <c r="K146" s="74" t="e">
        <f t="shared" si="109"/>
        <v>#DIV/0!</v>
      </c>
      <c r="L146" s="40">
        <f>'PCB Data'!C91</f>
        <v>0</v>
      </c>
      <c r="M146" s="40">
        <f>'PCB Data'!G91</f>
        <v>0</v>
      </c>
      <c r="N146" s="40">
        <f>'PCB Data'!K91</f>
        <v>0</v>
      </c>
      <c r="O146" s="506" t="e">
        <f t="shared" si="110"/>
        <v>#DIV/0!</v>
      </c>
      <c r="P146" s="74" t="e">
        <f t="shared" si="111"/>
        <v>#DIV/0!</v>
      </c>
      <c r="Q146" s="40">
        <f>'PCB Data'!D91</f>
        <v>0</v>
      </c>
      <c r="R146" s="40">
        <f>'PCB Data'!H91</f>
        <v>0</v>
      </c>
      <c r="S146" s="40">
        <f>'PCB Data'!L91</f>
        <v>0</v>
      </c>
      <c r="T146" s="506" t="e">
        <f t="shared" si="112"/>
        <v>#DIV/0!</v>
      </c>
      <c r="U146" s="74" t="e">
        <f t="shared" si="113"/>
        <v>#DIV/0!</v>
      </c>
      <c r="V146" s="40">
        <f>'PCB Data'!E91</f>
        <v>0</v>
      </c>
      <c r="W146" s="40">
        <f>'PCB Data'!I91</f>
        <v>0</v>
      </c>
      <c r="X146" s="40">
        <f>'PCB Data'!M91</f>
        <v>0</v>
      </c>
      <c r="Y146" s="506" t="e">
        <f t="shared" si="114"/>
        <v>#DIV/0!</v>
      </c>
      <c r="Z146" s="74" t="e">
        <f t="shared" si="115"/>
        <v>#DIV/0!</v>
      </c>
    </row>
    <row r="147" spans="1:51" hidden="1" outlineLevel="1" x14ac:dyDescent="0.25">
      <c r="B147" s="7">
        <f>'PCB Data'!Q92*('PCB Data'!N92/100)</f>
        <v>0</v>
      </c>
      <c r="C147" s="7">
        <f>'PCB Data'!R92*('PCB Data'!O92/100)</f>
        <v>0</v>
      </c>
      <c r="D147" s="7">
        <f>'PCB Data'!S92*('PCB Data'!P92/100)</f>
        <v>0</v>
      </c>
      <c r="E147" s="74" t="e">
        <f t="shared" si="106"/>
        <v>#DIV/0!</v>
      </c>
      <c r="F147" s="74" t="e">
        <f t="shared" si="107"/>
        <v>#DIV/0!</v>
      </c>
      <c r="G147" s="64">
        <f>'PCB Data'!B92</f>
        <v>0</v>
      </c>
      <c r="H147" s="40">
        <f>'PCB Data'!F92</f>
        <v>0</v>
      </c>
      <c r="I147" s="40">
        <f>'PCB Data'!J92</f>
        <v>0</v>
      </c>
      <c r="J147" s="74" t="e">
        <f t="shared" si="108"/>
        <v>#DIV/0!</v>
      </c>
      <c r="K147" s="74" t="e">
        <f t="shared" si="109"/>
        <v>#DIV/0!</v>
      </c>
      <c r="L147" s="40">
        <f>'PCB Data'!C92</f>
        <v>0</v>
      </c>
      <c r="M147" s="40">
        <f>'PCB Data'!G92</f>
        <v>0</v>
      </c>
      <c r="N147" s="40">
        <f>'PCB Data'!K92</f>
        <v>0</v>
      </c>
      <c r="O147" s="506" t="e">
        <f t="shared" si="110"/>
        <v>#DIV/0!</v>
      </c>
      <c r="P147" s="74" t="e">
        <f t="shared" si="111"/>
        <v>#DIV/0!</v>
      </c>
      <c r="Q147" s="40">
        <f>'PCB Data'!D92</f>
        <v>0</v>
      </c>
      <c r="R147" s="40">
        <f>'PCB Data'!H92</f>
        <v>0</v>
      </c>
      <c r="S147" s="40">
        <f>'PCB Data'!L92</f>
        <v>0</v>
      </c>
      <c r="T147" s="506" t="e">
        <f t="shared" si="112"/>
        <v>#DIV/0!</v>
      </c>
      <c r="U147" s="74" t="e">
        <f t="shared" si="113"/>
        <v>#DIV/0!</v>
      </c>
      <c r="V147" s="40">
        <f>'PCB Data'!E92</f>
        <v>0</v>
      </c>
      <c r="W147" s="40">
        <f>'PCB Data'!I92</f>
        <v>0</v>
      </c>
      <c r="X147" s="40">
        <f>'PCB Data'!M92</f>
        <v>0</v>
      </c>
      <c r="Y147" s="506" t="e">
        <f t="shared" si="114"/>
        <v>#DIV/0!</v>
      </c>
      <c r="Z147" s="74" t="e">
        <f t="shared" si="115"/>
        <v>#DIV/0!</v>
      </c>
    </row>
    <row r="148" spans="1:51" hidden="1" outlineLevel="1" x14ac:dyDescent="0.25">
      <c r="B148" s="7">
        <f>'PCB Data'!Q93*('PCB Data'!N93/100)</f>
        <v>0</v>
      </c>
      <c r="C148" s="7">
        <f>'PCB Data'!R93*('PCB Data'!O93/100)</f>
        <v>0</v>
      </c>
      <c r="D148" s="7">
        <f>'PCB Data'!S93*('PCB Data'!P93/100)</f>
        <v>0</v>
      </c>
      <c r="E148" s="74" t="e">
        <f t="shared" si="106"/>
        <v>#DIV/0!</v>
      </c>
      <c r="F148" s="74" t="e">
        <f t="shared" si="107"/>
        <v>#DIV/0!</v>
      </c>
      <c r="G148" s="64">
        <f>'PCB Data'!B93</f>
        <v>0</v>
      </c>
      <c r="H148" s="40">
        <f>'PCB Data'!F93</f>
        <v>0</v>
      </c>
      <c r="I148" s="40">
        <f>'PCB Data'!J93</f>
        <v>0</v>
      </c>
      <c r="J148" s="74" t="e">
        <f t="shared" si="108"/>
        <v>#DIV/0!</v>
      </c>
      <c r="K148" s="74" t="e">
        <f t="shared" si="109"/>
        <v>#DIV/0!</v>
      </c>
      <c r="L148" s="40">
        <f>'PCB Data'!C93</f>
        <v>0</v>
      </c>
      <c r="M148" s="40">
        <f>'PCB Data'!G93</f>
        <v>0</v>
      </c>
      <c r="N148" s="40">
        <f>'PCB Data'!K93</f>
        <v>0</v>
      </c>
      <c r="O148" s="506" t="e">
        <f t="shared" si="110"/>
        <v>#DIV/0!</v>
      </c>
      <c r="P148" s="74" t="e">
        <f t="shared" si="111"/>
        <v>#DIV/0!</v>
      </c>
      <c r="Q148" s="40">
        <f>'PCB Data'!D93</f>
        <v>0</v>
      </c>
      <c r="R148" s="40">
        <f>'PCB Data'!H93</f>
        <v>0</v>
      </c>
      <c r="S148" s="40">
        <f>'PCB Data'!L93</f>
        <v>0</v>
      </c>
      <c r="T148" s="506" t="e">
        <f t="shared" si="112"/>
        <v>#DIV/0!</v>
      </c>
      <c r="U148" s="74" t="e">
        <f t="shared" si="113"/>
        <v>#DIV/0!</v>
      </c>
      <c r="V148" s="40">
        <f>'PCB Data'!E93</f>
        <v>0</v>
      </c>
      <c r="W148" s="40">
        <f>'PCB Data'!I93</f>
        <v>0</v>
      </c>
      <c r="X148" s="40">
        <f>'PCB Data'!M93</f>
        <v>0</v>
      </c>
      <c r="Y148" s="506" t="e">
        <f t="shared" si="114"/>
        <v>#DIV/0!</v>
      </c>
      <c r="Z148" s="74" t="e">
        <f t="shared" si="115"/>
        <v>#DIV/0!</v>
      </c>
    </row>
    <row r="149" spans="1:51" hidden="1" outlineLevel="1" x14ac:dyDescent="0.25">
      <c r="B149" s="7">
        <f>'PCB Data'!Q94*('PCB Data'!N94/100)</f>
        <v>0</v>
      </c>
      <c r="C149" s="7">
        <f>'PCB Data'!R94*('PCB Data'!O94/100)</f>
        <v>0</v>
      </c>
      <c r="D149" s="7">
        <f>'PCB Data'!S94*('PCB Data'!P94/100)</f>
        <v>0</v>
      </c>
      <c r="E149" s="74" t="e">
        <f t="shared" si="106"/>
        <v>#DIV/0!</v>
      </c>
      <c r="F149" s="74" t="e">
        <f t="shared" si="107"/>
        <v>#DIV/0!</v>
      </c>
      <c r="G149" s="64">
        <f>'PCB Data'!B94</f>
        <v>0</v>
      </c>
      <c r="H149" s="40">
        <f>'PCB Data'!F94</f>
        <v>0</v>
      </c>
      <c r="I149" s="40">
        <f>'PCB Data'!J94</f>
        <v>0</v>
      </c>
      <c r="J149" s="74" t="e">
        <f t="shared" si="108"/>
        <v>#DIV/0!</v>
      </c>
      <c r="K149" s="74" t="e">
        <f t="shared" si="109"/>
        <v>#DIV/0!</v>
      </c>
      <c r="L149" s="40">
        <f>'PCB Data'!C94</f>
        <v>0</v>
      </c>
      <c r="M149" s="40">
        <f>'PCB Data'!G94</f>
        <v>0</v>
      </c>
      <c r="N149" s="40">
        <f>'PCB Data'!K94</f>
        <v>0</v>
      </c>
      <c r="O149" s="506" t="e">
        <f t="shared" si="110"/>
        <v>#DIV/0!</v>
      </c>
      <c r="P149" s="74" t="e">
        <f t="shared" si="111"/>
        <v>#DIV/0!</v>
      </c>
      <c r="Q149" s="40">
        <f>'PCB Data'!D94</f>
        <v>0</v>
      </c>
      <c r="R149" s="40">
        <f>'PCB Data'!H94</f>
        <v>0</v>
      </c>
      <c r="S149" s="40">
        <f>'PCB Data'!L94</f>
        <v>0</v>
      </c>
      <c r="T149" s="506" t="e">
        <f t="shared" si="112"/>
        <v>#DIV/0!</v>
      </c>
      <c r="U149" s="74" t="e">
        <f t="shared" si="113"/>
        <v>#DIV/0!</v>
      </c>
      <c r="V149" s="40">
        <f>'PCB Data'!E94</f>
        <v>0</v>
      </c>
      <c r="W149" s="40">
        <f>'PCB Data'!I94</f>
        <v>0</v>
      </c>
      <c r="X149" s="40">
        <f>'PCB Data'!M94</f>
        <v>0</v>
      </c>
      <c r="Y149" s="506" t="e">
        <f t="shared" si="114"/>
        <v>#DIV/0!</v>
      </c>
      <c r="Z149" s="74" t="e">
        <f t="shared" si="115"/>
        <v>#DIV/0!</v>
      </c>
    </row>
    <row r="150" spans="1:51" hidden="1" outlineLevel="1" x14ac:dyDescent="0.25">
      <c r="B150" s="7">
        <f>'PCB Data'!Q95*('PCB Data'!N95/100)</f>
        <v>0</v>
      </c>
      <c r="C150" s="7">
        <f>'PCB Data'!R95*('PCB Data'!O95/100)</f>
        <v>0</v>
      </c>
      <c r="D150" s="7">
        <f>'PCB Data'!S95*('PCB Data'!P95/100)</f>
        <v>0</v>
      </c>
      <c r="E150" s="74" t="e">
        <f t="shared" si="106"/>
        <v>#DIV/0!</v>
      </c>
      <c r="F150" s="74" t="e">
        <f t="shared" si="107"/>
        <v>#DIV/0!</v>
      </c>
      <c r="G150" s="64">
        <f>'PCB Data'!B95</f>
        <v>0</v>
      </c>
      <c r="H150" s="40">
        <f>'PCB Data'!F95</f>
        <v>0</v>
      </c>
      <c r="I150" s="40">
        <f>'PCB Data'!J95</f>
        <v>0</v>
      </c>
      <c r="J150" s="74" t="e">
        <f t="shared" si="108"/>
        <v>#DIV/0!</v>
      </c>
      <c r="K150" s="74" t="e">
        <f t="shared" si="109"/>
        <v>#DIV/0!</v>
      </c>
      <c r="L150" s="40">
        <f>'PCB Data'!C95</f>
        <v>0</v>
      </c>
      <c r="M150" s="40">
        <f>'PCB Data'!G95</f>
        <v>0</v>
      </c>
      <c r="N150" s="40">
        <f>'PCB Data'!K95</f>
        <v>0</v>
      </c>
      <c r="O150" s="506" t="e">
        <f t="shared" si="110"/>
        <v>#DIV/0!</v>
      </c>
      <c r="P150" s="74" t="e">
        <f t="shared" si="111"/>
        <v>#DIV/0!</v>
      </c>
      <c r="Q150" s="40">
        <f>'PCB Data'!D95</f>
        <v>0</v>
      </c>
      <c r="R150" s="40">
        <f>'PCB Data'!H95</f>
        <v>0</v>
      </c>
      <c r="S150" s="40">
        <f>'PCB Data'!L95</f>
        <v>0</v>
      </c>
      <c r="T150" s="506" t="e">
        <f t="shared" si="112"/>
        <v>#DIV/0!</v>
      </c>
      <c r="U150" s="74" t="e">
        <f t="shared" si="113"/>
        <v>#DIV/0!</v>
      </c>
      <c r="V150" s="40">
        <f>'PCB Data'!E95</f>
        <v>0</v>
      </c>
      <c r="W150" s="40">
        <f>'PCB Data'!I95</f>
        <v>0</v>
      </c>
      <c r="X150" s="40">
        <f>'PCB Data'!M95</f>
        <v>0</v>
      </c>
      <c r="Y150" s="506" t="e">
        <f t="shared" si="114"/>
        <v>#DIV/0!</v>
      </c>
      <c r="Z150" s="74" t="e">
        <f t="shared" si="115"/>
        <v>#DIV/0!</v>
      </c>
    </row>
    <row r="151" spans="1:51" hidden="1" outlineLevel="1" x14ac:dyDescent="0.25">
      <c r="B151" s="7">
        <f>'PCB Data'!Q96*('PCB Data'!N96/100)</f>
        <v>0</v>
      </c>
      <c r="C151" s="7">
        <f>'PCB Data'!R96*('PCB Data'!O96/100)</f>
        <v>0</v>
      </c>
      <c r="D151" s="7">
        <f>'PCB Data'!S96*('PCB Data'!P96/100)</f>
        <v>0</v>
      </c>
      <c r="E151" s="74" t="e">
        <f t="shared" si="106"/>
        <v>#DIV/0!</v>
      </c>
      <c r="F151" s="74" t="e">
        <f t="shared" si="107"/>
        <v>#DIV/0!</v>
      </c>
      <c r="G151" s="64">
        <f>'PCB Data'!B96</f>
        <v>0</v>
      </c>
      <c r="H151" s="40">
        <f>'PCB Data'!F96</f>
        <v>0</v>
      </c>
      <c r="I151" s="40">
        <f>'PCB Data'!J96</f>
        <v>0</v>
      </c>
      <c r="J151" s="74" t="e">
        <f t="shared" si="108"/>
        <v>#DIV/0!</v>
      </c>
      <c r="K151" s="74" t="e">
        <f t="shared" si="109"/>
        <v>#DIV/0!</v>
      </c>
      <c r="L151" s="40">
        <f>'PCB Data'!C96</f>
        <v>0</v>
      </c>
      <c r="M151" s="40">
        <f>'PCB Data'!G96</f>
        <v>0</v>
      </c>
      <c r="N151" s="40">
        <f>'PCB Data'!K96</f>
        <v>0</v>
      </c>
      <c r="O151" s="506" t="e">
        <f t="shared" si="110"/>
        <v>#DIV/0!</v>
      </c>
      <c r="P151" s="74" t="e">
        <f t="shared" si="111"/>
        <v>#DIV/0!</v>
      </c>
      <c r="Q151" s="40">
        <f>'PCB Data'!D96</f>
        <v>0</v>
      </c>
      <c r="R151" s="40">
        <f>'PCB Data'!H96</f>
        <v>0</v>
      </c>
      <c r="S151" s="40">
        <f>'PCB Data'!L96</f>
        <v>0</v>
      </c>
      <c r="T151" s="506" t="e">
        <f t="shared" si="112"/>
        <v>#DIV/0!</v>
      </c>
      <c r="U151" s="74" t="e">
        <f t="shared" si="113"/>
        <v>#DIV/0!</v>
      </c>
      <c r="V151" s="40">
        <f>'PCB Data'!E96</f>
        <v>0</v>
      </c>
      <c r="W151" s="40">
        <f>'PCB Data'!I96</f>
        <v>0</v>
      </c>
      <c r="X151" s="40">
        <f>'PCB Data'!M96</f>
        <v>0</v>
      </c>
      <c r="Y151" s="506" t="e">
        <f t="shared" si="114"/>
        <v>#DIV/0!</v>
      </c>
      <c r="Z151" s="74" t="e">
        <f t="shared" si="115"/>
        <v>#DIV/0!</v>
      </c>
    </row>
    <row r="152" spans="1:51" hidden="1" outlineLevel="1" x14ac:dyDescent="0.25"/>
    <row r="153" spans="1:51" s="502" customFormat="1" collapsed="1" x14ac:dyDescent="0.25">
      <c r="B153" s="626" t="s">
        <v>13</v>
      </c>
      <c r="C153" s="626"/>
      <c r="D153" s="626"/>
      <c r="E153" s="626" t="s">
        <v>12</v>
      </c>
      <c r="F153" s="627"/>
      <c r="G153" s="626" t="s">
        <v>13</v>
      </c>
      <c r="H153" s="626"/>
      <c r="I153" s="626"/>
      <c r="J153" s="626" t="s">
        <v>12</v>
      </c>
      <c r="K153" s="627"/>
      <c r="L153" s="626" t="s">
        <v>13</v>
      </c>
      <c r="M153" s="626"/>
      <c r="N153" s="626"/>
      <c r="O153" s="626" t="s">
        <v>12</v>
      </c>
      <c r="P153" s="627"/>
      <c r="Q153" s="626" t="s">
        <v>13</v>
      </c>
      <c r="R153" s="626"/>
      <c r="S153" s="626"/>
      <c r="T153" s="626" t="s">
        <v>12</v>
      </c>
      <c r="U153" s="627"/>
      <c r="V153" s="626" t="s">
        <v>13</v>
      </c>
      <c r="W153" s="626"/>
      <c r="X153" s="626"/>
      <c r="Y153" s="626" t="s">
        <v>12</v>
      </c>
      <c r="Z153" s="627"/>
      <c r="AA153" s="626" t="s">
        <v>13</v>
      </c>
      <c r="AB153" s="626"/>
      <c r="AC153" s="626"/>
      <c r="AD153" s="626" t="s">
        <v>12</v>
      </c>
      <c r="AE153" s="627"/>
      <c r="AI153" s="507"/>
      <c r="AJ153" s="503"/>
      <c r="AN153" s="507"/>
      <c r="AO153" s="503"/>
      <c r="AS153" s="507"/>
      <c r="AT153" s="503"/>
      <c r="AX153" s="507"/>
      <c r="AY153" s="503"/>
    </row>
    <row r="154" spans="1:51" s="71" customFormat="1" x14ac:dyDescent="0.25">
      <c r="A154" s="71" t="s">
        <v>14</v>
      </c>
      <c r="E154" s="624" t="s">
        <v>31</v>
      </c>
      <c r="F154" s="625"/>
      <c r="G154" s="500" t="str">
        <f>'XFMR Data'!B2</f>
        <v>607 - Sipro</v>
      </c>
      <c r="H154" s="71" t="str">
        <f>G154</f>
        <v>607 - Sipro</v>
      </c>
      <c r="I154" s="71" t="str">
        <f>H154</f>
        <v>607 - Sipro</v>
      </c>
      <c r="J154" s="71" t="str">
        <f>I154</f>
        <v>607 - Sipro</v>
      </c>
      <c r="K154" s="501" t="str">
        <f>J154</f>
        <v>607 - Sipro</v>
      </c>
      <c r="L154" s="71" t="str">
        <f>'XFMR Data'!C2</f>
        <v>625 - B0051</v>
      </c>
      <c r="M154" s="71" t="str">
        <f>L154</f>
        <v>625 - B0051</v>
      </c>
      <c r="N154" s="71" t="str">
        <f>M154</f>
        <v>625 - B0051</v>
      </c>
      <c r="O154" s="500" t="str">
        <f>N154</f>
        <v>625 - B0051</v>
      </c>
      <c r="P154" s="501" t="str">
        <f>O154</f>
        <v>625 - B0051</v>
      </c>
      <c r="Q154" s="71" t="str">
        <f>'XFMR Data'!D2</f>
        <v>645 - Bench</v>
      </c>
      <c r="R154" s="71" t="str">
        <f>Q154</f>
        <v>645 - Bench</v>
      </c>
      <c r="S154" s="71" t="str">
        <f>R154</f>
        <v>645 - Bench</v>
      </c>
      <c r="T154" s="500" t="str">
        <f>S154</f>
        <v>645 - Bench</v>
      </c>
      <c r="U154" s="501" t="str">
        <f>T154</f>
        <v>645 - Bench</v>
      </c>
      <c r="V154" s="71" t="str">
        <f>'XFMR Data'!E2</f>
        <v>650 - Pouring</v>
      </c>
      <c r="W154" s="71" t="str">
        <f>V154</f>
        <v>650 - Pouring</v>
      </c>
      <c r="X154" s="71" t="str">
        <f>W154</f>
        <v>650 - Pouring</v>
      </c>
      <c r="Y154" s="500" t="str">
        <f>X154</f>
        <v>650 - Pouring</v>
      </c>
      <c r="Z154" s="501" t="str">
        <f>Y154</f>
        <v>650 - Pouring</v>
      </c>
      <c r="AA154" s="71" t="str">
        <f>'XFMR Data'!F2</f>
        <v>660 - HV Tester</v>
      </c>
      <c r="AB154" s="71" t="str">
        <f>AA154</f>
        <v>660 - HV Tester</v>
      </c>
      <c r="AC154" s="71" t="str">
        <f>AB154</f>
        <v>660 - HV Tester</v>
      </c>
      <c r="AD154" s="500" t="str">
        <f>AC154</f>
        <v>660 - HV Tester</v>
      </c>
      <c r="AE154" s="501" t="str">
        <f>AD154</f>
        <v>660 - HV Tester</v>
      </c>
      <c r="AI154" s="500"/>
      <c r="AJ154" s="501"/>
      <c r="AN154" s="500"/>
      <c r="AO154" s="501"/>
      <c r="AS154" s="500"/>
      <c r="AT154" s="501"/>
      <c r="AX154" s="500"/>
      <c r="AY154" s="501"/>
    </row>
    <row r="155" spans="1:51" s="71" customFormat="1" x14ac:dyDescent="0.25">
      <c r="A155" s="71" t="s">
        <v>16</v>
      </c>
      <c r="B155" s="500" t="s">
        <v>17</v>
      </c>
      <c r="C155" s="71" t="s">
        <v>18</v>
      </c>
      <c r="D155" s="71" t="s">
        <v>19</v>
      </c>
      <c r="E155" s="71" t="s">
        <v>20</v>
      </c>
      <c r="F155" s="501" t="s">
        <v>21</v>
      </c>
      <c r="G155" s="500" t="s">
        <v>17</v>
      </c>
      <c r="H155" s="71" t="s">
        <v>18</v>
      </c>
      <c r="I155" s="71" t="s">
        <v>19</v>
      </c>
      <c r="J155" s="71" t="s">
        <v>20</v>
      </c>
      <c r="K155" s="501" t="s">
        <v>21</v>
      </c>
      <c r="L155" s="71" t="s">
        <v>17</v>
      </c>
      <c r="M155" s="71" t="s">
        <v>18</v>
      </c>
      <c r="N155" s="71" t="s">
        <v>19</v>
      </c>
      <c r="O155" s="500" t="s">
        <v>20</v>
      </c>
      <c r="P155" s="501" t="s">
        <v>21</v>
      </c>
      <c r="Q155" s="71" t="s">
        <v>17</v>
      </c>
      <c r="R155" s="71" t="s">
        <v>18</v>
      </c>
      <c r="S155" s="71" t="s">
        <v>19</v>
      </c>
      <c r="T155" s="500" t="s">
        <v>20</v>
      </c>
      <c r="U155" s="501" t="s">
        <v>21</v>
      </c>
      <c r="V155" s="71" t="s">
        <v>17</v>
      </c>
      <c r="W155" s="71" t="s">
        <v>18</v>
      </c>
      <c r="X155" s="71" t="s">
        <v>19</v>
      </c>
      <c r="Y155" s="500" t="s">
        <v>20</v>
      </c>
      <c r="Z155" s="501" t="s">
        <v>21</v>
      </c>
      <c r="AA155" s="71" t="s">
        <v>17</v>
      </c>
      <c r="AB155" s="71" t="s">
        <v>18</v>
      </c>
      <c r="AC155" s="71" t="s">
        <v>19</v>
      </c>
      <c r="AD155" s="500" t="s">
        <v>20</v>
      </c>
      <c r="AE155" s="501" t="s">
        <v>21</v>
      </c>
      <c r="AI155" s="500"/>
      <c r="AJ155" s="501"/>
      <c r="AN155" s="500"/>
      <c r="AO155" s="501"/>
      <c r="AS155" s="500"/>
      <c r="AT155" s="501"/>
      <c r="AX155" s="500"/>
      <c r="AY155" s="501"/>
    </row>
    <row r="156" spans="1:51" s="71" customFormat="1" x14ac:dyDescent="0.25">
      <c r="A156" s="71" t="s">
        <v>22</v>
      </c>
      <c r="B156" s="500" t="s">
        <v>23</v>
      </c>
      <c r="C156" s="71" t="s">
        <v>24</v>
      </c>
      <c r="D156" s="71" t="s">
        <v>25</v>
      </c>
      <c r="E156" s="510" t="s">
        <v>26</v>
      </c>
      <c r="F156" s="511" t="s">
        <v>27</v>
      </c>
      <c r="G156" s="500" t="str">
        <f>'XFMR Data'!B3</f>
        <v>13 Wks</v>
      </c>
      <c r="H156" s="71" t="str">
        <f>'XFMR Data'!G3</f>
        <v>14 - 26 Wks</v>
      </c>
      <c r="I156" s="71" t="str">
        <f>'XFMR Data'!L3</f>
        <v>27 - 52 Wks</v>
      </c>
      <c r="K156" s="501"/>
      <c r="L156" s="71" t="str">
        <f>G156</f>
        <v>13 Wks</v>
      </c>
      <c r="M156" s="71" t="str">
        <f t="shared" ref="M156" si="116">H156</f>
        <v>14 - 26 Wks</v>
      </c>
      <c r="N156" s="71" t="str">
        <f t="shared" ref="N156" si="117">I156</f>
        <v>27 - 52 Wks</v>
      </c>
      <c r="O156" s="500"/>
      <c r="P156" s="501"/>
      <c r="Q156" s="71" t="str">
        <f>G156</f>
        <v>13 Wks</v>
      </c>
      <c r="R156" s="71" t="str">
        <f t="shared" ref="R156" si="118">H156</f>
        <v>14 - 26 Wks</v>
      </c>
      <c r="S156" s="71" t="str">
        <f t="shared" ref="S156" si="119">I156</f>
        <v>27 - 52 Wks</v>
      </c>
      <c r="T156" s="500"/>
      <c r="U156" s="501"/>
      <c r="V156" s="71" t="str">
        <f>Q156</f>
        <v>13 Wks</v>
      </c>
      <c r="W156" s="71" t="str">
        <f>R156</f>
        <v>14 - 26 Wks</v>
      </c>
      <c r="X156" s="71" t="str">
        <f>S156</f>
        <v>27 - 52 Wks</v>
      </c>
      <c r="Y156" s="500"/>
      <c r="Z156" s="501"/>
      <c r="AA156" s="71" t="str">
        <f>V156</f>
        <v>13 Wks</v>
      </c>
      <c r="AB156" s="71" t="str">
        <f>W156</f>
        <v>14 - 26 Wks</v>
      </c>
      <c r="AC156" s="71" t="str">
        <f>X156</f>
        <v>27 - 52 Wks</v>
      </c>
      <c r="AD156" s="500"/>
      <c r="AE156" s="501"/>
      <c r="AI156" s="500"/>
      <c r="AJ156" s="501"/>
      <c r="AN156" s="500"/>
      <c r="AO156" s="501"/>
      <c r="AS156" s="500"/>
      <c r="AT156" s="501"/>
      <c r="AX156" s="500"/>
      <c r="AY156" s="501"/>
    </row>
    <row r="157" spans="1:51" s="88" customFormat="1" x14ac:dyDescent="0.25">
      <c r="A157" s="498">
        <f>'XFMR Data'!A52</f>
        <v>44593</v>
      </c>
      <c r="B157" s="30">
        <f>'XFMR Data'!T52*('XFMR Data'!Q52/100)</f>
        <v>317.24</v>
      </c>
      <c r="C157" s="30">
        <f>'XFMR Data'!U52*('XFMR Data'!R52/100)</f>
        <v>253.08</v>
      </c>
      <c r="D157" s="30">
        <f>'XFMR Data'!V52*('XFMR Data'!S52/100)</f>
        <v>319.28000000000003</v>
      </c>
      <c r="E157" s="88" t="s">
        <v>28</v>
      </c>
      <c r="F157" s="89" t="s">
        <v>28</v>
      </c>
      <c r="G157" s="499">
        <f>'XFMR Data'!B52</f>
        <v>71</v>
      </c>
      <c r="H157" s="88">
        <f>'XFMR Data'!G52</f>
        <v>64</v>
      </c>
      <c r="I157" s="30">
        <f>'XFMR Data'!L52</f>
        <v>73</v>
      </c>
      <c r="J157" s="88" t="s">
        <v>28</v>
      </c>
      <c r="K157" s="89" t="s">
        <v>28</v>
      </c>
      <c r="L157" s="30">
        <f>'XFMR Data'!C52</f>
        <v>41</v>
      </c>
      <c r="M157" s="30">
        <f>'XFMR Data'!H52</f>
        <v>27</v>
      </c>
      <c r="N157" s="30">
        <f>'XFMR Data'!M52</f>
        <v>46</v>
      </c>
      <c r="O157" s="87" t="s">
        <v>28</v>
      </c>
      <c r="P157" s="89" t="s">
        <v>28</v>
      </c>
      <c r="Q157" s="30">
        <f>'XFMR Data'!D52</f>
        <v>59</v>
      </c>
      <c r="R157" s="30">
        <f>'XFMR Data'!I52</f>
        <v>43</v>
      </c>
      <c r="S157" s="30">
        <f>'XFMR Data'!N52</f>
        <v>62</v>
      </c>
      <c r="T157" s="87" t="s">
        <v>28</v>
      </c>
      <c r="U157" s="89" t="s">
        <v>28</v>
      </c>
      <c r="V157" s="30">
        <f>'XFMR Data'!E52</f>
        <v>36</v>
      </c>
      <c r="W157" s="30">
        <f>'XFMR Data'!J52</f>
        <v>28</v>
      </c>
      <c r="X157" s="30">
        <f>'XFMR Data'!O52</f>
        <v>38</v>
      </c>
      <c r="Y157" s="87" t="s">
        <v>28</v>
      </c>
      <c r="Z157" s="89" t="s">
        <v>28</v>
      </c>
      <c r="AA157" s="30">
        <f>'XFMR Data'!F52</f>
        <v>48</v>
      </c>
      <c r="AB157" s="88">
        <f>'XFMR Data'!K52</f>
        <v>30</v>
      </c>
      <c r="AC157" s="30">
        <f>'XFMR Data'!P52</f>
        <v>51</v>
      </c>
      <c r="AD157" s="87" t="s">
        <v>28</v>
      </c>
      <c r="AE157" s="89" t="s">
        <v>28</v>
      </c>
      <c r="AI157" s="87"/>
      <c r="AJ157" s="89"/>
      <c r="AN157" s="87"/>
      <c r="AO157" s="89"/>
      <c r="AS157" s="87"/>
      <c r="AT157" s="89"/>
      <c r="AX157" s="87"/>
      <c r="AY157" s="89"/>
    </row>
    <row r="158" spans="1:51" x14ac:dyDescent="0.25">
      <c r="A158" s="497">
        <f>'XFMR Data'!A53</f>
        <v>44617</v>
      </c>
      <c r="B158" s="7">
        <f>'XFMR Data'!T53*('XFMR Data'!Q53/100)</f>
        <v>313.02</v>
      </c>
      <c r="C158" s="7">
        <f>'XFMR Data'!U53*('XFMR Data'!R53/100)</f>
        <v>163.16999999999999</v>
      </c>
      <c r="D158" s="7">
        <f>'XFMR Data'!V53*('XFMR Data'!S53/100)</f>
        <v>197.6</v>
      </c>
      <c r="E158" s="40" t="s">
        <v>28</v>
      </c>
      <c r="F158" s="69" t="s">
        <v>28</v>
      </c>
      <c r="G158" s="14">
        <f>'XFMR Data'!B53</f>
        <v>73</v>
      </c>
      <c r="H158" s="40">
        <f>'XFMR Data'!G53</f>
        <v>36</v>
      </c>
      <c r="I158" s="7">
        <f>'XFMR Data'!L53</f>
        <v>40</v>
      </c>
      <c r="J158" s="40" t="s">
        <v>28</v>
      </c>
      <c r="K158" s="69" t="s">
        <v>28</v>
      </c>
      <c r="L158" s="7">
        <f>'XFMR Data'!C53</f>
        <v>38</v>
      </c>
      <c r="M158" s="7">
        <f>'XFMR Data'!H53</f>
        <v>24</v>
      </c>
      <c r="N158" s="7">
        <f>'XFMR Data'!M53</f>
        <v>37</v>
      </c>
      <c r="O158" s="64" t="s">
        <v>28</v>
      </c>
      <c r="P158" s="69" t="s">
        <v>28</v>
      </c>
      <c r="Q158" s="7">
        <f>'XFMR Data'!D53</f>
        <v>57</v>
      </c>
      <c r="R158" s="7">
        <f>'XFMR Data'!I53</f>
        <v>29</v>
      </c>
      <c r="S158" s="7">
        <f>'XFMR Data'!N53</f>
        <v>39</v>
      </c>
      <c r="T158" s="64" t="s">
        <v>28</v>
      </c>
      <c r="U158" s="69" t="s">
        <v>28</v>
      </c>
      <c r="V158" s="7">
        <f>'XFMR Data'!E53</f>
        <v>36</v>
      </c>
      <c r="W158" s="7">
        <f>'XFMR Data'!J53</f>
        <v>17</v>
      </c>
      <c r="X158" s="7">
        <f>'XFMR Data'!O53</f>
        <v>22</v>
      </c>
      <c r="Y158" s="64" t="s">
        <v>28</v>
      </c>
      <c r="Z158" s="69" t="s">
        <v>28</v>
      </c>
      <c r="AA158" s="7">
        <f>'XFMR Data'!F53</f>
        <v>43</v>
      </c>
      <c r="AB158" s="40">
        <f>'XFMR Data'!K53</f>
        <v>26</v>
      </c>
      <c r="AC158" s="7">
        <f>'XFMR Data'!P53</f>
        <v>39</v>
      </c>
      <c r="AD158" s="64" t="s">
        <v>28</v>
      </c>
      <c r="AE158" s="69" t="s">
        <v>28</v>
      </c>
    </row>
    <row r="159" spans="1:51" x14ac:dyDescent="0.25">
      <c r="A159" s="497">
        <f>'XFMR Data'!A54</f>
        <v>44650</v>
      </c>
      <c r="B159" s="7">
        <f>'XFMR Data'!T54*('XFMR Data'!Q54/100)</f>
        <v>270.48</v>
      </c>
      <c r="C159" s="7">
        <f>'XFMR Data'!U54*('XFMR Data'!R54/100)</f>
        <v>216.32</v>
      </c>
      <c r="D159" s="7">
        <f>'XFMR Data'!V54*('XFMR Data'!S54/100)</f>
        <v>234.08</v>
      </c>
      <c r="E159" s="74" t="s">
        <v>28</v>
      </c>
      <c r="F159" s="69" t="s">
        <v>28</v>
      </c>
      <c r="G159" s="14">
        <f>'XFMR Data'!B54</f>
        <v>67</v>
      </c>
      <c r="H159" s="40">
        <f>'XFMR Data'!G54</f>
        <v>70</v>
      </c>
      <c r="I159" s="7">
        <f>'XFMR Data'!L54</f>
        <v>73</v>
      </c>
      <c r="J159" s="74" t="s">
        <v>28</v>
      </c>
      <c r="K159" s="69" t="s">
        <v>28</v>
      </c>
      <c r="L159" s="7">
        <f>'XFMR Data'!C54</f>
        <v>29</v>
      </c>
      <c r="M159" s="7">
        <f>'XFMR Data'!H54</f>
        <v>28</v>
      </c>
      <c r="N159" s="7">
        <f>'XFMR Data'!M54</f>
        <v>42</v>
      </c>
      <c r="O159" s="506" t="s">
        <v>28</v>
      </c>
      <c r="P159" s="69" t="s">
        <v>28</v>
      </c>
      <c r="Q159" s="7">
        <f>'XFMR Data'!D54</f>
        <v>52</v>
      </c>
      <c r="R159" s="7">
        <f>'XFMR Data'!I54</f>
        <v>48</v>
      </c>
      <c r="S159" s="7">
        <f>'XFMR Data'!N54</f>
        <v>59</v>
      </c>
      <c r="T159" s="506" t="s">
        <v>28</v>
      </c>
      <c r="U159" s="69" t="s">
        <v>28</v>
      </c>
      <c r="V159" s="7">
        <f>'XFMR Data'!E54</f>
        <v>33</v>
      </c>
      <c r="W159" s="7">
        <f>'XFMR Data'!J54</f>
        <v>32</v>
      </c>
      <c r="X159" s="7">
        <f>'XFMR Data'!O54</f>
        <v>37</v>
      </c>
      <c r="Y159" s="506" t="s">
        <v>28</v>
      </c>
      <c r="Z159" s="69" t="s">
        <v>28</v>
      </c>
      <c r="AA159" s="7">
        <f>'XFMR Data'!F54</f>
        <v>37</v>
      </c>
      <c r="AB159" s="40">
        <f>'XFMR Data'!K54</f>
        <v>33</v>
      </c>
      <c r="AC159" s="7">
        <f>'XFMR Data'!P54</f>
        <v>48</v>
      </c>
      <c r="AD159" s="506" t="s">
        <v>28</v>
      </c>
      <c r="AE159" s="69" t="s">
        <v>28</v>
      </c>
    </row>
    <row r="160" spans="1:51" x14ac:dyDescent="0.25">
      <c r="A160" s="497">
        <f>'XFMR Data'!A55</f>
        <v>44691</v>
      </c>
      <c r="B160" s="7">
        <f>'XFMR Data'!T55*('XFMR Data'!Q55/100)</f>
        <v>271.45999999999998</v>
      </c>
      <c r="C160" s="7">
        <f>'XFMR Data'!U55*('XFMR Data'!R55/100)</f>
        <v>287.84999999999997</v>
      </c>
      <c r="D160" s="7">
        <f>'XFMR Data'!V55*('XFMR Data'!S55/100)</f>
        <v>233.92</v>
      </c>
      <c r="E160" s="74">
        <f t="shared" ref="E160:E165" si="120">B160/C157</f>
        <v>1.072625256835783</v>
      </c>
      <c r="F160" s="69" t="s">
        <v>28</v>
      </c>
      <c r="G160" s="14">
        <f>'XFMR Data'!B55</f>
        <v>65</v>
      </c>
      <c r="H160" s="40">
        <f>'XFMR Data'!G55</f>
        <v>63</v>
      </c>
      <c r="I160" s="7">
        <f>'XFMR Data'!L55</f>
        <v>55</v>
      </c>
      <c r="J160" s="74">
        <f t="shared" ref="J160:J165" si="121">G160/H157</f>
        <v>1.015625</v>
      </c>
      <c r="K160" s="69" t="s">
        <v>28</v>
      </c>
      <c r="L160" s="7">
        <f>'XFMR Data'!C55</f>
        <v>26</v>
      </c>
      <c r="M160" s="7">
        <f>'XFMR Data'!H55</f>
        <v>32</v>
      </c>
      <c r="N160" s="7">
        <f>'XFMR Data'!M55</f>
        <v>31</v>
      </c>
      <c r="O160" s="506">
        <f t="shared" ref="O160:O165" si="122">L160/M157</f>
        <v>0.96296296296296291</v>
      </c>
      <c r="P160" s="69" t="s">
        <v>28</v>
      </c>
      <c r="Q160" s="7">
        <f>'XFMR Data'!D55</f>
        <v>49</v>
      </c>
      <c r="R160" s="7">
        <f>'XFMR Data'!I55</f>
        <v>53</v>
      </c>
      <c r="S160" s="7">
        <f>'XFMR Data'!N55</f>
        <v>49</v>
      </c>
      <c r="T160" s="506">
        <f t="shared" ref="T160:T165" si="123">Q160/R157</f>
        <v>1.1395348837209303</v>
      </c>
      <c r="U160" s="69" t="s">
        <v>28</v>
      </c>
      <c r="V160" s="7">
        <f>'XFMR Data'!E55</f>
        <v>32</v>
      </c>
      <c r="W160" s="7">
        <f>'XFMR Data'!J55</f>
        <v>34</v>
      </c>
      <c r="X160" s="7">
        <f>'XFMR Data'!O55</f>
        <v>29</v>
      </c>
      <c r="Y160" s="506">
        <f t="shared" ref="Y160:Y165" si="124">V160/W157</f>
        <v>1.1428571428571428</v>
      </c>
      <c r="Z160" s="69" t="s">
        <v>28</v>
      </c>
      <c r="AA160" s="7">
        <f>'XFMR Data'!F55</f>
        <v>33</v>
      </c>
      <c r="AB160" s="40">
        <f>'XFMR Data'!K55</f>
        <v>38</v>
      </c>
      <c r="AC160" s="7">
        <f>'XFMR Data'!P55</f>
        <v>37</v>
      </c>
      <c r="AD160" s="506">
        <f t="shared" ref="AD160:AD165" si="125">AA160/AB157</f>
        <v>1.1000000000000001</v>
      </c>
      <c r="AE160" s="69" t="s">
        <v>28</v>
      </c>
    </row>
    <row r="161" spans="1:31" x14ac:dyDescent="0.25">
      <c r="A161" s="497">
        <f>'XFMR Data'!A56</f>
        <v>44714</v>
      </c>
      <c r="B161" s="7">
        <f>'XFMR Data'!T56*('XFMR Data'!Q56/100)</f>
        <v>252.9</v>
      </c>
      <c r="C161" s="7">
        <f>'XFMR Data'!U56*('XFMR Data'!R56/100)</f>
        <v>257.55</v>
      </c>
      <c r="D161" s="7">
        <f>'XFMR Data'!V56*('XFMR Data'!S56/100)</f>
        <v>201.28</v>
      </c>
      <c r="E161" s="74">
        <f t="shared" si="120"/>
        <v>1.5499172642029786</v>
      </c>
      <c r="F161" s="69" t="s">
        <v>28</v>
      </c>
      <c r="G161" s="14">
        <f>'XFMR Data'!B56</f>
        <v>61</v>
      </c>
      <c r="H161" s="40">
        <f>'XFMR Data'!G56</f>
        <v>53</v>
      </c>
      <c r="I161" s="7">
        <f>'XFMR Data'!L56</f>
        <v>53</v>
      </c>
      <c r="J161" s="74">
        <f t="shared" si="121"/>
        <v>1.6944444444444444</v>
      </c>
      <c r="K161" s="69" t="s">
        <v>28</v>
      </c>
      <c r="L161" s="7">
        <f>'XFMR Data'!C56</f>
        <v>24</v>
      </c>
      <c r="M161" s="7">
        <f>'XFMR Data'!H56</f>
        <v>31</v>
      </c>
      <c r="N161" s="7">
        <f>'XFMR Data'!M56</f>
        <v>26</v>
      </c>
      <c r="O161" s="506">
        <f t="shared" si="122"/>
        <v>1</v>
      </c>
      <c r="P161" s="69" t="s">
        <v>28</v>
      </c>
      <c r="Q161" s="7">
        <f>'XFMR Data'!D56</f>
        <v>45</v>
      </c>
      <c r="R161" s="7">
        <f>'XFMR Data'!I56</f>
        <v>47</v>
      </c>
      <c r="S161" s="7">
        <f>'XFMR Data'!N56</f>
        <v>38</v>
      </c>
      <c r="T161" s="506">
        <f t="shared" si="123"/>
        <v>1.5517241379310345</v>
      </c>
      <c r="U161" s="69" t="s">
        <v>28</v>
      </c>
      <c r="V161" s="7">
        <f>'XFMR Data'!E56</f>
        <v>29</v>
      </c>
      <c r="W161" s="7">
        <f>'XFMR Data'!J56</f>
        <v>30</v>
      </c>
      <c r="X161" s="7">
        <f>'XFMR Data'!O56</f>
        <v>25</v>
      </c>
      <c r="Y161" s="506">
        <f t="shared" si="124"/>
        <v>1.7058823529411764</v>
      </c>
      <c r="Z161" s="69" t="s">
        <v>28</v>
      </c>
      <c r="AA161" s="7">
        <f>'XFMR Data'!F56</f>
        <v>32</v>
      </c>
      <c r="AB161" s="40">
        <f>'XFMR Data'!K56</f>
        <v>35</v>
      </c>
      <c r="AC161" s="7">
        <f>'XFMR Data'!P56</f>
        <v>31</v>
      </c>
      <c r="AD161" s="506">
        <f t="shared" si="125"/>
        <v>1.2307692307692308</v>
      </c>
      <c r="AE161" s="69" t="s">
        <v>28</v>
      </c>
    </row>
    <row r="162" spans="1:31" x14ac:dyDescent="0.25">
      <c r="A162" s="497">
        <f>'XFMR Data'!A57</f>
        <v>44753</v>
      </c>
      <c r="B162" s="7">
        <f>'XFMR Data'!T57*('XFMR Data'!Q57/100)</f>
        <v>223.86</v>
      </c>
      <c r="C162" s="7">
        <f>'XFMR Data'!U57*('XFMR Data'!R57/100)</f>
        <v>183.6</v>
      </c>
      <c r="D162" s="7">
        <f>'XFMR Data'!V57*('XFMR Data'!S57/100)</f>
        <v>206.48</v>
      </c>
      <c r="E162" s="74">
        <f t="shared" si="120"/>
        <v>1.0348557692307694</v>
      </c>
      <c r="F162" s="69" t="s">
        <v>28</v>
      </c>
      <c r="G162" s="14">
        <f>'XFMR Data'!B57</f>
        <v>51</v>
      </c>
      <c r="H162" s="40">
        <f>'XFMR Data'!G57</f>
        <v>44</v>
      </c>
      <c r="I162" s="7">
        <f>'XFMR Data'!L57</f>
        <v>50</v>
      </c>
      <c r="J162" s="74">
        <f t="shared" si="121"/>
        <v>0.72857142857142854</v>
      </c>
      <c r="K162" s="69" t="s">
        <v>28</v>
      </c>
      <c r="L162" s="7">
        <f>'XFMR Data'!C57</f>
        <v>25</v>
      </c>
      <c r="M162" s="7">
        <f>'XFMR Data'!H57</f>
        <v>26</v>
      </c>
      <c r="N162" s="7">
        <f>'XFMR Data'!M57</f>
        <v>24</v>
      </c>
      <c r="O162" s="506">
        <f t="shared" si="122"/>
        <v>0.8928571428571429</v>
      </c>
      <c r="P162" s="69" t="s">
        <v>28</v>
      </c>
      <c r="Q162" s="7">
        <f>'XFMR Data'!D57</f>
        <v>40</v>
      </c>
      <c r="R162" s="7">
        <f>'XFMR Data'!I57</f>
        <v>40</v>
      </c>
      <c r="S162" s="7">
        <f>'XFMR Data'!N57</f>
        <v>36</v>
      </c>
      <c r="T162" s="506">
        <f t="shared" si="123"/>
        <v>0.83333333333333337</v>
      </c>
      <c r="U162" s="69" t="s">
        <v>28</v>
      </c>
      <c r="V162" s="7">
        <f>'XFMR Data'!E57</f>
        <v>25</v>
      </c>
      <c r="W162" s="7">
        <f>'XFMR Data'!J57</f>
        <v>25</v>
      </c>
      <c r="X162" s="7">
        <f>'XFMR Data'!O57</f>
        <v>25</v>
      </c>
      <c r="Y162" s="506">
        <f t="shared" si="124"/>
        <v>0.78125</v>
      </c>
      <c r="Z162" s="69" t="s">
        <v>28</v>
      </c>
      <c r="AA162" s="7">
        <f>'XFMR Data'!F57</f>
        <v>27</v>
      </c>
      <c r="AB162" s="40">
        <f>'XFMR Data'!K57</f>
        <v>33</v>
      </c>
      <c r="AC162" s="7">
        <f>'XFMR Data'!P57</f>
        <v>27</v>
      </c>
      <c r="AD162" s="506">
        <f t="shared" si="125"/>
        <v>0.81818181818181823</v>
      </c>
      <c r="AE162" s="69" t="s">
        <v>28</v>
      </c>
    </row>
    <row r="163" spans="1:31" x14ac:dyDescent="0.25">
      <c r="A163" s="497">
        <v>44774</v>
      </c>
      <c r="B163" s="7">
        <f>'XFMR Data'!T58*('XFMR Data'!Q58/100)</f>
        <v>190.8</v>
      </c>
      <c r="C163" s="7">
        <f>'XFMR Data'!U58*('XFMR Data'!R58/100)</f>
        <v>193.92</v>
      </c>
      <c r="D163" s="7">
        <f>'XFMR Data'!V58*('XFMR Data'!S58/100)</f>
        <v>197.4</v>
      </c>
      <c r="E163" s="74">
        <f t="shared" si="120"/>
        <v>0.66284523189161038</v>
      </c>
      <c r="F163" s="74">
        <f t="shared" ref="F163:F168" si="126">B163/D157</f>
        <v>0.59759458782260089</v>
      </c>
      <c r="G163" s="14">
        <f>'XFMR Data'!B58</f>
        <v>43</v>
      </c>
      <c r="H163" s="40">
        <f>'XFMR Data'!G58</f>
        <v>47</v>
      </c>
      <c r="I163" s="7">
        <f>'XFMR Data'!L58</f>
        <v>44</v>
      </c>
      <c r="J163" s="74">
        <f t="shared" si="121"/>
        <v>0.68253968253968256</v>
      </c>
      <c r="K163" s="74">
        <f t="shared" ref="K163:K168" si="127">G163/I157</f>
        <v>0.58904109589041098</v>
      </c>
      <c r="L163" s="7">
        <f>'XFMR Data'!C58</f>
        <v>20</v>
      </c>
      <c r="M163" s="7">
        <f>'XFMR Data'!H58</f>
        <v>27</v>
      </c>
      <c r="N163" s="7">
        <f>'XFMR Data'!M58</f>
        <v>25</v>
      </c>
      <c r="O163" s="506">
        <f t="shared" si="122"/>
        <v>0.625</v>
      </c>
      <c r="P163" s="74">
        <f t="shared" ref="P163:P168" si="128">L163/N157</f>
        <v>0.43478260869565216</v>
      </c>
      <c r="Q163" s="7">
        <f>'XFMR Data'!D58</f>
        <v>35</v>
      </c>
      <c r="R163" s="7">
        <f>'XFMR Data'!I58</f>
        <v>42</v>
      </c>
      <c r="S163" s="7">
        <f>'XFMR Data'!N58</f>
        <v>36</v>
      </c>
      <c r="T163" s="506">
        <f t="shared" si="123"/>
        <v>0.660377358490566</v>
      </c>
      <c r="U163" s="74">
        <f t="shared" ref="U163:U168" si="129">Q163/S157</f>
        <v>0.56451612903225812</v>
      </c>
      <c r="V163" s="7">
        <f>'XFMR Data'!E58</f>
        <v>21</v>
      </c>
      <c r="W163" s="7">
        <f>'XFMR Data'!J58</f>
        <v>26</v>
      </c>
      <c r="X163" s="7">
        <f>'XFMR Data'!O58</f>
        <v>23</v>
      </c>
      <c r="Y163" s="506">
        <f t="shared" si="124"/>
        <v>0.61764705882352944</v>
      </c>
      <c r="Z163" s="74">
        <f t="shared" ref="Z163:Z168" si="130">V163/X157</f>
        <v>0.55263157894736847</v>
      </c>
      <c r="AA163" s="7">
        <f>'XFMR Data'!F58</f>
        <v>27</v>
      </c>
      <c r="AB163" s="40">
        <f>'XFMR Data'!K58</f>
        <v>33</v>
      </c>
      <c r="AC163" s="7">
        <f>'XFMR Data'!P58</f>
        <v>28</v>
      </c>
      <c r="AD163" s="506">
        <f t="shared" si="125"/>
        <v>0.71052631578947367</v>
      </c>
      <c r="AE163" s="74">
        <f t="shared" ref="AE163:AE168" si="131">AA163/AC157</f>
        <v>0.52941176470588236</v>
      </c>
    </row>
    <row r="164" spans="1:31" x14ac:dyDescent="0.25">
      <c r="A164" s="497">
        <v>44805</v>
      </c>
      <c r="B164" s="7">
        <f>'XFMR Data'!T59*('XFMR Data'!Q59/100)</f>
        <v>191.1</v>
      </c>
      <c r="C164" s="7">
        <f>'XFMR Data'!U59*('XFMR Data'!R59/100)</f>
        <v>192</v>
      </c>
      <c r="D164" s="7">
        <f>'XFMR Data'!V59*('XFMR Data'!S59/100)</f>
        <v>192.93</v>
      </c>
      <c r="E164" s="74">
        <f t="shared" si="120"/>
        <v>0.74199184624344783</v>
      </c>
      <c r="F164" s="74">
        <f t="shared" si="126"/>
        <v>0.96710526315789469</v>
      </c>
      <c r="G164" s="14">
        <f>'XFMR Data'!B59</f>
        <v>46</v>
      </c>
      <c r="H164" s="40">
        <f>'XFMR Data'!G59</f>
        <v>45</v>
      </c>
      <c r="I164" s="7">
        <f>'XFMR Data'!L59</f>
        <v>46</v>
      </c>
      <c r="J164" s="74">
        <f t="shared" si="121"/>
        <v>0.86792452830188682</v>
      </c>
      <c r="K164" s="74">
        <f t="shared" si="127"/>
        <v>1.1499999999999999</v>
      </c>
      <c r="L164" s="7">
        <f>'XFMR Data'!C59</f>
        <v>20</v>
      </c>
      <c r="M164" s="7">
        <f>'XFMR Data'!H59</f>
        <v>31</v>
      </c>
      <c r="N164" s="7">
        <f>'XFMR Data'!M59</f>
        <v>22</v>
      </c>
      <c r="O164" s="506">
        <f t="shared" si="122"/>
        <v>0.64516129032258063</v>
      </c>
      <c r="P164" s="74">
        <f t="shared" si="128"/>
        <v>0.54054054054054057</v>
      </c>
      <c r="Q164" s="7">
        <f>'XFMR Data'!D59</f>
        <v>33</v>
      </c>
      <c r="R164" s="7">
        <f>'XFMR Data'!I59</f>
        <v>46</v>
      </c>
      <c r="S164" s="7">
        <f>'XFMR Data'!N59</f>
        <v>34</v>
      </c>
      <c r="T164" s="506">
        <f t="shared" si="123"/>
        <v>0.7021276595744681</v>
      </c>
      <c r="U164" s="74">
        <f t="shared" si="129"/>
        <v>0.84615384615384615</v>
      </c>
      <c r="V164" s="7">
        <f>'XFMR Data'!E59</f>
        <v>21</v>
      </c>
      <c r="W164" s="7">
        <f>'XFMR Data'!J59</f>
        <v>26</v>
      </c>
      <c r="X164" s="7">
        <f>'XFMR Data'!O59</f>
        <v>22</v>
      </c>
      <c r="Y164" s="506">
        <f t="shared" si="124"/>
        <v>0.7</v>
      </c>
      <c r="Z164" s="74">
        <f t="shared" si="130"/>
        <v>0.95454545454545459</v>
      </c>
      <c r="AA164" s="7">
        <f>'XFMR Data'!F59</f>
        <v>25</v>
      </c>
      <c r="AB164" s="40">
        <f>'XFMR Data'!K59</f>
        <v>31</v>
      </c>
      <c r="AC164" s="7">
        <f>'XFMR Data'!P59</f>
        <v>27</v>
      </c>
      <c r="AD164" s="506">
        <f t="shared" si="125"/>
        <v>0.7142857142857143</v>
      </c>
      <c r="AE164" s="74">
        <f t="shared" si="131"/>
        <v>0.64102564102564108</v>
      </c>
    </row>
    <row r="165" spans="1:31" x14ac:dyDescent="0.25">
      <c r="A165" s="497">
        <v>44838</v>
      </c>
      <c r="B165" s="7">
        <f>'XFMR Data'!T60*('XFMR Data'!Q60/100)</f>
        <v>166.47</v>
      </c>
      <c r="C165" s="7">
        <f>'XFMR Data'!U60*('XFMR Data'!R60/100)</f>
        <v>196.79999999999998</v>
      </c>
      <c r="D165" s="7">
        <f>'XFMR Data'!V60*('XFMR Data'!S60/100)</f>
        <v>204.82</v>
      </c>
      <c r="E165" s="74">
        <f t="shared" si="120"/>
        <v>0.90669934640522876</v>
      </c>
      <c r="F165" s="74">
        <f t="shared" si="126"/>
        <v>0.71116712235133284</v>
      </c>
      <c r="G165" s="14">
        <f>'XFMR Data'!B60</f>
        <v>38</v>
      </c>
      <c r="H165" s="40">
        <f>'XFMR Data'!G60</f>
        <v>53</v>
      </c>
      <c r="I165" s="7">
        <f>'XFMR Data'!L60</f>
        <v>50</v>
      </c>
      <c r="J165" s="74">
        <f t="shared" si="121"/>
        <v>0.86363636363636365</v>
      </c>
      <c r="K165" s="74">
        <f t="shared" si="127"/>
        <v>0.52054794520547942</v>
      </c>
      <c r="L165" s="7">
        <f>'XFMR Data'!C60</f>
        <v>23</v>
      </c>
      <c r="M165" s="7">
        <f>'XFMR Data'!H60</f>
        <v>19</v>
      </c>
      <c r="N165" s="7">
        <f>'XFMR Data'!M60</f>
        <v>24</v>
      </c>
      <c r="O165" s="506">
        <f t="shared" si="122"/>
        <v>0.88461538461538458</v>
      </c>
      <c r="P165" s="74">
        <f t="shared" si="128"/>
        <v>0.54761904761904767</v>
      </c>
      <c r="Q165" s="7">
        <f>'XFMR Data'!D60</f>
        <v>37</v>
      </c>
      <c r="R165" s="7">
        <f>'XFMR Data'!I60</f>
        <v>36</v>
      </c>
      <c r="S165" s="7">
        <f>'XFMR Data'!N60</f>
        <v>36</v>
      </c>
      <c r="T165" s="506">
        <f t="shared" si="123"/>
        <v>0.92500000000000004</v>
      </c>
      <c r="U165" s="74">
        <f t="shared" si="129"/>
        <v>0.6271186440677966</v>
      </c>
      <c r="V165" s="7">
        <f>'XFMR Data'!E60</f>
        <v>22</v>
      </c>
      <c r="W165" s="7">
        <f>'XFMR Data'!J60</f>
        <v>22</v>
      </c>
      <c r="X165" s="7">
        <f>'XFMR Data'!O60</f>
        <v>23</v>
      </c>
      <c r="Y165" s="506">
        <f t="shared" si="124"/>
        <v>0.88</v>
      </c>
      <c r="Z165" s="74">
        <f t="shared" si="130"/>
        <v>0.59459459459459463</v>
      </c>
      <c r="AA165" s="7">
        <f>'XFMR Data'!F60</f>
        <v>38</v>
      </c>
      <c r="AB165" s="40">
        <f>'XFMR Data'!K60</f>
        <v>28</v>
      </c>
      <c r="AC165" s="7">
        <f>'XFMR Data'!P60</f>
        <v>26</v>
      </c>
      <c r="AD165" s="506">
        <f t="shared" si="125"/>
        <v>1.1515151515151516</v>
      </c>
      <c r="AE165" s="74">
        <f t="shared" si="131"/>
        <v>0.79166666666666663</v>
      </c>
    </row>
    <row r="166" spans="1:31" x14ac:dyDescent="0.25">
      <c r="A166" s="497">
        <v>44868</v>
      </c>
      <c r="B166" s="7">
        <f>'XFMR Data'!T61*('XFMR Data'!Q61/100)</f>
        <v>138.72</v>
      </c>
      <c r="C166" s="7">
        <f>'XFMR Data'!U61*('XFMR Data'!R61/100)</f>
        <v>159.58000000000001</v>
      </c>
      <c r="D166" s="7">
        <f>'XFMR Data'!V61*('XFMR Data'!S61/100)</f>
        <v>182.7</v>
      </c>
      <c r="E166" s="74">
        <f t="shared" ref="E166" si="132">B166/C163</f>
        <v>0.71534653465346543</v>
      </c>
      <c r="F166" s="74">
        <f t="shared" si="126"/>
        <v>0.59302325581395354</v>
      </c>
      <c r="G166" s="14">
        <f>'XFMR Data'!B61</f>
        <v>27</v>
      </c>
      <c r="H166" s="40">
        <f>'XFMR Data'!G61</f>
        <v>45</v>
      </c>
      <c r="I166" s="7">
        <f>'XFMR Data'!L61</f>
        <v>41</v>
      </c>
      <c r="J166" s="74">
        <f t="shared" ref="J166" si="133">G166/H163</f>
        <v>0.57446808510638303</v>
      </c>
      <c r="K166" s="74">
        <f t="shared" si="127"/>
        <v>0.49090909090909091</v>
      </c>
      <c r="L166" s="7">
        <f>'XFMR Data'!C61</f>
        <v>18</v>
      </c>
      <c r="M166" s="7">
        <f>'XFMR Data'!H61</f>
        <v>16</v>
      </c>
      <c r="N166" s="7">
        <f>'XFMR Data'!M61</f>
        <v>23</v>
      </c>
      <c r="O166" s="506">
        <f t="shared" ref="O166" si="134">L166/M163</f>
        <v>0.66666666666666663</v>
      </c>
      <c r="P166" s="74">
        <f t="shared" si="128"/>
        <v>0.58064516129032262</v>
      </c>
      <c r="Q166" s="7">
        <f>'XFMR Data'!D61</f>
        <v>28</v>
      </c>
      <c r="R166" s="7">
        <f>'XFMR Data'!I61</f>
        <v>28</v>
      </c>
      <c r="S166" s="7">
        <f>'XFMR Data'!N61</f>
        <v>33</v>
      </c>
      <c r="T166" s="506">
        <f t="shared" ref="T166" si="135">Q166/R163</f>
        <v>0.66666666666666663</v>
      </c>
      <c r="U166" s="74">
        <f t="shared" si="129"/>
        <v>0.5714285714285714</v>
      </c>
      <c r="V166" s="7">
        <f>'XFMR Data'!E61</f>
        <v>16</v>
      </c>
      <c r="W166" s="7">
        <f>'XFMR Data'!J61</f>
        <v>18</v>
      </c>
      <c r="X166" s="7">
        <f>'XFMR Data'!O61</f>
        <v>21</v>
      </c>
      <c r="Y166" s="506">
        <f t="shared" ref="Y166" si="136">V166/W163</f>
        <v>0.61538461538461542</v>
      </c>
      <c r="Z166" s="74">
        <f t="shared" si="130"/>
        <v>0.55172413793103448</v>
      </c>
      <c r="AA166" s="7">
        <f>'XFMR Data'!F61</f>
        <v>23</v>
      </c>
      <c r="AB166" s="40">
        <f>'XFMR Data'!K61</f>
        <v>17</v>
      </c>
      <c r="AC166" s="7">
        <f>'XFMR Data'!P61</f>
        <v>26</v>
      </c>
      <c r="AD166" s="506">
        <f t="shared" ref="AD166" si="137">AA166/AB163</f>
        <v>0.69696969696969702</v>
      </c>
      <c r="AE166" s="74">
        <f t="shared" si="131"/>
        <v>0.6216216216216216</v>
      </c>
    </row>
    <row r="167" spans="1:31" x14ac:dyDescent="0.25">
      <c r="A167" s="497">
        <v>44908</v>
      </c>
      <c r="B167" s="7">
        <f>'XFMR Data'!T62*('XFMR Data'!Q62/100)</f>
        <v>124.1</v>
      </c>
      <c r="C167" s="7">
        <f>'XFMR Data'!U62*('XFMR Data'!R62/100)</f>
        <v>141.85999999999999</v>
      </c>
      <c r="D167" s="7">
        <f>'XFMR Data'!V62*('XFMR Data'!S62/100)</f>
        <v>220.22</v>
      </c>
      <c r="E167" s="74">
        <f t="shared" ref="E167" si="138">B167/C164</f>
        <v>0.64635416666666667</v>
      </c>
      <c r="F167" s="74">
        <f t="shared" si="126"/>
        <v>0.61655405405405406</v>
      </c>
      <c r="G167" s="14">
        <f>'XFMR Data'!B62</f>
        <v>25</v>
      </c>
      <c r="H167" s="40">
        <f>'XFMR Data'!G62</f>
        <v>36</v>
      </c>
      <c r="I167" s="7">
        <f>'XFMR Data'!L62</f>
        <v>48</v>
      </c>
      <c r="J167" s="74">
        <f t="shared" ref="J167" si="139">G167/H164</f>
        <v>0.55555555555555558</v>
      </c>
      <c r="K167" s="74">
        <f t="shared" si="127"/>
        <v>0.47169811320754718</v>
      </c>
      <c r="L167" s="7">
        <f>'XFMR Data'!C62</f>
        <v>16</v>
      </c>
      <c r="M167" s="7">
        <f>'XFMR Data'!H62</f>
        <v>14</v>
      </c>
      <c r="N167" s="7">
        <f>'XFMR Data'!M62</f>
        <v>27</v>
      </c>
      <c r="O167" s="506">
        <f t="shared" ref="O167" si="140">L167/M164</f>
        <v>0.5161290322580645</v>
      </c>
      <c r="P167" s="74">
        <f t="shared" si="128"/>
        <v>0.61538461538461542</v>
      </c>
      <c r="Q167" s="7">
        <f>'XFMR Data'!D62</f>
        <v>27</v>
      </c>
      <c r="R167" s="7">
        <f>'XFMR Data'!I62</f>
        <v>26</v>
      </c>
      <c r="S167" s="7">
        <f>'XFMR Data'!N62</f>
        <v>40</v>
      </c>
      <c r="T167" s="506">
        <f t="shared" ref="T167" si="141">Q167/R164</f>
        <v>0.58695652173913049</v>
      </c>
      <c r="U167" s="74">
        <f t="shared" si="129"/>
        <v>0.71052631578947367</v>
      </c>
      <c r="V167" s="7">
        <f>'XFMR Data'!E62</f>
        <v>14</v>
      </c>
      <c r="W167" s="7">
        <f>'XFMR Data'!J62</f>
        <v>17</v>
      </c>
      <c r="X167" s="7">
        <f>'XFMR Data'!O62</f>
        <v>24</v>
      </c>
      <c r="Y167" s="506">
        <f t="shared" ref="Y167" si="142">V167/W164</f>
        <v>0.53846153846153844</v>
      </c>
      <c r="Z167" s="74">
        <f t="shared" si="130"/>
        <v>0.56000000000000005</v>
      </c>
      <c r="AA167" s="7">
        <f>'XFMR Data'!F62</f>
        <v>22</v>
      </c>
      <c r="AB167" s="40">
        <f>'XFMR Data'!K62</f>
        <v>18</v>
      </c>
      <c r="AC167" s="7">
        <f>'XFMR Data'!P62</f>
        <v>29</v>
      </c>
      <c r="AD167" s="506">
        <f t="shared" ref="AD167" si="143">AA167/AB164</f>
        <v>0.70967741935483875</v>
      </c>
      <c r="AE167" s="74">
        <f t="shared" si="131"/>
        <v>0.70967741935483875</v>
      </c>
    </row>
    <row r="168" spans="1:31" x14ac:dyDescent="0.25">
      <c r="A168" s="497">
        <v>44965</v>
      </c>
      <c r="B168" s="7">
        <f>'XFMR Data'!T63*('XFMR Data'!Q63/100)</f>
        <v>145.6</v>
      </c>
      <c r="C168" s="7">
        <f>'XFMR Data'!U63*('XFMR Data'!R63/100)</f>
        <v>157.25</v>
      </c>
      <c r="D168" s="7">
        <f>'XFMR Data'!V63*('XFMR Data'!S63/100)</f>
        <v>275.27999999999997</v>
      </c>
      <c r="E168" s="74">
        <f t="shared" ref="E168" si="144">B168/C165</f>
        <v>0.73983739837398377</v>
      </c>
      <c r="F168" s="74">
        <f t="shared" si="126"/>
        <v>0.70515304145679969</v>
      </c>
      <c r="G168" s="14">
        <f>'XFMR Data'!B63</f>
        <v>69</v>
      </c>
      <c r="H168" s="40">
        <f>'XFMR Data'!G63</f>
        <v>40</v>
      </c>
      <c r="I168" s="7">
        <f>'XFMR Data'!L63</f>
        <v>121</v>
      </c>
      <c r="J168" s="74">
        <f t="shared" ref="J168" si="145">G168/H165</f>
        <v>1.3018867924528301</v>
      </c>
      <c r="K168" s="74">
        <f t="shared" si="127"/>
        <v>1.38</v>
      </c>
      <c r="L168" s="7">
        <f>'XFMR Data'!C63</f>
        <v>33</v>
      </c>
      <c r="M168" s="7">
        <f>'XFMR Data'!H63</f>
        <v>35</v>
      </c>
      <c r="N168" s="7">
        <f>'XFMR Data'!M63</f>
        <v>62</v>
      </c>
      <c r="O168" s="506">
        <f t="shared" ref="O168" si="146">L168/M165</f>
        <v>1.736842105263158</v>
      </c>
      <c r="P168" s="74">
        <f t="shared" si="128"/>
        <v>1.375</v>
      </c>
      <c r="Q168" s="7">
        <f>'XFMR Data'!D63</f>
        <v>30</v>
      </c>
      <c r="R168" s="7">
        <f>'XFMR Data'!I63</f>
        <v>22</v>
      </c>
      <c r="S168" s="7">
        <f>'XFMR Data'!N63</f>
        <v>50</v>
      </c>
      <c r="T168" s="506">
        <f t="shared" ref="T168" si="147">Q168/R165</f>
        <v>0.83333333333333337</v>
      </c>
      <c r="U168" s="74">
        <f t="shared" si="129"/>
        <v>0.83333333333333337</v>
      </c>
      <c r="V168" s="7">
        <f>'XFMR Data'!E63</f>
        <v>17</v>
      </c>
      <c r="W168" s="7">
        <f>'XFMR Data'!J63</f>
        <v>13</v>
      </c>
      <c r="X168" s="7">
        <f>'XFMR Data'!O63</f>
        <v>30</v>
      </c>
      <c r="Y168" s="506">
        <f t="shared" ref="Y168" si="148">V168/W165</f>
        <v>0.77272727272727271</v>
      </c>
      <c r="Z168" s="74">
        <f t="shared" si="130"/>
        <v>0.68</v>
      </c>
      <c r="AA168" s="7">
        <f>'XFMR Data'!F63</f>
        <v>47</v>
      </c>
      <c r="AB168" s="40">
        <f>'XFMR Data'!K63</f>
        <v>38</v>
      </c>
      <c r="AC168" s="7">
        <f>'XFMR Data'!P63</f>
        <v>70</v>
      </c>
      <c r="AD168" s="506">
        <f t="shared" ref="AD168" si="149">AA168/AB165</f>
        <v>1.6785714285714286</v>
      </c>
      <c r="AE168" s="74">
        <f t="shared" si="131"/>
        <v>1.7407407407407407</v>
      </c>
    </row>
    <row r="169" spans="1:31" x14ac:dyDescent="0.25">
      <c r="A169" s="497">
        <v>44992</v>
      </c>
      <c r="B169" s="7">
        <f>'XFMR Data'!T64*('XFMR Data'!Q64/100)</f>
        <v>164.85</v>
      </c>
      <c r="C169" s="7">
        <f>'XFMR Data'!U64*('XFMR Data'!R64/100)</f>
        <v>175.57</v>
      </c>
      <c r="D169" s="7">
        <f>'XFMR Data'!V64*('XFMR Data'!S64/100)</f>
        <v>319.93</v>
      </c>
      <c r="E169" s="74">
        <f t="shared" ref="E169:E203" si="150">B169/C166</f>
        <v>1.0330241884947988</v>
      </c>
      <c r="F169" s="74">
        <f t="shared" ref="F169:F203" si="151">B169/D163</f>
        <v>0.83510638297872331</v>
      </c>
      <c r="G169" s="14">
        <f>'XFMR Data'!B64</f>
        <v>65</v>
      </c>
      <c r="H169" s="40">
        <f>'XFMR Data'!G64</f>
        <v>70</v>
      </c>
      <c r="I169" s="7">
        <f>'XFMR Data'!L64</f>
        <v>126</v>
      </c>
      <c r="J169" s="74">
        <f t="shared" ref="J169:J203" si="152">G169/H166</f>
        <v>1.4444444444444444</v>
      </c>
      <c r="K169" s="74">
        <f t="shared" ref="K169:K203" si="153">G169/I163</f>
        <v>1.4772727272727273</v>
      </c>
      <c r="L169" s="7">
        <f>'XFMR Data'!C64</f>
        <v>39</v>
      </c>
      <c r="M169" s="7">
        <f>'XFMR Data'!H64</f>
        <v>45</v>
      </c>
      <c r="N169" s="7">
        <f>'XFMR Data'!M64</f>
        <v>71</v>
      </c>
      <c r="O169" s="506">
        <f t="shared" ref="O169:O203" si="154">L169/M166</f>
        <v>2.4375</v>
      </c>
      <c r="P169" s="74">
        <f t="shared" ref="P169:P203" si="155">L169/N163</f>
        <v>1.56</v>
      </c>
      <c r="Q169" s="7">
        <f>'XFMR Data'!D64</f>
        <v>30</v>
      </c>
      <c r="R169" s="7">
        <f>'XFMR Data'!I64</f>
        <v>35</v>
      </c>
      <c r="S169" s="7">
        <f>'XFMR Data'!N64</f>
        <v>56</v>
      </c>
      <c r="T169" s="506">
        <f t="shared" ref="T169:T203" si="156">Q169/R166</f>
        <v>1.0714285714285714</v>
      </c>
      <c r="U169" s="74">
        <f t="shared" ref="U169:U203" si="157">Q169/S163</f>
        <v>0.83333333333333337</v>
      </c>
      <c r="V169" s="7">
        <f>'XFMR Data'!E64</f>
        <v>18</v>
      </c>
      <c r="W169" s="7">
        <f>'XFMR Data'!J64</f>
        <v>21</v>
      </c>
      <c r="X169" s="7">
        <f>'XFMR Data'!O64</f>
        <v>33</v>
      </c>
      <c r="Y169" s="506">
        <f t="shared" ref="Y169:Y203" si="158">V169/W166</f>
        <v>1</v>
      </c>
      <c r="Z169" s="74">
        <f t="shared" ref="Z169:Z203" si="159">V169/X163</f>
        <v>0.78260869565217395</v>
      </c>
      <c r="AA169" s="7">
        <f>'XFMR Data'!F64</f>
        <v>60</v>
      </c>
      <c r="AB169" s="40">
        <f>'XFMR Data'!K64</f>
        <v>51</v>
      </c>
      <c r="AC169" s="7">
        <f>'XFMR Data'!P64</f>
        <v>85</v>
      </c>
      <c r="AD169" s="506">
        <f t="shared" ref="AD169:AD203" si="160">AA169/AB166</f>
        <v>3.5294117647058822</v>
      </c>
      <c r="AE169" s="74">
        <f t="shared" ref="AE169:AE203" si="161">AA169/AC163</f>
        <v>2.1428571428571428</v>
      </c>
    </row>
    <row r="170" spans="1:31" x14ac:dyDescent="0.25">
      <c r="A170" s="497">
        <v>45020</v>
      </c>
      <c r="B170" s="7">
        <f>'XFMR Data'!T65*('XFMR Data'!Q65/100)</f>
        <v>216.27</v>
      </c>
      <c r="C170" s="7">
        <f>'XFMR Data'!U65*('XFMR Data'!R65/100)</f>
        <v>238.45</v>
      </c>
      <c r="D170" s="7">
        <f>'XFMR Data'!V65*('XFMR Data'!S65/100)</f>
        <v>239.12</v>
      </c>
      <c r="E170" s="74">
        <f t="shared" si="150"/>
        <v>1.5245312279712395</v>
      </c>
      <c r="F170" s="74">
        <f t="shared" si="151"/>
        <v>1.1209765199813404</v>
      </c>
      <c r="G170" s="14">
        <f>'XFMR Data'!B65</f>
        <v>76</v>
      </c>
      <c r="H170" s="40">
        <f>'XFMR Data'!G65</f>
        <v>100</v>
      </c>
      <c r="I170" s="7">
        <f>'XFMR Data'!L65</f>
        <v>110</v>
      </c>
      <c r="J170" s="74">
        <f t="shared" si="152"/>
        <v>2.1111111111111112</v>
      </c>
      <c r="K170" s="74">
        <f t="shared" si="153"/>
        <v>1.6521739130434783</v>
      </c>
      <c r="L170" s="7">
        <f>'XFMR Data'!C65</f>
        <v>60</v>
      </c>
      <c r="M170" s="7">
        <f>'XFMR Data'!H65</f>
        <v>59</v>
      </c>
      <c r="N170" s="7">
        <f>'XFMR Data'!M65</f>
        <v>54</v>
      </c>
      <c r="O170" s="506">
        <f t="shared" si="154"/>
        <v>4.2857142857142856</v>
      </c>
      <c r="P170" s="74">
        <f t="shared" si="155"/>
        <v>2.7272727272727271</v>
      </c>
      <c r="Q170" s="7">
        <f>'XFMR Data'!D65</f>
        <v>34</v>
      </c>
      <c r="R170" s="7">
        <f>'XFMR Data'!I65</f>
        <v>36</v>
      </c>
      <c r="S170" s="7">
        <f>'XFMR Data'!N65</f>
        <v>38</v>
      </c>
      <c r="T170" s="506">
        <f t="shared" si="156"/>
        <v>1.3076923076923077</v>
      </c>
      <c r="U170" s="74">
        <f t="shared" si="157"/>
        <v>1</v>
      </c>
      <c r="V170" s="7">
        <f>'XFMR Data'!E65</f>
        <v>26</v>
      </c>
      <c r="W170" s="7">
        <f>'XFMR Data'!J65</f>
        <v>26</v>
      </c>
      <c r="X170" s="7">
        <f>'XFMR Data'!O65</f>
        <v>26</v>
      </c>
      <c r="Y170" s="506">
        <f t="shared" si="158"/>
        <v>1.5294117647058822</v>
      </c>
      <c r="Z170" s="74">
        <f t="shared" si="159"/>
        <v>1.1818181818181819</v>
      </c>
      <c r="AA170" s="7">
        <f>'XFMR Data'!F65</f>
        <v>77</v>
      </c>
      <c r="AB170" s="40">
        <f>'XFMR Data'!K65</f>
        <v>64</v>
      </c>
      <c r="AC170" s="7">
        <f>'XFMR Data'!P65</f>
        <v>62</v>
      </c>
      <c r="AD170" s="506">
        <f t="shared" si="160"/>
        <v>4.2777777777777777</v>
      </c>
      <c r="AE170" s="74">
        <f t="shared" si="161"/>
        <v>2.8518518518518516</v>
      </c>
    </row>
    <row r="171" spans="1:31" x14ac:dyDescent="0.25">
      <c r="A171" s="497">
        <v>45047</v>
      </c>
      <c r="B171" s="7">
        <f>'XFMR Data'!T66*('XFMR Data'!Q66/100)</f>
        <v>224.77</v>
      </c>
      <c r="C171" s="7">
        <f>'XFMR Data'!U66*('XFMR Data'!R66/100)</f>
        <v>243.47</v>
      </c>
      <c r="D171" s="7">
        <f>'XFMR Data'!V66*('XFMR Data'!S66/100)</f>
        <v>219.6</v>
      </c>
      <c r="E171" s="74">
        <f t="shared" si="150"/>
        <v>1.4293799682034978</v>
      </c>
      <c r="F171" s="74">
        <f t="shared" si="151"/>
        <v>1.0974025974025974</v>
      </c>
      <c r="G171" s="14">
        <f>'XFMR Data'!B66</f>
        <v>83</v>
      </c>
      <c r="H171" s="40">
        <f>'XFMR Data'!G66</f>
        <v>105</v>
      </c>
      <c r="I171" s="7">
        <f>'XFMR Data'!L66</f>
        <v>98</v>
      </c>
      <c r="J171" s="74">
        <f t="shared" si="152"/>
        <v>2.0750000000000002</v>
      </c>
      <c r="K171" s="74">
        <f t="shared" si="153"/>
        <v>1.66</v>
      </c>
      <c r="L171" s="7">
        <f>'XFMR Data'!C66</f>
        <v>61</v>
      </c>
      <c r="M171" s="7">
        <f>'XFMR Data'!H66</f>
        <v>59</v>
      </c>
      <c r="N171" s="7">
        <f>'XFMR Data'!M66</f>
        <v>50</v>
      </c>
      <c r="O171" s="506">
        <f t="shared" si="154"/>
        <v>1.7428571428571429</v>
      </c>
      <c r="P171" s="74">
        <f t="shared" si="155"/>
        <v>2.5416666666666665</v>
      </c>
      <c r="Q171" s="7">
        <f>'XFMR Data'!D66</f>
        <v>35</v>
      </c>
      <c r="R171" s="7">
        <f>'XFMR Data'!I66</f>
        <v>37</v>
      </c>
      <c r="S171" s="7">
        <f>'XFMR Data'!N66</f>
        <v>35</v>
      </c>
      <c r="T171" s="506">
        <f t="shared" si="156"/>
        <v>1.5909090909090908</v>
      </c>
      <c r="U171" s="74">
        <f t="shared" si="157"/>
        <v>0.97222222222222221</v>
      </c>
      <c r="V171" s="7">
        <f>'XFMR Data'!E66</f>
        <v>26</v>
      </c>
      <c r="W171" s="7">
        <f>'XFMR Data'!J66</f>
        <v>26</v>
      </c>
      <c r="X171" s="7">
        <f>'XFMR Data'!O66</f>
        <v>25</v>
      </c>
      <c r="Y171" s="506">
        <f t="shared" si="158"/>
        <v>2</v>
      </c>
      <c r="Z171" s="74">
        <f t="shared" si="159"/>
        <v>1.1304347826086956</v>
      </c>
      <c r="AA171" s="7">
        <f>'XFMR Data'!F66</f>
        <v>72</v>
      </c>
      <c r="AB171" s="40">
        <f>'XFMR Data'!K66</f>
        <v>67</v>
      </c>
      <c r="AC171" s="7">
        <f>'XFMR Data'!P66</f>
        <v>58</v>
      </c>
      <c r="AD171" s="506">
        <f t="shared" si="160"/>
        <v>1.8947368421052631</v>
      </c>
      <c r="AE171" s="74">
        <f t="shared" si="161"/>
        <v>2.7692307692307692</v>
      </c>
    </row>
    <row r="172" spans="1:31" x14ac:dyDescent="0.25">
      <c r="B172" s="7">
        <f>'XFMR Data'!T67*('XFMR Data'!Q67/100)</f>
        <v>0</v>
      </c>
      <c r="C172" s="7">
        <f>'XFMR Data'!U67*('XFMR Data'!R67/100)</f>
        <v>0</v>
      </c>
      <c r="D172" s="7">
        <f>'XFMR Data'!V67*('XFMR Data'!S67/100)</f>
        <v>0</v>
      </c>
      <c r="E172" s="74">
        <f t="shared" si="150"/>
        <v>0</v>
      </c>
      <c r="F172" s="74">
        <f t="shared" si="151"/>
        <v>0</v>
      </c>
      <c r="G172" s="14">
        <f>'XFMR Data'!B67</f>
        <v>0</v>
      </c>
      <c r="H172" s="40">
        <f>'XFMR Data'!G67</f>
        <v>0</v>
      </c>
      <c r="I172" s="7">
        <f>'XFMR Data'!L67</f>
        <v>0</v>
      </c>
      <c r="J172" s="74">
        <f t="shared" si="152"/>
        <v>0</v>
      </c>
      <c r="K172" s="74">
        <f t="shared" si="153"/>
        <v>0</v>
      </c>
      <c r="L172" s="7">
        <f>'XFMR Data'!C67</f>
        <v>0</v>
      </c>
      <c r="M172" s="7">
        <f>'XFMR Data'!H67</f>
        <v>0</v>
      </c>
      <c r="N172" s="7">
        <f>'XFMR Data'!M67</f>
        <v>0</v>
      </c>
      <c r="O172" s="506">
        <f t="shared" si="154"/>
        <v>0</v>
      </c>
      <c r="P172" s="74">
        <f t="shared" si="155"/>
        <v>0</v>
      </c>
      <c r="Q172" s="7">
        <f>'XFMR Data'!D67</f>
        <v>0</v>
      </c>
      <c r="R172" s="7">
        <f>'XFMR Data'!I67</f>
        <v>0</v>
      </c>
      <c r="S172" s="7">
        <f>'XFMR Data'!N67</f>
        <v>0</v>
      </c>
      <c r="T172" s="506">
        <f t="shared" si="156"/>
        <v>0</v>
      </c>
      <c r="U172" s="74">
        <f t="shared" si="157"/>
        <v>0</v>
      </c>
      <c r="V172" s="7">
        <f>'XFMR Data'!E67</f>
        <v>0</v>
      </c>
      <c r="W172" s="7">
        <f>'XFMR Data'!J67</f>
        <v>0</v>
      </c>
      <c r="X172" s="7">
        <f>'XFMR Data'!O67</f>
        <v>0</v>
      </c>
      <c r="Y172" s="506">
        <f t="shared" si="158"/>
        <v>0</v>
      </c>
      <c r="Z172" s="74">
        <f t="shared" si="159"/>
        <v>0</v>
      </c>
      <c r="AA172" s="7">
        <f>'XFMR Data'!F67</f>
        <v>0</v>
      </c>
      <c r="AB172" s="40">
        <f>'XFMR Data'!K67</f>
        <v>0</v>
      </c>
      <c r="AC172" s="7">
        <f>'XFMR Data'!P67</f>
        <v>0</v>
      </c>
      <c r="AD172" s="506">
        <f t="shared" si="160"/>
        <v>0</v>
      </c>
      <c r="AE172" s="74">
        <f t="shared" si="161"/>
        <v>0</v>
      </c>
    </row>
    <row r="173" spans="1:31" x14ac:dyDescent="0.25">
      <c r="B173" s="7">
        <f>'XFMR Data'!T68*('XFMR Data'!Q68/100)</f>
        <v>0</v>
      </c>
      <c r="C173" s="7">
        <f>'XFMR Data'!U68*('XFMR Data'!R68/100)</f>
        <v>0</v>
      </c>
      <c r="D173" s="7">
        <f>'XFMR Data'!V68*('XFMR Data'!S68/100)</f>
        <v>0</v>
      </c>
      <c r="E173" s="74">
        <f t="shared" si="150"/>
        <v>0</v>
      </c>
      <c r="F173" s="74">
        <f t="shared" si="151"/>
        <v>0</v>
      </c>
      <c r="G173" s="14">
        <f>'XFMR Data'!B68</f>
        <v>0</v>
      </c>
      <c r="H173" s="40">
        <f>'XFMR Data'!G68</f>
        <v>0</v>
      </c>
      <c r="I173" s="7">
        <f>'XFMR Data'!L68</f>
        <v>0</v>
      </c>
      <c r="J173" s="74">
        <f t="shared" si="152"/>
        <v>0</v>
      </c>
      <c r="K173" s="74">
        <f t="shared" si="153"/>
        <v>0</v>
      </c>
      <c r="L173" s="7">
        <f>'XFMR Data'!C68</f>
        <v>0</v>
      </c>
      <c r="M173" s="7">
        <f>'XFMR Data'!H68</f>
        <v>0</v>
      </c>
      <c r="N173" s="7">
        <f>'XFMR Data'!M68</f>
        <v>0</v>
      </c>
      <c r="O173" s="506">
        <f t="shared" si="154"/>
        <v>0</v>
      </c>
      <c r="P173" s="74">
        <f t="shared" si="155"/>
        <v>0</v>
      </c>
      <c r="Q173" s="7">
        <f>'XFMR Data'!D68</f>
        <v>0</v>
      </c>
      <c r="R173" s="7">
        <f>'XFMR Data'!I68</f>
        <v>0</v>
      </c>
      <c r="S173" s="7">
        <f>'XFMR Data'!N68</f>
        <v>0</v>
      </c>
      <c r="T173" s="506">
        <f t="shared" si="156"/>
        <v>0</v>
      </c>
      <c r="U173" s="74">
        <f t="shared" si="157"/>
        <v>0</v>
      </c>
      <c r="V173" s="7">
        <f>'XFMR Data'!E68</f>
        <v>0</v>
      </c>
      <c r="W173" s="7">
        <f>'XFMR Data'!J68</f>
        <v>0</v>
      </c>
      <c r="X173" s="7">
        <f>'XFMR Data'!O68</f>
        <v>0</v>
      </c>
      <c r="Y173" s="506">
        <f t="shared" si="158"/>
        <v>0</v>
      </c>
      <c r="Z173" s="74">
        <f t="shared" si="159"/>
        <v>0</v>
      </c>
      <c r="AA173" s="7">
        <f>'XFMR Data'!F68</f>
        <v>0</v>
      </c>
      <c r="AB173" s="40">
        <f>'XFMR Data'!K68</f>
        <v>0</v>
      </c>
      <c r="AC173" s="7">
        <f>'XFMR Data'!P68</f>
        <v>0</v>
      </c>
      <c r="AD173" s="506">
        <f t="shared" si="160"/>
        <v>0</v>
      </c>
      <c r="AE173" s="74">
        <f t="shared" si="161"/>
        <v>0</v>
      </c>
    </row>
    <row r="174" spans="1:31" ht="15.75" thickBot="1" x14ac:dyDescent="0.3">
      <c r="B174" s="7">
        <f>'XFMR Data'!T69*('XFMR Data'!Q69/100)</f>
        <v>0</v>
      </c>
      <c r="C174" s="7">
        <f>'XFMR Data'!U69*('XFMR Data'!R69/100)</f>
        <v>0</v>
      </c>
      <c r="D174" s="7">
        <f>'XFMR Data'!V69*('XFMR Data'!S69/100)</f>
        <v>0</v>
      </c>
      <c r="E174" s="74">
        <f t="shared" si="150"/>
        <v>0</v>
      </c>
      <c r="F174" s="74">
        <f t="shared" si="151"/>
        <v>0</v>
      </c>
      <c r="G174" s="14">
        <f>'XFMR Data'!B69</f>
        <v>0</v>
      </c>
      <c r="H174" s="40">
        <f>'XFMR Data'!G69</f>
        <v>0</v>
      </c>
      <c r="I174" s="7">
        <f>'XFMR Data'!L69</f>
        <v>0</v>
      </c>
      <c r="J174" s="74">
        <f t="shared" si="152"/>
        <v>0</v>
      </c>
      <c r="K174" s="74">
        <f t="shared" si="153"/>
        <v>0</v>
      </c>
      <c r="L174" s="7">
        <f>'XFMR Data'!C69</f>
        <v>0</v>
      </c>
      <c r="M174" s="7">
        <f>'XFMR Data'!H69</f>
        <v>0</v>
      </c>
      <c r="N174" s="7">
        <f>'XFMR Data'!M69</f>
        <v>0</v>
      </c>
      <c r="O174" s="506">
        <f t="shared" si="154"/>
        <v>0</v>
      </c>
      <c r="P174" s="74">
        <f t="shared" si="155"/>
        <v>0</v>
      </c>
      <c r="Q174" s="7">
        <f>'XFMR Data'!D69</f>
        <v>0</v>
      </c>
      <c r="R174" s="7">
        <f>'XFMR Data'!I69</f>
        <v>0</v>
      </c>
      <c r="S174" s="7">
        <f>'XFMR Data'!N69</f>
        <v>0</v>
      </c>
      <c r="T174" s="506">
        <f t="shared" si="156"/>
        <v>0</v>
      </c>
      <c r="U174" s="74">
        <f t="shared" si="157"/>
        <v>0</v>
      </c>
      <c r="V174" s="7">
        <f>'XFMR Data'!E69</f>
        <v>0</v>
      </c>
      <c r="W174" s="7">
        <f>'XFMR Data'!J69</f>
        <v>0</v>
      </c>
      <c r="X174" s="7">
        <f>'XFMR Data'!O69</f>
        <v>0</v>
      </c>
      <c r="Y174" s="506">
        <f t="shared" si="158"/>
        <v>0</v>
      </c>
      <c r="Z174" s="74">
        <f t="shared" si="159"/>
        <v>0</v>
      </c>
      <c r="AA174" s="7">
        <f>'XFMR Data'!F69</f>
        <v>0</v>
      </c>
      <c r="AB174" s="40">
        <f>'XFMR Data'!K69</f>
        <v>0</v>
      </c>
      <c r="AC174" s="7">
        <f>'XFMR Data'!P69</f>
        <v>0</v>
      </c>
      <c r="AD174" s="506">
        <f t="shared" si="160"/>
        <v>0</v>
      </c>
      <c r="AE174" s="74">
        <f t="shared" si="161"/>
        <v>0</v>
      </c>
    </row>
    <row r="175" spans="1:31" hidden="1" outlineLevel="1" x14ac:dyDescent="0.25">
      <c r="B175" s="7">
        <f>'XFMR Data'!T70*('XFMR Data'!Q70/100)</f>
        <v>0</v>
      </c>
      <c r="C175" s="7">
        <f>'XFMR Data'!U70*('XFMR Data'!R70/100)</f>
        <v>0</v>
      </c>
      <c r="D175" s="7">
        <f>'XFMR Data'!V70*('XFMR Data'!S70/100)</f>
        <v>0</v>
      </c>
      <c r="E175" s="74" t="e">
        <f t="shared" si="150"/>
        <v>#DIV/0!</v>
      </c>
      <c r="F175" s="74">
        <f t="shared" si="151"/>
        <v>0</v>
      </c>
      <c r="G175" s="14">
        <f>'XFMR Data'!B70</f>
        <v>0</v>
      </c>
      <c r="H175" s="40">
        <f>'XFMR Data'!G70</f>
        <v>0</v>
      </c>
      <c r="I175" s="7">
        <f>'XFMR Data'!L70</f>
        <v>0</v>
      </c>
      <c r="J175" s="74" t="e">
        <f t="shared" si="152"/>
        <v>#DIV/0!</v>
      </c>
      <c r="K175" s="74">
        <f t="shared" si="153"/>
        <v>0</v>
      </c>
      <c r="L175" s="7">
        <f>'XFMR Data'!C70</f>
        <v>0</v>
      </c>
      <c r="M175" s="7">
        <f>'XFMR Data'!H70</f>
        <v>0</v>
      </c>
      <c r="N175" s="7">
        <f>'XFMR Data'!M70</f>
        <v>0</v>
      </c>
      <c r="O175" s="506" t="e">
        <f t="shared" si="154"/>
        <v>#DIV/0!</v>
      </c>
      <c r="P175" s="74">
        <f t="shared" si="155"/>
        <v>0</v>
      </c>
      <c r="Q175" s="7">
        <f>'XFMR Data'!D70</f>
        <v>0</v>
      </c>
      <c r="R175" s="7">
        <f>'XFMR Data'!I70</f>
        <v>0</v>
      </c>
      <c r="S175" s="7">
        <f>'XFMR Data'!N70</f>
        <v>0</v>
      </c>
      <c r="T175" s="506" t="e">
        <f t="shared" si="156"/>
        <v>#DIV/0!</v>
      </c>
      <c r="U175" s="74">
        <f t="shared" si="157"/>
        <v>0</v>
      </c>
      <c r="V175" s="7">
        <f>'XFMR Data'!E70</f>
        <v>0</v>
      </c>
      <c r="W175" s="7">
        <f>'XFMR Data'!J70</f>
        <v>0</v>
      </c>
      <c r="X175" s="7">
        <f>'XFMR Data'!O70</f>
        <v>0</v>
      </c>
      <c r="Y175" s="506" t="e">
        <f t="shared" si="158"/>
        <v>#DIV/0!</v>
      </c>
      <c r="Z175" s="74">
        <f t="shared" si="159"/>
        <v>0</v>
      </c>
      <c r="AA175" s="7">
        <f>'XFMR Data'!F70</f>
        <v>0</v>
      </c>
      <c r="AB175" s="40">
        <f>'XFMR Data'!K70</f>
        <v>0</v>
      </c>
      <c r="AC175" s="7">
        <f>'XFMR Data'!P70</f>
        <v>0</v>
      </c>
      <c r="AD175" s="506" t="e">
        <f t="shared" si="160"/>
        <v>#DIV/0!</v>
      </c>
      <c r="AE175" s="74">
        <f t="shared" si="161"/>
        <v>0</v>
      </c>
    </row>
    <row r="176" spans="1:31" hidden="1" outlineLevel="1" x14ac:dyDescent="0.25">
      <c r="B176" s="7">
        <f>'XFMR Data'!T71*('XFMR Data'!Q71/100)</f>
        <v>0</v>
      </c>
      <c r="C176" s="7">
        <f>'XFMR Data'!U71*('XFMR Data'!R71/100)</f>
        <v>0</v>
      </c>
      <c r="D176" s="7">
        <f>'XFMR Data'!V71*('XFMR Data'!S71/100)</f>
        <v>0</v>
      </c>
      <c r="E176" s="74" t="e">
        <f t="shared" si="150"/>
        <v>#DIV/0!</v>
      </c>
      <c r="F176" s="74">
        <f t="shared" si="151"/>
        <v>0</v>
      </c>
      <c r="G176" s="14">
        <f>'XFMR Data'!B71</f>
        <v>0</v>
      </c>
      <c r="H176" s="40">
        <f>'XFMR Data'!G71</f>
        <v>0</v>
      </c>
      <c r="I176" s="7">
        <f>'XFMR Data'!L71</f>
        <v>0</v>
      </c>
      <c r="J176" s="74" t="e">
        <f t="shared" si="152"/>
        <v>#DIV/0!</v>
      </c>
      <c r="K176" s="74">
        <f t="shared" si="153"/>
        <v>0</v>
      </c>
      <c r="L176" s="7">
        <f>'XFMR Data'!C71</f>
        <v>0</v>
      </c>
      <c r="M176" s="7">
        <f>'XFMR Data'!H71</f>
        <v>0</v>
      </c>
      <c r="N176" s="7">
        <f>'XFMR Data'!M71</f>
        <v>0</v>
      </c>
      <c r="O176" s="506" t="e">
        <f t="shared" si="154"/>
        <v>#DIV/0!</v>
      </c>
      <c r="P176" s="74">
        <f t="shared" si="155"/>
        <v>0</v>
      </c>
      <c r="Q176" s="7">
        <f>'XFMR Data'!D71</f>
        <v>0</v>
      </c>
      <c r="R176" s="7">
        <f>'XFMR Data'!I71</f>
        <v>0</v>
      </c>
      <c r="S176" s="7">
        <f>'XFMR Data'!N71</f>
        <v>0</v>
      </c>
      <c r="T176" s="506" t="e">
        <f t="shared" si="156"/>
        <v>#DIV/0!</v>
      </c>
      <c r="U176" s="74">
        <f t="shared" si="157"/>
        <v>0</v>
      </c>
      <c r="V176" s="7">
        <f>'XFMR Data'!E71</f>
        <v>0</v>
      </c>
      <c r="W176" s="7">
        <f>'XFMR Data'!J71</f>
        <v>0</v>
      </c>
      <c r="X176" s="7">
        <f>'XFMR Data'!O71</f>
        <v>0</v>
      </c>
      <c r="Y176" s="506" t="e">
        <f t="shared" si="158"/>
        <v>#DIV/0!</v>
      </c>
      <c r="Z176" s="74">
        <f t="shared" si="159"/>
        <v>0</v>
      </c>
      <c r="AA176" s="7">
        <f>'XFMR Data'!F71</f>
        <v>0</v>
      </c>
      <c r="AB176" s="40">
        <f>'XFMR Data'!K71</f>
        <v>0</v>
      </c>
      <c r="AC176" s="7">
        <f>'XFMR Data'!P71</f>
        <v>0</v>
      </c>
      <c r="AD176" s="506" t="e">
        <f t="shared" si="160"/>
        <v>#DIV/0!</v>
      </c>
      <c r="AE176" s="74">
        <f t="shared" si="161"/>
        <v>0</v>
      </c>
    </row>
    <row r="177" spans="2:31" hidden="1" outlineLevel="1" x14ac:dyDescent="0.25">
      <c r="B177" s="7">
        <f>'XFMR Data'!T72*('XFMR Data'!Q72/100)</f>
        <v>0</v>
      </c>
      <c r="C177" s="7">
        <f>'XFMR Data'!U72*('XFMR Data'!R72/100)</f>
        <v>0</v>
      </c>
      <c r="D177" s="7">
        <f>'XFMR Data'!V72*('XFMR Data'!S72/100)</f>
        <v>0</v>
      </c>
      <c r="E177" s="74" t="e">
        <f t="shared" si="150"/>
        <v>#DIV/0!</v>
      </c>
      <c r="F177" s="74">
        <f t="shared" si="151"/>
        <v>0</v>
      </c>
      <c r="G177" s="14">
        <f>'XFMR Data'!B72</f>
        <v>0</v>
      </c>
      <c r="H177" s="40">
        <f>'XFMR Data'!G72</f>
        <v>0</v>
      </c>
      <c r="I177" s="7">
        <f>'XFMR Data'!L72</f>
        <v>0</v>
      </c>
      <c r="J177" s="74" t="e">
        <f t="shared" si="152"/>
        <v>#DIV/0!</v>
      </c>
      <c r="K177" s="74">
        <f t="shared" si="153"/>
        <v>0</v>
      </c>
      <c r="L177" s="7">
        <f>'XFMR Data'!C72</f>
        <v>0</v>
      </c>
      <c r="M177" s="7">
        <f>'XFMR Data'!H72</f>
        <v>0</v>
      </c>
      <c r="N177" s="7">
        <f>'XFMR Data'!M72</f>
        <v>0</v>
      </c>
      <c r="O177" s="506" t="e">
        <f t="shared" si="154"/>
        <v>#DIV/0!</v>
      </c>
      <c r="P177" s="74">
        <f t="shared" si="155"/>
        <v>0</v>
      </c>
      <c r="Q177" s="7">
        <f>'XFMR Data'!D72</f>
        <v>0</v>
      </c>
      <c r="R177" s="7">
        <f>'XFMR Data'!I72</f>
        <v>0</v>
      </c>
      <c r="S177" s="7">
        <f>'XFMR Data'!N72</f>
        <v>0</v>
      </c>
      <c r="T177" s="506" t="e">
        <f t="shared" si="156"/>
        <v>#DIV/0!</v>
      </c>
      <c r="U177" s="74">
        <f t="shared" si="157"/>
        <v>0</v>
      </c>
      <c r="V177" s="7">
        <f>'XFMR Data'!E72</f>
        <v>0</v>
      </c>
      <c r="W177" s="7">
        <f>'XFMR Data'!J72</f>
        <v>0</v>
      </c>
      <c r="X177" s="7">
        <f>'XFMR Data'!O72</f>
        <v>0</v>
      </c>
      <c r="Y177" s="506" t="e">
        <f t="shared" si="158"/>
        <v>#DIV/0!</v>
      </c>
      <c r="Z177" s="74">
        <f t="shared" si="159"/>
        <v>0</v>
      </c>
      <c r="AA177" s="7">
        <f>'XFMR Data'!F72</f>
        <v>0</v>
      </c>
      <c r="AB177" s="40">
        <f>'XFMR Data'!K72</f>
        <v>0</v>
      </c>
      <c r="AC177" s="7">
        <f>'XFMR Data'!P72</f>
        <v>0</v>
      </c>
      <c r="AD177" s="506" t="e">
        <f t="shared" si="160"/>
        <v>#DIV/0!</v>
      </c>
      <c r="AE177" s="74">
        <f t="shared" si="161"/>
        <v>0</v>
      </c>
    </row>
    <row r="178" spans="2:31" hidden="1" outlineLevel="1" x14ac:dyDescent="0.25">
      <c r="B178" s="7">
        <f>'XFMR Data'!T73*('XFMR Data'!Q73/100)</f>
        <v>0</v>
      </c>
      <c r="C178" s="7">
        <f>'XFMR Data'!U73*('XFMR Data'!R73/100)</f>
        <v>0</v>
      </c>
      <c r="D178" s="7">
        <f>'XFMR Data'!V73*('XFMR Data'!S73/100)</f>
        <v>0</v>
      </c>
      <c r="E178" s="74" t="e">
        <f t="shared" si="150"/>
        <v>#DIV/0!</v>
      </c>
      <c r="F178" s="74" t="e">
        <f t="shared" si="151"/>
        <v>#DIV/0!</v>
      </c>
      <c r="G178" s="14">
        <f>'XFMR Data'!B73</f>
        <v>0</v>
      </c>
      <c r="H178" s="40">
        <f>'XFMR Data'!G73</f>
        <v>0</v>
      </c>
      <c r="I178" s="7">
        <f>'XFMR Data'!L73</f>
        <v>0</v>
      </c>
      <c r="J178" s="74" t="e">
        <f t="shared" si="152"/>
        <v>#DIV/0!</v>
      </c>
      <c r="K178" s="74" t="e">
        <f t="shared" si="153"/>
        <v>#DIV/0!</v>
      </c>
      <c r="L178" s="7">
        <f>'XFMR Data'!C73</f>
        <v>0</v>
      </c>
      <c r="M178" s="7">
        <f>'XFMR Data'!H73</f>
        <v>0</v>
      </c>
      <c r="N178" s="7">
        <f>'XFMR Data'!M73</f>
        <v>0</v>
      </c>
      <c r="O178" s="506" t="e">
        <f t="shared" si="154"/>
        <v>#DIV/0!</v>
      </c>
      <c r="P178" s="74" t="e">
        <f t="shared" si="155"/>
        <v>#DIV/0!</v>
      </c>
      <c r="Q178" s="7">
        <f>'XFMR Data'!D73</f>
        <v>0</v>
      </c>
      <c r="R178" s="7">
        <f>'XFMR Data'!I73</f>
        <v>0</v>
      </c>
      <c r="S178" s="7">
        <f>'XFMR Data'!N73</f>
        <v>0</v>
      </c>
      <c r="T178" s="506" t="e">
        <f t="shared" si="156"/>
        <v>#DIV/0!</v>
      </c>
      <c r="U178" s="74" t="e">
        <f t="shared" si="157"/>
        <v>#DIV/0!</v>
      </c>
      <c r="V178" s="7">
        <f>'XFMR Data'!E73</f>
        <v>0</v>
      </c>
      <c r="W178" s="7">
        <f>'XFMR Data'!J73</f>
        <v>0</v>
      </c>
      <c r="X178" s="7">
        <f>'XFMR Data'!O73</f>
        <v>0</v>
      </c>
      <c r="Y178" s="506" t="e">
        <f t="shared" si="158"/>
        <v>#DIV/0!</v>
      </c>
      <c r="Z178" s="74" t="e">
        <f t="shared" si="159"/>
        <v>#DIV/0!</v>
      </c>
      <c r="AA178" s="7">
        <f>'XFMR Data'!F73</f>
        <v>0</v>
      </c>
      <c r="AB178" s="40">
        <f>'XFMR Data'!K73</f>
        <v>0</v>
      </c>
      <c r="AC178" s="7">
        <f>'XFMR Data'!P73</f>
        <v>0</v>
      </c>
      <c r="AD178" s="506" t="e">
        <f t="shared" si="160"/>
        <v>#DIV/0!</v>
      </c>
      <c r="AE178" s="74" t="e">
        <f t="shared" si="161"/>
        <v>#DIV/0!</v>
      </c>
    </row>
    <row r="179" spans="2:31" hidden="1" outlineLevel="1" x14ac:dyDescent="0.25">
      <c r="B179" s="7">
        <f>'XFMR Data'!T74*('XFMR Data'!Q74/100)</f>
        <v>0</v>
      </c>
      <c r="C179" s="7">
        <f>'XFMR Data'!U74*('XFMR Data'!R74/100)</f>
        <v>0</v>
      </c>
      <c r="D179" s="7">
        <f>'XFMR Data'!V74*('XFMR Data'!S74/100)</f>
        <v>0</v>
      </c>
      <c r="E179" s="74" t="e">
        <f t="shared" si="150"/>
        <v>#DIV/0!</v>
      </c>
      <c r="F179" s="74" t="e">
        <f t="shared" si="151"/>
        <v>#DIV/0!</v>
      </c>
      <c r="G179" s="14">
        <f>'XFMR Data'!B74</f>
        <v>0</v>
      </c>
      <c r="H179" s="40">
        <f>'XFMR Data'!G74</f>
        <v>0</v>
      </c>
      <c r="I179" s="7">
        <f>'XFMR Data'!L74</f>
        <v>0</v>
      </c>
      <c r="J179" s="74" t="e">
        <f t="shared" si="152"/>
        <v>#DIV/0!</v>
      </c>
      <c r="K179" s="74" t="e">
        <f t="shared" si="153"/>
        <v>#DIV/0!</v>
      </c>
      <c r="L179" s="7">
        <f>'XFMR Data'!C74</f>
        <v>0</v>
      </c>
      <c r="M179" s="7">
        <f>'XFMR Data'!H74</f>
        <v>0</v>
      </c>
      <c r="N179" s="7">
        <f>'XFMR Data'!M74</f>
        <v>0</v>
      </c>
      <c r="O179" s="506" t="e">
        <f t="shared" si="154"/>
        <v>#DIV/0!</v>
      </c>
      <c r="P179" s="74" t="e">
        <f t="shared" si="155"/>
        <v>#DIV/0!</v>
      </c>
      <c r="Q179" s="7">
        <f>'XFMR Data'!D74</f>
        <v>0</v>
      </c>
      <c r="R179" s="7">
        <f>'XFMR Data'!I74</f>
        <v>0</v>
      </c>
      <c r="S179" s="7">
        <f>'XFMR Data'!N74</f>
        <v>0</v>
      </c>
      <c r="T179" s="506" t="e">
        <f t="shared" si="156"/>
        <v>#DIV/0!</v>
      </c>
      <c r="U179" s="74" t="e">
        <f t="shared" si="157"/>
        <v>#DIV/0!</v>
      </c>
      <c r="V179" s="7">
        <f>'XFMR Data'!E74</f>
        <v>0</v>
      </c>
      <c r="W179" s="7">
        <f>'XFMR Data'!J74</f>
        <v>0</v>
      </c>
      <c r="X179" s="7">
        <f>'XFMR Data'!O74</f>
        <v>0</v>
      </c>
      <c r="Y179" s="506" t="e">
        <f t="shared" si="158"/>
        <v>#DIV/0!</v>
      </c>
      <c r="Z179" s="74" t="e">
        <f t="shared" si="159"/>
        <v>#DIV/0!</v>
      </c>
      <c r="AA179" s="7">
        <f>'XFMR Data'!F74</f>
        <v>0</v>
      </c>
      <c r="AB179" s="40">
        <f>'XFMR Data'!K74</f>
        <v>0</v>
      </c>
      <c r="AC179" s="7">
        <f>'XFMR Data'!P74</f>
        <v>0</v>
      </c>
      <c r="AD179" s="506" t="e">
        <f t="shared" si="160"/>
        <v>#DIV/0!</v>
      </c>
      <c r="AE179" s="74" t="e">
        <f t="shared" si="161"/>
        <v>#DIV/0!</v>
      </c>
    </row>
    <row r="180" spans="2:31" hidden="1" outlineLevel="1" x14ac:dyDescent="0.25">
      <c r="B180" s="7">
        <f>'XFMR Data'!T75*('XFMR Data'!Q75/100)</f>
        <v>0</v>
      </c>
      <c r="C180" s="7">
        <f>'XFMR Data'!U75*('XFMR Data'!R75/100)</f>
        <v>0</v>
      </c>
      <c r="D180" s="7">
        <f>'XFMR Data'!V75*('XFMR Data'!S75/100)</f>
        <v>0</v>
      </c>
      <c r="E180" s="74" t="e">
        <f t="shared" si="150"/>
        <v>#DIV/0!</v>
      </c>
      <c r="F180" s="74" t="e">
        <f t="shared" si="151"/>
        <v>#DIV/0!</v>
      </c>
      <c r="G180" s="14">
        <f>'XFMR Data'!B75</f>
        <v>0</v>
      </c>
      <c r="H180" s="40">
        <f>'XFMR Data'!G75</f>
        <v>0</v>
      </c>
      <c r="I180" s="7">
        <f>'XFMR Data'!L75</f>
        <v>0</v>
      </c>
      <c r="J180" s="74" t="e">
        <f t="shared" si="152"/>
        <v>#DIV/0!</v>
      </c>
      <c r="K180" s="74" t="e">
        <f t="shared" si="153"/>
        <v>#DIV/0!</v>
      </c>
      <c r="L180" s="7">
        <f>'XFMR Data'!C75</f>
        <v>0</v>
      </c>
      <c r="M180" s="7">
        <f>'XFMR Data'!H75</f>
        <v>0</v>
      </c>
      <c r="N180" s="7">
        <f>'XFMR Data'!M75</f>
        <v>0</v>
      </c>
      <c r="O180" s="506" t="e">
        <f t="shared" si="154"/>
        <v>#DIV/0!</v>
      </c>
      <c r="P180" s="74" t="e">
        <f t="shared" si="155"/>
        <v>#DIV/0!</v>
      </c>
      <c r="Q180" s="7">
        <f>'XFMR Data'!D75</f>
        <v>0</v>
      </c>
      <c r="R180" s="7">
        <f>'XFMR Data'!I75</f>
        <v>0</v>
      </c>
      <c r="S180" s="7">
        <f>'XFMR Data'!N75</f>
        <v>0</v>
      </c>
      <c r="T180" s="506" t="e">
        <f t="shared" si="156"/>
        <v>#DIV/0!</v>
      </c>
      <c r="U180" s="74" t="e">
        <f t="shared" si="157"/>
        <v>#DIV/0!</v>
      </c>
      <c r="V180" s="7">
        <f>'XFMR Data'!E75</f>
        <v>0</v>
      </c>
      <c r="W180" s="7">
        <f>'XFMR Data'!J75</f>
        <v>0</v>
      </c>
      <c r="X180" s="7">
        <f>'XFMR Data'!O75</f>
        <v>0</v>
      </c>
      <c r="Y180" s="506" t="e">
        <f t="shared" si="158"/>
        <v>#DIV/0!</v>
      </c>
      <c r="Z180" s="74" t="e">
        <f t="shared" si="159"/>
        <v>#DIV/0!</v>
      </c>
      <c r="AA180" s="7">
        <f>'XFMR Data'!F75</f>
        <v>0</v>
      </c>
      <c r="AB180" s="40">
        <f>'XFMR Data'!K75</f>
        <v>0</v>
      </c>
      <c r="AC180" s="7">
        <f>'XFMR Data'!P75</f>
        <v>0</v>
      </c>
      <c r="AD180" s="506" t="e">
        <f t="shared" si="160"/>
        <v>#DIV/0!</v>
      </c>
      <c r="AE180" s="74" t="e">
        <f t="shared" si="161"/>
        <v>#DIV/0!</v>
      </c>
    </row>
    <row r="181" spans="2:31" hidden="1" outlineLevel="1" x14ac:dyDescent="0.25">
      <c r="B181" s="7">
        <f>'XFMR Data'!T76*('XFMR Data'!Q76/100)</f>
        <v>0</v>
      </c>
      <c r="C181" s="7">
        <f>'XFMR Data'!U76*('XFMR Data'!R76/100)</f>
        <v>0</v>
      </c>
      <c r="D181" s="7">
        <f>'XFMR Data'!V76*('XFMR Data'!S76/100)</f>
        <v>0</v>
      </c>
      <c r="E181" s="74" t="e">
        <f t="shared" si="150"/>
        <v>#DIV/0!</v>
      </c>
      <c r="F181" s="74" t="e">
        <f t="shared" si="151"/>
        <v>#DIV/0!</v>
      </c>
      <c r="G181" s="14">
        <f>'XFMR Data'!B76</f>
        <v>0</v>
      </c>
      <c r="H181" s="40">
        <f>'XFMR Data'!G76</f>
        <v>0</v>
      </c>
      <c r="I181" s="7">
        <f>'XFMR Data'!L76</f>
        <v>0</v>
      </c>
      <c r="J181" s="74" t="e">
        <f t="shared" si="152"/>
        <v>#DIV/0!</v>
      </c>
      <c r="K181" s="74" t="e">
        <f t="shared" si="153"/>
        <v>#DIV/0!</v>
      </c>
      <c r="L181" s="7">
        <f>'XFMR Data'!C76</f>
        <v>0</v>
      </c>
      <c r="M181" s="7">
        <f>'XFMR Data'!H76</f>
        <v>0</v>
      </c>
      <c r="N181" s="7">
        <f>'XFMR Data'!M76</f>
        <v>0</v>
      </c>
      <c r="O181" s="506" t="e">
        <f t="shared" si="154"/>
        <v>#DIV/0!</v>
      </c>
      <c r="P181" s="74" t="e">
        <f t="shared" si="155"/>
        <v>#DIV/0!</v>
      </c>
      <c r="Q181" s="7">
        <f>'XFMR Data'!D76</f>
        <v>0</v>
      </c>
      <c r="R181" s="7">
        <f>'XFMR Data'!I76</f>
        <v>0</v>
      </c>
      <c r="S181" s="7">
        <f>'XFMR Data'!N76</f>
        <v>0</v>
      </c>
      <c r="T181" s="506" t="e">
        <f t="shared" si="156"/>
        <v>#DIV/0!</v>
      </c>
      <c r="U181" s="74" t="e">
        <f t="shared" si="157"/>
        <v>#DIV/0!</v>
      </c>
      <c r="V181" s="7">
        <f>'XFMR Data'!E76</f>
        <v>0</v>
      </c>
      <c r="W181" s="7">
        <f>'XFMR Data'!J76</f>
        <v>0</v>
      </c>
      <c r="X181" s="7">
        <f>'XFMR Data'!O76</f>
        <v>0</v>
      </c>
      <c r="Y181" s="506" t="e">
        <f t="shared" si="158"/>
        <v>#DIV/0!</v>
      </c>
      <c r="Z181" s="74" t="e">
        <f t="shared" si="159"/>
        <v>#DIV/0!</v>
      </c>
      <c r="AA181" s="7">
        <f>'XFMR Data'!F76</f>
        <v>0</v>
      </c>
      <c r="AB181" s="40">
        <f>'XFMR Data'!K76</f>
        <v>0</v>
      </c>
      <c r="AC181" s="7">
        <f>'XFMR Data'!P76</f>
        <v>0</v>
      </c>
      <c r="AD181" s="506" t="e">
        <f t="shared" si="160"/>
        <v>#DIV/0!</v>
      </c>
      <c r="AE181" s="74" t="e">
        <f t="shared" si="161"/>
        <v>#DIV/0!</v>
      </c>
    </row>
    <row r="182" spans="2:31" hidden="1" outlineLevel="1" x14ac:dyDescent="0.25">
      <c r="B182" s="7">
        <f>'XFMR Data'!T77*('XFMR Data'!Q77/100)</f>
        <v>0</v>
      </c>
      <c r="C182" s="7">
        <f>'XFMR Data'!U77*('XFMR Data'!R77/100)</f>
        <v>0</v>
      </c>
      <c r="D182" s="7">
        <f>'XFMR Data'!V77*('XFMR Data'!S77/100)</f>
        <v>0</v>
      </c>
      <c r="E182" s="74" t="e">
        <f t="shared" si="150"/>
        <v>#DIV/0!</v>
      </c>
      <c r="F182" s="74" t="e">
        <f t="shared" si="151"/>
        <v>#DIV/0!</v>
      </c>
      <c r="G182" s="14">
        <f>'XFMR Data'!B77</f>
        <v>0</v>
      </c>
      <c r="H182" s="40">
        <f>'XFMR Data'!G77</f>
        <v>0</v>
      </c>
      <c r="I182" s="7">
        <f>'XFMR Data'!L77</f>
        <v>0</v>
      </c>
      <c r="J182" s="74" t="e">
        <f t="shared" si="152"/>
        <v>#DIV/0!</v>
      </c>
      <c r="K182" s="74" t="e">
        <f t="shared" si="153"/>
        <v>#DIV/0!</v>
      </c>
      <c r="L182" s="7">
        <f>'XFMR Data'!C77</f>
        <v>0</v>
      </c>
      <c r="M182" s="7">
        <f>'XFMR Data'!H77</f>
        <v>0</v>
      </c>
      <c r="N182" s="7">
        <f>'XFMR Data'!M77</f>
        <v>0</v>
      </c>
      <c r="O182" s="506" t="e">
        <f t="shared" si="154"/>
        <v>#DIV/0!</v>
      </c>
      <c r="P182" s="74" t="e">
        <f t="shared" si="155"/>
        <v>#DIV/0!</v>
      </c>
      <c r="Q182" s="7">
        <f>'XFMR Data'!D77</f>
        <v>0</v>
      </c>
      <c r="R182" s="7">
        <f>'XFMR Data'!I77</f>
        <v>0</v>
      </c>
      <c r="S182" s="7">
        <f>'XFMR Data'!N77</f>
        <v>0</v>
      </c>
      <c r="T182" s="506" t="e">
        <f t="shared" si="156"/>
        <v>#DIV/0!</v>
      </c>
      <c r="U182" s="74" t="e">
        <f t="shared" si="157"/>
        <v>#DIV/0!</v>
      </c>
      <c r="V182" s="7">
        <f>'XFMR Data'!E77</f>
        <v>0</v>
      </c>
      <c r="W182" s="7">
        <f>'XFMR Data'!J77</f>
        <v>0</v>
      </c>
      <c r="X182" s="7">
        <f>'XFMR Data'!O77</f>
        <v>0</v>
      </c>
      <c r="Y182" s="506" t="e">
        <f t="shared" si="158"/>
        <v>#DIV/0!</v>
      </c>
      <c r="Z182" s="74" t="e">
        <f t="shared" si="159"/>
        <v>#DIV/0!</v>
      </c>
      <c r="AA182" s="7">
        <f>'XFMR Data'!F77</f>
        <v>0</v>
      </c>
      <c r="AB182" s="40">
        <f>'XFMR Data'!K77</f>
        <v>0</v>
      </c>
      <c r="AC182" s="7">
        <f>'XFMR Data'!P77</f>
        <v>0</v>
      </c>
      <c r="AD182" s="506" t="e">
        <f t="shared" si="160"/>
        <v>#DIV/0!</v>
      </c>
      <c r="AE182" s="74" t="e">
        <f t="shared" si="161"/>
        <v>#DIV/0!</v>
      </c>
    </row>
    <row r="183" spans="2:31" hidden="1" outlineLevel="1" x14ac:dyDescent="0.25">
      <c r="B183" s="7">
        <f>'XFMR Data'!T78*('XFMR Data'!Q78/100)</f>
        <v>0</v>
      </c>
      <c r="C183" s="7">
        <f>'XFMR Data'!U78*('XFMR Data'!R78/100)</f>
        <v>0</v>
      </c>
      <c r="D183" s="7">
        <f>'XFMR Data'!V78*('XFMR Data'!S78/100)</f>
        <v>0</v>
      </c>
      <c r="E183" s="74" t="e">
        <f t="shared" si="150"/>
        <v>#DIV/0!</v>
      </c>
      <c r="F183" s="74" t="e">
        <f t="shared" si="151"/>
        <v>#DIV/0!</v>
      </c>
      <c r="G183" s="14">
        <f>'XFMR Data'!B78</f>
        <v>0</v>
      </c>
      <c r="H183" s="40">
        <f>'XFMR Data'!G78</f>
        <v>0</v>
      </c>
      <c r="I183" s="7">
        <f>'XFMR Data'!L78</f>
        <v>0</v>
      </c>
      <c r="J183" s="74" t="e">
        <f t="shared" si="152"/>
        <v>#DIV/0!</v>
      </c>
      <c r="K183" s="74" t="e">
        <f t="shared" si="153"/>
        <v>#DIV/0!</v>
      </c>
      <c r="L183" s="7">
        <f>'XFMR Data'!C78</f>
        <v>0</v>
      </c>
      <c r="M183" s="7">
        <f>'XFMR Data'!H78</f>
        <v>0</v>
      </c>
      <c r="N183" s="7">
        <f>'XFMR Data'!M78</f>
        <v>0</v>
      </c>
      <c r="O183" s="506" t="e">
        <f t="shared" si="154"/>
        <v>#DIV/0!</v>
      </c>
      <c r="P183" s="74" t="e">
        <f t="shared" si="155"/>
        <v>#DIV/0!</v>
      </c>
      <c r="Q183" s="7">
        <f>'XFMR Data'!D78</f>
        <v>0</v>
      </c>
      <c r="R183" s="7">
        <f>'XFMR Data'!I78</f>
        <v>0</v>
      </c>
      <c r="S183" s="7">
        <f>'XFMR Data'!N78</f>
        <v>0</v>
      </c>
      <c r="T183" s="506" t="e">
        <f t="shared" si="156"/>
        <v>#DIV/0!</v>
      </c>
      <c r="U183" s="74" t="e">
        <f t="shared" si="157"/>
        <v>#DIV/0!</v>
      </c>
      <c r="V183" s="7">
        <f>'XFMR Data'!E78</f>
        <v>0</v>
      </c>
      <c r="W183" s="7">
        <f>'XFMR Data'!J78</f>
        <v>0</v>
      </c>
      <c r="X183" s="7">
        <f>'XFMR Data'!O78</f>
        <v>0</v>
      </c>
      <c r="Y183" s="506" t="e">
        <f t="shared" si="158"/>
        <v>#DIV/0!</v>
      </c>
      <c r="Z183" s="74" t="e">
        <f t="shared" si="159"/>
        <v>#DIV/0!</v>
      </c>
      <c r="AA183" s="7">
        <f>'XFMR Data'!F78</f>
        <v>0</v>
      </c>
      <c r="AB183" s="40">
        <f>'XFMR Data'!K78</f>
        <v>0</v>
      </c>
      <c r="AC183" s="7">
        <f>'XFMR Data'!P78</f>
        <v>0</v>
      </c>
      <c r="AD183" s="506" t="e">
        <f t="shared" si="160"/>
        <v>#DIV/0!</v>
      </c>
      <c r="AE183" s="74" t="e">
        <f t="shared" si="161"/>
        <v>#DIV/0!</v>
      </c>
    </row>
    <row r="184" spans="2:31" hidden="1" outlineLevel="1" x14ac:dyDescent="0.25">
      <c r="B184" s="7">
        <f>'XFMR Data'!T79*('XFMR Data'!Q79/100)</f>
        <v>0</v>
      </c>
      <c r="C184" s="7">
        <f>'XFMR Data'!U79*('XFMR Data'!R79/100)</f>
        <v>0</v>
      </c>
      <c r="D184" s="7">
        <f>'XFMR Data'!V79*('XFMR Data'!S79/100)</f>
        <v>0</v>
      </c>
      <c r="E184" s="74" t="e">
        <f t="shared" si="150"/>
        <v>#DIV/0!</v>
      </c>
      <c r="F184" s="74" t="e">
        <f t="shared" si="151"/>
        <v>#DIV/0!</v>
      </c>
      <c r="G184" s="14">
        <f>'XFMR Data'!B79</f>
        <v>0</v>
      </c>
      <c r="H184" s="40">
        <f>'XFMR Data'!G79</f>
        <v>0</v>
      </c>
      <c r="I184" s="7">
        <f>'XFMR Data'!L79</f>
        <v>0</v>
      </c>
      <c r="J184" s="74" t="e">
        <f t="shared" si="152"/>
        <v>#DIV/0!</v>
      </c>
      <c r="K184" s="74" t="e">
        <f t="shared" si="153"/>
        <v>#DIV/0!</v>
      </c>
      <c r="L184" s="7">
        <f>'XFMR Data'!C79</f>
        <v>0</v>
      </c>
      <c r="M184" s="7">
        <f>'XFMR Data'!H79</f>
        <v>0</v>
      </c>
      <c r="N184" s="7">
        <f>'XFMR Data'!M79</f>
        <v>0</v>
      </c>
      <c r="O184" s="506" t="e">
        <f t="shared" si="154"/>
        <v>#DIV/0!</v>
      </c>
      <c r="P184" s="74" t="e">
        <f t="shared" si="155"/>
        <v>#DIV/0!</v>
      </c>
      <c r="Q184" s="7">
        <f>'XFMR Data'!D79</f>
        <v>0</v>
      </c>
      <c r="R184" s="7">
        <f>'XFMR Data'!I79</f>
        <v>0</v>
      </c>
      <c r="S184" s="7">
        <f>'XFMR Data'!N79</f>
        <v>0</v>
      </c>
      <c r="T184" s="506" t="e">
        <f t="shared" si="156"/>
        <v>#DIV/0!</v>
      </c>
      <c r="U184" s="74" t="e">
        <f t="shared" si="157"/>
        <v>#DIV/0!</v>
      </c>
      <c r="V184" s="7">
        <f>'XFMR Data'!E79</f>
        <v>0</v>
      </c>
      <c r="W184" s="7">
        <f>'XFMR Data'!J79</f>
        <v>0</v>
      </c>
      <c r="X184" s="7">
        <f>'XFMR Data'!O79</f>
        <v>0</v>
      </c>
      <c r="Y184" s="506" t="e">
        <f t="shared" si="158"/>
        <v>#DIV/0!</v>
      </c>
      <c r="Z184" s="74" t="e">
        <f t="shared" si="159"/>
        <v>#DIV/0!</v>
      </c>
      <c r="AA184" s="7">
        <f>'XFMR Data'!F79</f>
        <v>0</v>
      </c>
      <c r="AB184" s="40">
        <f>'XFMR Data'!K79</f>
        <v>0</v>
      </c>
      <c r="AC184" s="7">
        <f>'XFMR Data'!P79</f>
        <v>0</v>
      </c>
      <c r="AD184" s="506" t="e">
        <f t="shared" si="160"/>
        <v>#DIV/0!</v>
      </c>
      <c r="AE184" s="74" t="e">
        <f t="shared" si="161"/>
        <v>#DIV/0!</v>
      </c>
    </row>
    <row r="185" spans="2:31" hidden="1" outlineLevel="1" x14ac:dyDescent="0.25">
      <c r="B185" s="7">
        <f>'XFMR Data'!T80*('XFMR Data'!Q80/100)</f>
        <v>0</v>
      </c>
      <c r="C185" s="7">
        <f>'XFMR Data'!U80*('XFMR Data'!R80/100)</f>
        <v>0</v>
      </c>
      <c r="D185" s="7">
        <f>'XFMR Data'!V80*('XFMR Data'!S80/100)</f>
        <v>0</v>
      </c>
      <c r="E185" s="74" t="e">
        <f t="shared" si="150"/>
        <v>#DIV/0!</v>
      </c>
      <c r="F185" s="74" t="e">
        <f t="shared" si="151"/>
        <v>#DIV/0!</v>
      </c>
      <c r="G185" s="14">
        <f>'XFMR Data'!B80</f>
        <v>0</v>
      </c>
      <c r="H185" s="40">
        <f>'XFMR Data'!G80</f>
        <v>0</v>
      </c>
      <c r="I185" s="7">
        <f>'XFMR Data'!L80</f>
        <v>0</v>
      </c>
      <c r="J185" s="74" t="e">
        <f t="shared" si="152"/>
        <v>#DIV/0!</v>
      </c>
      <c r="K185" s="74" t="e">
        <f t="shared" si="153"/>
        <v>#DIV/0!</v>
      </c>
      <c r="L185" s="7">
        <f>'XFMR Data'!C80</f>
        <v>0</v>
      </c>
      <c r="M185" s="7">
        <f>'XFMR Data'!H80</f>
        <v>0</v>
      </c>
      <c r="N185" s="7">
        <f>'XFMR Data'!M80</f>
        <v>0</v>
      </c>
      <c r="O185" s="506" t="e">
        <f t="shared" si="154"/>
        <v>#DIV/0!</v>
      </c>
      <c r="P185" s="74" t="e">
        <f t="shared" si="155"/>
        <v>#DIV/0!</v>
      </c>
      <c r="Q185" s="7">
        <f>'XFMR Data'!D80</f>
        <v>0</v>
      </c>
      <c r="R185" s="7">
        <f>'XFMR Data'!I80</f>
        <v>0</v>
      </c>
      <c r="S185" s="7">
        <f>'XFMR Data'!N80</f>
        <v>0</v>
      </c>
      <c r="T185" s="506" t="e">
        <f t="shared" si="156"/>
        <v>#DIV/0!</v>
      </c>
      <c r="U185" s="74" t="e">
        <f t="shared" si="157"/>
        <v>#DIV/0!</v>
      </c>
      <c r="V185" s="7">
        <f>'XFMR Data'!E80</f>
        <v>0</v>
      </c>
      <c r="W185" s="7">
        <f>'XFMR Data'!J80</f>
        <v>0</v>
      </c>
      <c r="X185" s="7">
        <f>'XFMR Data'!O80</f>
        <v>0</v>
      </c>
      <c r="Y185" s="506" t="e">
        <f t="shared" si="158"/>
        <v>#DIV/0!</v>
      </c>
      <c r="Z185" s="74" t="e">
        <f t="shared" si="159"/>
        <v>#DIV/0!</v>
      </c>
      <c r="AA185" s="7">
        <f>'XFMR Data'!F80</f>
        <v>0</v>
      </c>
      <c r="AB185" s="40">
        <f>'XFMR Data'!K80</f>
        <v>0</v>
      </c>
      <c r="AC185" s="7">
        <f>'XFMR Data'!P80</f>
        <v>0</v>
      </c>
      <c r="AD185" s="506" t="e">
        <f t="shared" si="160"/>
        <v>#DIV/0!</v>
      </c>
      <c r="AE185" s="74" t="e">
        <f t="shared" si="161"/>
        <v>#DIV/0!</v>
      </c>
    </row>
    <row r="186" spans="2:31" hidden="1" outlineLevel="1" x14ac:dyDescent="0.25">
      <c r="B186" s="7">
        <f>'XFMR Data'!T81*('XFMR Data'!Q81/100)</f>
        <v>0</v>
      </c>
      <c r="C186" s="7">
        <f>'XFMR Data'!U81*('XFMR Data'!R81/100)</f>
        <v>0</v>
      </c>
      <c r="D186" s="7">
        <f>'XFMR Data'!V81*('XFMR Data'!S81/100)</f>
        <v>0</v>
      </c>
      <c r="E186" s="74" t="e">
        <f t="shared" si="150"/>
        <v>#DIV/0!</v>
      </c>
      <c r="F186" s="74" t="e">
        <f t="shared" si="151"/>
        <v>#DIV/0!</v>
      </c>
      <c r="G186" s="14">
        <f>'XFMR Data'!B81</f>
        <v>0</v>
      </c>
      <c r="H186" s="40">
        <f>'XFMR Data'!G81</f>
        <v>0</v>
      </c>
      <c r="I186" s="7">
        <f>'XFMR Data'!L81</f>
        <v>0</v>
      </c>
      <c r="J186" s="74" t="e">
        <f t="shared" si="152"/>
        <v>#DIV/0!</v>
      </c>
      <c r="K186" s="74" t="e">
        <f t="shared" si="153"/>
        <v>#DIV/0!</v>
      </c>
      <c r="L186" s="7">
        <f>'XFMR Data'!C81</f>
        <v>0</v>
      </c>
      <c r="M186" s="7">
        <f>'XFMR Data'!H81</f>
        <v>0</v>
      </c>
      <c r="N186" s="7">
        <f>'XFMR Data'!M81</f>
        <v>0</v>
      </c>
      <c r="O186" s="506" t="e">
        <f t="shared" si="154"/>
        <v>#DIV/0!</v>
      </c>
      <c r="P186" s="74" t="e">
        <f t="shared" si="155"/>
        <v>#DIV/0!</v>
      </c>
      <c r="Q186" s="7">
        <f>'XFMR Data'!D81</f>
        <v>0</v>
      </c>
      <c r="R186" s="7">
        <f>'XFMR Data'!I81</f>
        <v>0</v>
      </c>
      <c r="S186" s="7">
        <f>'XFMR Data'!N81</f>
        <v>0</v>
      </c>
      <c r="T186" s="506" t="e">
        <f t="shared" si="156"/>
        <v>#DIV/0!</v>
      </c>
      <c r="U186" s="74" t="e">
        <f t="shared" si="157"/>
        <v>#DIV/0!</v>
      </c>
      <c r="V186" s="7">
        <f>'XFMR Data'!E81</f>
        <v>0</v>
      </c>
      <c r="W186" s="7">
        <f>'XFMR Data'!J81</f>
        <v>0</v>
      </c>
      <c r="X186" s="7">
        <f>'XFMR Data'!O81</f>
        <v>0</v>
      </c>
      <c r="Y186" s="506" t="e">
        <f t="shared" si="158"/>
        <v>#DIV/0!</v>
      </c>
      <c r="Z186" s="74" t="e">
        <f t="shared" si="159"/>
        <v>#DIV/0!</v>
      </c>
      <c r="AA186" s="7">
        <f>'XFMR Data'!F81</f>
        <v>0</v>
      </c>
      <c r="AB186" s="40">
        <f>'XFMR Data'!K81</f>
        <v>0</v>
      </c>
      <c r="AC186" s="7">
        <f>'XFMR Data'!P81</f>
        <v>0</v>
      </c>
      <c r="AD186" s="506" t="e">
        <f t="shared" si="160"/>
        <v>#DIV/0!</v>
      </c>
      <c r="AE186" s="74" t="e">
        <f t="shared" si="161"/>
        <v>#DIV/0!</v>
      </c>
    </row>
    <row r="187" spans="2:31" hidden="1" outlineLevel="1" x14ac:dyDescent="0.25">
      <c r="B187" s="7">
        <f>'XFMR Data'!T82*('XFMR Data'!Q82/100)</f>
        <v>0</v>
      </c>
      <c r="C187" s="7">
        <f>'XFMR Data'!U82*('XFMR Data'!R82/100)</f>
        <v>0</v>
      </c>
      <c r="D187" s="7">
        <f>'XFMR Data'!V82*('XFMR Data'!S82/100)</f>
        <v>0</v>
      </c>
      <c r="E187" s="74" t="e">
        <f t="shared" si="150"/>
        <v>#DIV/0!</v>
      </c>
      <c r="F187" s="74" t="e">
        <f t="shared" si="151"/>
        <v>#DIV/0!</v>
      </c>
      <c r="G187" s="14">
        <f>'XFMR Data'!B82</f>
        <v>0</v>
      </c>
      <c r="H187" s="40">
        <f>'XFMR Data'!G82</f>
        <v>0</v>
      </c>
      <c r="I187" s="7">
        <f>'XFMR Data'!L82</f>
        <v>0</v>
      </c>
      <c r="J187" s="74" t="e">
        <f t="shared" si="152"/>
        <v>#DIV/0!</v>
      </c>
      <c r="K187" s="74" t="e">
        <f t="shared" si="153"/>
        <v>#DIV/0!</v>
      </c>
      <c r="L187" s="7">
        <f>'XFMR Data'!C82</f>
        <v>0</v>
      </c>
      <c r="M187" s="7">
        <f>'XFMR Data'!H82</f>
        <v>0</v>
      </c>
      <c r="N187" s="7">
        <f>'XFMR Data'!M82</f>
        <v>0</v>
      </c>
      <c r="O187" s="506" t="e">
        <f t="shared" si="154"/>
        <v>#DIV/0!</v>
      </c>
      <c r="P187" s="74" t="e">
        <f t="shared" si="155"/>
        <v>#DIV/0!</v>
      </c>
      <c r="Q187" s="7">
        <f>'XFMR Data'!D82</f>
        <v>0</v>
      </c>
      <c r="R187" s="7">
        <f>'XFMR Data'!I82</f>
        <v>0</v>
      </c>
      <c r="S187" s="7">
        <f>'XFMR Data'!N82</f>
        <v>0</v>
      </c>
      <c r="T187" s="506" t="e">
        <f t="shared" si="156"/>
        <v>#DIV/0!</v>
      </c>
      <c r="U187" s="74" t="e">
        <f t="shared" si="157"/>
        <v>#DIV/0!</v>
      </c>
      <c r="V187" s="7">
        <f>'XFMR Data'!E82</f>
        <v>0</v>
      </c>
      <c r="W187" s="7">
        <f>'XFMR Data'!J82</f>
        <v>0</v>
      </c>
      <c r="X187" s="7">
        <f>'XFMR Data'!O82</f>
        <v>0</v>
      </c>
      <c r="Y187" s="506" t="e">
        <f t="shared" si="158"/>
        <v>#DIV/0!</v>
      </c>
      <c r="Z187" s="74" t="e">
        <f t="shared" si="159"/>
        <v>#DIV/0!</v>
      </c>
      <c r="AA187" s="7">
        <f>'XFMR Data'!F82</f>
        <v>0</v>
      </c>
      <c r="AB187" s="40">
        <f>'XFMR Data'!K82</f>
        <v>0</v>
      </c>
      <c r="AC187" s="7">
        <f>'XFMR Data'!P82</f>
        <v>0</v>
      </c>
      <c r="AD187" s="506" t="e">
        <f t="shared" si="160"/>
        <v>#DIV/0!</v>
      </c>
      <c r="AE187" s="74" t="e">
        <f t="shared" si="161"/>
        <v>#DIV/0!</v>
      </c>
    </row>
    <row r="188" spans="2:31" hidden="1" outlineLevel="1" x14ac:dyDescent="0.25">
      <c r="B188" s="7">
        <f>'XFMR Data'!T83*('XFMR Data'!Q83/100)</f>
        <v>0</v>
      </c>
      <c r="C188" s="7">
        <f>'XFMR Data'!U83*('XFMR Data'!R83/100)</f>
        <v>0</v>
      </c>
      <c r="D188" s="7">
        <f>'XFMR Data'!V83*('XFMR Data'!S83/100)</f>
        <v>0</v>
      </c>
      <c r="E188" s="74" t="e">
        <f t="shared" si="150"/>
        <v>#DIV/0!</v>
      </c>
      <c r="F188" s="74" t="e">
        <f t="shared" si="151"/>
        <v>#DIV/0!</v>
      </c>
      <c r="G188" s="14">
        <f>'XFMR Data'!B83</f>
        <v>0</v>
      </c>
      <c r="H188" s="40">
        <f>'XFMR Data'!G83</f>
        <v>0</v>
      </c>
      <c r="I188" s="7">
        <f>'XFMR Data'!L83</f>
        <v>0</v>
      </c>
      <c r="J188" s="74" t="e">
        <f t="shared" si="152"/>
        <v>#DIV/0!</v>
      </c>
      <c r="K188" s="74" t="e">
        <f t="shared" si="153"/>
        <v>#DIV/0!</v>
      </c>
      <c r="L188" s="7">
        <f>'XFMR Data'!C83</f>
        <v>0</v>
      </c>
      <c r="M188" s="7">
        <f>'XFMR Data'!H83</f>
        <v>0</v>
      </c>
      <c r="N188" s="7">
        <f>'XFMR Data'!M83</f>
        <v>0</v>
      </c>
      <c r="O188" s="506" t="e">
        <f t="shared" si="154"/>
        <v>#DIV/0!</v>
      </c>
      <c r="P188" s="74" t="e">
        <f t="shared" si="155"/>
        <v>#DIV/0!</v>
      </c>
      <c r="Q188" s="7">
        <f>'XFMR Data'!D83</f>
        <v>0</v>
      </c>
      <c r="R188" s="7">
        <f>'XFMR Data'!I83</f>
        <v>0</v>
      </c>
      <c r="S188" s="7">
        <f>'XFMR Data'!N83</f>
        <v>0</v>
      </c>
      <c r="T188" s="506" t="e">
        <f t="shared" si="156"/>
        <v>#DIV/0!</v>
      </c>
      <c r="U188" s="74" t="e">
        <f t="shared" si="157"/>
        <v>#DIV/0!</v>
      </c>
      <c r="V188" s="7">
        <f>'XFMR Data'!E83</f>
        <v>0</v>
      </c>
      <c r="W188" s="7">
        <f>'XFMR Data'!J83</f>
        <v>0</v>
      </c>
      <c r="X188" s="7">
        <f>'XFMR Data'!O83</f>
        <v>0</v>
      </c>
      <c r="Y188" s="506" t="e">
        <f t="shared" si="158"/>
        <v>#DIV/0!</v>
      </c>
      <c r="Z188" s="74" t="e">
        <f t="shared" si="159"/>
        <v>#DIV/0!</v>
      </c>
      <c r="AA188" s="7">
        <f>'XFMR Data'!F83</f>
        <v>0</v>
      </c>
      <c r="AB188" s="40">
        <f>'XFMR Data'!K83</f>
        <v>0</v>
      </c>
      <c r="AC188" s="7">
        <f>'XFMR Data'!P83</f>
        <v>0</v>
      </c>
      <c r="AD188" s="506" t="e">
        <f t="shared" si="160"/>
        <v>#DIV/0!</v>
      </c>
      <c r="AE188" s="74" t="e">
        <f t="shared" si="161"/>
        <v>#DIV/0!</v>
      </c>
    </row>
    <row r="189" spans="2:31" hidden="1" outlineLevel="1" x14ac:dyDescent="0.25">
      <c r="B189" s="7">
        <f>'XFMR Data'!T84*('XFMR Data'!Q84/100)</f>
        <v>0</v>
      </c>
      <c r="C189" s="7">
        <f>'XFMR Data'!U84*('XFMR Data'!R84/100)</f>
        <v>0</v>
      </c>
      <c r="D189" s="7">
        <f>'XFMR Data'!V84*('XFMR Data'!S84/100)</f>
        <v>0</v>
      </c>
      <c r="E189" s="74" t="e">
        <f t="shared" si="150"/>
        <v>#DIV/0!</v>
      </c>
      <c r="F189" s="74" t="e">
        <f t="shared" si="151"/>
        <v>#DIV/0!</v>
      </c>
      <c r="G189" s="14">
        <f>'XFMR Data'!B84</f>
        <v>0</v>
      </c>
      <c r="H189" s="40">
        <f>'XFMR Data'!G84</f>
        <v>0</v>
      </c>
      <c r="I189" s="7">
        <f>'XFMR Data'!L84</f>
        <v>0</v>
      </c>
      <c r="J189" s="74" t="e">
        <f t="shared" si="152"/>
        <v>#DIV/0!</v>
      </c>
      <c r="K189" s="74" t="e">
        <f t="shared" si="153"/>
        <v>#DIV/0!</v>
      </c>
      <c r="L189" s="7">
        <f>'XFMR Data'!C84</f>
        <v>0</v>
      </c>
      <c r="M189" s="7">
        <f>'XFMR Data'!H84</f>
        <v>0</v>
      </c>
      <c r="N189" s="7">
        <f>'XFMR Data'!M84</f>
        <v>0</v>
      </c>
      <c r="O189" s="506" t="e">
        <f t="shared" si="154"/>
        <v>#DIV/0!</v>
      </c>
      <c r="P189" s="74" t="e">
        <f t="shared" si="155"/>
        <v>#DIV/0!</v>
      </c>
      <c r="Q189" s="7">
        <f>'XFMR Data'!D84</f>
        <v>0</v>
      </c>
      <c r="R189" s="7">
        <f>'XFMR Data'!I84</f>
        <v>0</v>
      </c>
      <c r="S189" s="7">
        <f>'XFMR Data'!N84</f>
        <v>0</v>
      </c>
      <c r="T189" s="506" t="e">
        <f t="shared" si="156"/>
        <v>#DIV/0!</v>
      </c>
      <c r="U189" s="74" t="e">
        <f t="shared" si="157"/>
        <v>#DIV/0!</v>
      </c>
      <c r="V189" s="7">
        <f>'XFMR Data'!E84</f>
        <v>0</v>
      </c>
      <c r="W189" s="7">
        <f>'XFMR Data'!J84</f>
        <v>0</v>
      </c>
      <c r="X189" s="7">
        <f>'XFMR Data'!O84</f>
        <v>0</v>
      </c>
      <c r="Y189" s="506" t="e">
        <f t="shared" si="158"/>
        <v>#DIV/0!</v>
      </c>
      <c r="Z189" s="74" t="e">
        <f t="shared" si="159"/>
        <v>#DIV/0!</v>
      </c>
      <c r="AA189" s="7">
        <f>'XFMR Data'!F84</f>
        <v>0</v>
      </c>
      <c r="AB189" s="40">
        <f>'XFMR Data'!K84</f>
        <v>0</v>
      </c>
      <c r="AC189" s="7">
        <f>'XFMR Data'!P84</f>
        <v>0</v>
      </c>
      <c r="AD189" s="506" t="e">
        <f t="shared" si="160"/>
        <v>#DIV/0!</v>
      </c>
      <c r="AE189" s="74" t="e">
        <f t="shared" si="161"/>
        <v>#DIV/0!</v>
      </c>
    </row>
    <row r="190" spans="2:31" hidden="1" outlineLevel="1" x14ac:dyDescent="0.25">
      <c r="B190" s="7">
        <f>'XFMR Data'!T85*('XFMR Data'!Q85/100)</f>
        <v>0</v>
      </c>
      <c r="C190" s="7">
        <f>'XFMR Data'!U85*('XFMR Data'!R85/100)</f>
        <v>0</v>
      </c>
      <c r="D190" s="7">
        <f>'XFMR Data'!V85*('XFMR Data'!S85/100)</f>
        <v>0</v>
      </c>
      <c r="E190" s="74" t="e">
        <f t="shared" si="150"/>
        <v>#DIV/0!</v>
      </c>
      <c r="F190" s="74" t="e">
        <f t="shared" si="151"/>
        <v>#DIV/0!</v>
      </c>
      <c r="G190" s="14">
        <f>'XFMR Data'!B85</f>
        <v>0</v>
      </c>
      <c r="H190" s="40">
        <f>'XFMR Data'!G85</f>
        <v>0</v>
      </c>
      <c r="I190" s="7">
        <f>'XFMR Data'!L85</f>
        <v>0</v>
      </c>
      <c r="J190" s="74" t="e">
        <f t="shared" si="152"/>
        <v>#DIV/0!</v>
      </c>
      <c r="K190" s="74" t="e">
        <f t="shared" si="153"/>
        <v>#DIV/0!</v>
      </c>
      <c r="L190" s="7">
        <f>'XFMR Data'!C85</f>
        <v>0</v>
      </c>
      <c r="M190" s="7">
        <f>'XFMR Data'!H85</f>
        <v>0</v>
      </c>
      <c r="N190" s="7">
        <f>'XFMR Data'!M85</f>
        <v>0</v>
      </c>
      <c r="O190" s="506" t="e">
        <f t="shared" si="154"/>
        <v>#DIV/0!</v>
      </c>
      <c r="P190" s="74" t="e">
        <f t="shared" si="155"/>
        <v>#DIV/0!</v>
      </c>
      <c r="Q190" s="7">
        <f>'XFMR Data'!D85</f>
        <v>0</v>
      </c>
      <c r="R190" s="7">
        <f>'XFMR Data'!I85</f>
        <v>0</v>
      </c>
      <c r="S190" s="7">
        <f>'XFMR Data'!N85</f>
        <v>0</v>
      </c>
      <c r="T190" s="506" t="e">
        <f t="shared" si="156"/>
        <v>#DIV/0!</v>
      </c>
      <c r="U190" s="74" t="e">
        <f t="shared" si="157"/>
        <v>#DIV/0!</v>
      </c>
      <c r="V190" s="7">
        <f>'XFMR Data'!E85</f>
        <v>0</v>
      </c>
      <c r="W190" s="7">
        <f>'XFMR Data'!J85</f>
        <v>0</v>
      </c>
      <c r="X190" s="7">
        <f>'XFMR Data'!O85</f>
        <v>0</v>
      </c>
      <c r="Y190" s="506" t="e">
        <f t="shared" si="158"/>
        <v>#DIV/0!</v>
      </c>
      <c r="Z190" s="74" t="e">
        <f t="shared" si="159"/>
        <v>#DIV/0!</v>
      </c>
      <c r="AA190" s="7">
        <f>'XFMR Data'!F85</f>
        <v>0</v>
      </c>
      <c r="AB190" s="40">
        <f>'XFMR Data'!K85</f>
        <v>0</v>
      </c>
      <c r="AC190" s="7">
        <f>'XFMR Data'!P85</f>
        <v>0</v>
      </c>
      <c r="AD190" s="506" t="e">
        <f t="shared" si="160"/>
        <v>#DIV/0!</v>
      </c>
      <c r="AE190" s="74" t="e">
        <f t="shared" si="161"/>
        <v>#DIV/0!</v>
      </c>
    </row>
    <row r="191" spans="2:31" hidden="1" outlineLevel="1" x14ac:dyDescent="0.25">
      <c r="B191" s="7">
        <f>'XFMR Data'!T86*('XFMR Data'!Q86/100)</f>
        <v>0</v>
      </c>
      <c r="C191" s="7">
        <f>'XFMR Data'!U86*('XFMR Data'!R86/100)</f>
        <v>0</v>
      </c>
      <c r="D191" s="7">
        <f>'XFMR Data'!V86*('XFMR Data'!S86/100)</f>
        <v>0</v>
      </c>
      <c r="E191" s="74" t="e">
        <f t="shared" si="150"/>
        <v>#DIV/0!</v>
      </c>
      <c r="F191" s="74" t="e">
        <f t="shared" si="151"/>
        <v>#DIV/0!</v>
      </c>
      <c r="G191" s="14">
        <f>'XFMR Data'!B86</f>
        <v>0</v>
      </c>
      <c r="H191" s="40">
        <f>'XFMR Data'!G86</f>
        <v>0</v>
      </c>
      <c r="I191" s="7">
        <f>'XFMR Data'!L86</f>
        <v>0</v>
      </c>
      <c r="J191" s="74" t="e">
        <f t="shared" si="152"/>
        <v>#DIV/0!</v>
      </c>
      <c r="K191" s="74" t="e">
        <f t="shared" si="153"/>
        <v>#DIV/0!</v>
      </c>
      <c r="L191" s="7">
        <f>'XFMR Data'!C86</f>
        <v>0</v>
      </c>
      <c r="M191" s="7">
        <f>'XFMR Data'!H86</f>
        <v>0</v>
      </c>
      <c r="N191" s="7">
        <f>'XFMR Data'!M86</f>
        <v>0</v>
      </c>
      <c r="O191" s="506" t="e">
        <f t="shared" si="154"/>
        <v>#DIV/0!</v>
      </c>
      <c r="P191" s="74" t="e">
        <f t="shared" si="155"/>
        <v>#DIV/0!</v>
      </c>
      <c r="Q191" s="7">
        <f>'XFMR Data'!D86</f>
        <v>0</v>
      </c>
      <c r="R191" s="7">
        <f>'XFMR Data'!I86</f>
        <v>0</v>
      </c>
      <c r="S191" s="7">
        <f>'XFMR Data'!N86</f>
        <v>0</v>
      </c>
      <c r="T191" s="506" t="e">
        <f t="shared" si="156"/>
        <v>#DIV/0!</v>
      </c>
      <c r="U191" s="74" t="e">
        <f t="shared" si="157"/>
        <v>#DIV/0!</v>
      </c>
      <c r="V191" s="7">
        <f>'XFMR Data'!E86</f>
        <v>0</v>
      </c>
      <c r="W191" s="7">
        <f>'XFMR Data'!J86</f>
        <v>0</v>
      </c>
      <c r="X191" s="7">
        <f>'XFMR Data'!O86</f>
        <v>0</v>
      </c>
      <c r="Y191" s="506" t="e">
        <f t="shared" si="158"/>
        <v>#DIV/0!</v>
      </c>
      <c r="Z191" s="74" t="e">
        <f t="shared" si="159"/>
        <v>#DIV/0!</v>
      </c>
      <c r="AA191" s="7">
        <f>'XFMR Data'!F86</f>
        <v>0</v>
      </c>
      <c r="AB191" s="40">
        <f>'XFMR Data'!K86</f>
        <v>0</v>
      </c>
      <c r="AC191" s="7">
        <f>'XFMR Data'!P86</f>
        <v>0</v>
      </c>
      <c r="AD191" s="506" t="e">
        <f t="shared" si="160"/>
        <v>#DIV/0!</v>
      </c>
      <c r="AE191" s="74" t="e">
        <f t="shared" si="161"/>
        <v>#DIV/0!</v>
      </c>
    </row>
    <row r="192" spans="2:31" hidden="1" outlineLevel="1" x14ac:dyDescent="0.25">
      <c r="B192" s="7">
        <f>'XFMR Data'!T87*('XFMR Data'!Q87/100)</f>
        <v>0</v>
      </c>
      <c r="C192" s="7">
        <f>'XFMR Data'!U87*('XFMR Data'!R87/100)</f>
        <v>0</v>
      </c>
      <c r="D192" s="7">
        <f>'XFMR Data'!V87*('XFMR Data'!S87/100)</f>
        <v>0</v>
      </c>
      <c r="E192" s="74" t="e">
        <f t="shared" si="150"/>
        <v>#DIV/0!</v>
      </c>
      <c r="F192" s="74" t="e">
        <f t="shared" si="151"/>
        <v>#DIV/0!</v>
      </c>
      <c r="G192" s="14">
        <f>'XFMR Data'!B87</f>
        <v>0</v>
      </c>
      <c r="H192" s="40">
        <f>'XFMR Data'!G87</f>
        <v>0</v>
      </c>
      <c r="I192" s="7">
        <f>'XFMR Data'!L87</f>
        <v>0</v>
      </c>
      <c r="J192" s="74" t="e">
        <f t="shared" si="152"/>
        <v>#DIV/0!</v>
      </c>
      <c r="K192" s="74" t="e">
        <f t="shared" si="153"/>
        <v>#DIV/0!</v>
      </c>
      <c r="L192" s="7">
        <f>'XFMR Data'!C87</f>
        <v>0</v>
      </c>
      <c r="M192" s="7">
        <f>'XFMR Data'!H87</f>
        <v>0</v>
      </c>
      <c r="N192" s="7">
        <f>'XFMR Data'!M87</f>
        <v>0</v>
      </c>
      <c r="O192" s="506" t="e">
        <f t="shared" si="154"/>
        <v>#DIV/0!</v>
      </c>
      <c r="P192" s="74" t="e">
        <f t="shared" si="155"/>
        <v>#DIV/0!</v>
      </c>
      <c r="Q192" s="7">
        <f>'XFMR Data'!D87</f>
        <v>0</v>
      </c>
      <c r="R192" s="7">
        <f>'XFMR Data'!I87</f>
        <v>0</v>
      </c>
      <c r="S192" s="7">
        <f>'XFMR Data'!N87</f>
        <v>0</v>
      </c>
      <c r="T192" s="506" t="e">
        <f t="shared" si="156"/>
        <v>#DIV/0!</v>
      </c>
      <c r="U192" s="74" t="e">
        <f t="shared" si="157"/>
        <v>#DIV/0!</v>
      </c>
      <c r="V192" s="7">
        <f>'XFMR Data'!E87</f>
        <v>0</v>
      </c>
      <c r="W192" s="7">
        <f>'XFMR Data'!J87</f>
        <v>0</v>
      </c>
      <c r="X192" s="7">
        <f>'XFMR Data'!O87</f>
        <v>0</v>
      </c>
      <c r="Y192" s="506" t="e">
        <f t="shared" si="158"/>
        <v>#DIV/0!</v>
      </c>
      <c r="Z192" s="74" t="e">
        <f t="shared" si="159"/>
        <v>#DIV/0!</v>
      </c>
      <c r="AA192" s="7">
        <f>'XFMR Data'!F87</f>
        <v>0</v>
      </c>
      <c r="AB192" s="40">
        <f>'XFMR Data'!K87</f>
        <v>0</v>
      </c>
      <c r="AC192" s="7">
        <f>'XFMR Data'!P87</f>
        <v>0</v>
      </c>
      <c r="AD192" s="506" t="e">
        <f t="shared" si="160"/>
        <v>#DIV/0!</v>
      </c>
      <c r="AE192" s="74" t="e">
        <f t="shared" si="161"/>
        <v>#DIV/0!</v>
      </c>
    </row>
    <row r="193" spans="1:53" hidden="1" outlineLevel="1" x14ac:dyDescent="0.25">
      <c r="B193" s="7">
        <f>'XFMR Data'!T88*('XFMR Data'!Q88/100)</f>
        <v>0</v>
      </c>
      <c r="C193" s="7">
        <f>'XFMR Data'!U88*('XFMR Data'!R88/100)</f>
        <v>0</v>
      </c>
      <c r="D193" s="7">
        <f>'XFMR Data'!V88*('XFMR Data'!S88/100)</f>
        <v>0</v>
      </c>
      <c r="E193" s="74" t="e">
        <f t="shared" si="150"/>
        <v>#DIV/0!</v>
      </c>
      <c r="F193" s="74" t="e">
        <f t="shared" si="151"/>
        <v>#DIV/0!</v>
      </c>
      <c r="G193" s="14">
        <f>'XFMR Data'!B88</f>
        <v>0</v>
      </c>
      <c r="H193" s="40">
        <f>'XFMR Data'!G88</f>
        <v>0</v>
      </c>
      <c r="I193" s="7">
        <f>'XFMR Data'!L88</f>
        <v>0</v>
      </c>
      <c r="J193" s="74" t="e">
        <f t="shared" si="152"/>
        <v>#DIV/0!</v>
      </c>
      <c r="K193" s="74" t="e">
        <f t="shared" si="153"/>
        <v>#DIV/0!</v>
      </c>
      <c r="L193" s="7">
        <f>'XFMR Data'!C88</f>
        <v>0</v>
      </c>
      <c r="M193" s="7">
        <f>'XFMR Data'!H88</f>
        <v>0</v>
      </c>
      <c r="N193" s="7">
        <f>'XFMR Data'!M88</f>
        <v>0</v>
      </c>
      <c r="O193" s="506" t="e">
        <f t="shared" si="154"/>
        <v>#DIV/0!</v>
      </c>
      <c r="P193" s="74" t="e">
        <f t="shared" si="155"/>
        <v>#DIV/0!</v>
      </c>
      <c r="Q193" s="7">
        <f>'XFMR Data'!D88</f>
        <v>0</v>
      </c>
      <c r="R193" s="7">
        <f>'XFMR Data'!I88</f>
        <v>0</v>
      </c>
      <c r="S193" s="7">
        <f>'XFMR Data'!N88</f>
        <v>0</v>
      </c>
      <c r="T193" s="506" t="e">
        <f t="shared" si="156"/>
        <v>#DIV/0!</v>
      </c>
      <c r="U193" s="74" t="e">
        <f t="shared" si="157"/>
        <v>#DIV/0!</v>
      </c>
      <c r="V193" s="7">
        <f>'XFMR Data'!E88</f>
        <v>0</v>
      </c>
      <c r="W193" s="7">
        <f>'XFMR Data'!J88</f>
        <v>0</v>
      </c>
      <c r="X193" s="7">
        <f>'XFMR Data'!O88</f>
        <v>0</v>
      </c>
      <c r="Y193" s="506" t="e">
        <f t="shared" si="158"/>
        <v>#DIV/0!</v>
      </c>
      <c r="Z193" s="74" t="e">
        <f t="shared" si="159"/>
        <v>#DIV/0!</v>
      </c>
      <c r="AA193" s="7">
        <f>'XFMR Data'!F88</f>
        <v>0</v>
      </c>
      <c r="AB193" s="40">
        <f>'XFMR Data'!K88</f>
        <v>0</v>
      </c>
      <c r="AC193" s="7">
        <f>'XFMR Data'!P88</f>
        <v>0</v>
      </c>
      <c r="AD193" s="506" t="e">
        <f t="shared" si="160"/>
        <v>#DIV/0!</v>
      </c>
      <c r="AE193" s="74" t="e">
        <f t="shared" si="161"/>
        <v>#DIV/0!</v>
      </c>
    </row>
    <row r="194" spans="1:53" hidden="1" outlineLevel="1" x14ac:dyDescent="0.25">
      <c r="B194" s="7">
        <f>'XFMR Data'!T89*('XFMR Data'!Q89/100)</f>
        <v>0</v>
      </c>
      <c r="C194" s="7">
        <f>'XFMR Data'!U89*('XFMR Data'!R89/100)</f>
        <v>0</v>
      </c>
      <c r="D194" s="7">
        <f>'XFMR Data'!V89*('XFMR Data'!S89/100)</f>
        <v>0</v>
      </c>
      <c r="E194" s="74" t="e">
        <f t="shared" si="150"/>
        <v>#DIV/0!</v>
      </c>
      <c r="F194" s="74" t="e">
        <f t="shared" si="151"/>
        <v>#DIV/0!</v>
      </c>
      <c r="G194" s="14">
        <f>'XFMR Data'!B89</f>
        <v>0</v>
      </c>
      <c r="H194" s="40">
        <f>'XFMR Data'!G89</f>
        <v>0</v>
      </c>
      <c r="I194" s="7">
        <f>'XFMR Data'!L89</f>
        <v>0</v>
      </c>
      <c r="J194" s="74" t="e">
        <f t="shared" si="152"/>
        <v>#DIV/0!</v>
      </c>
      <c r="K194" s="74" t="e">
        <f t="shared" si="153"/>
        <v>#DIV/0!</v>
      </c>
      <c r="L194" s="7">
        <f>'XFMR Data'!C89</f>
        <v>0</v>
      </c>
      <c r="M194" s="7">
        <f>'XFMR Data'!H89</f>
        <v>0</v>
      </c>
      <c r="N194" s="7">
        <f>'XFMR Data'!M89</f>
        <v>0</v>
      </c>
      <c r="O194" s="506" t="e">
        <f t="shared" si="154"/>
        <v>#DIV/0!</v>
      </c>
      <c r="P194" s="74" t="e">
        <f t="shared" si="155"/>
        <v>#DIV/0!</v>
      </c>
      <c r="Q194" s="7">
        <f>'XFMR Data'!D89</f>
        <v>0</v>
      </c>
      <c r="R194" s="7">
        <f>'XFMR Data'!I89</f>
        <v>0</v>
      </c>
      <c r="S194" s="7">
        <f>'XFMR Data'!N89</f>
        <v>0</v>
      </c>
      <c r="T194" s="506" t="e">
        <f t="shared" si="156"/>
        <v>#DIV/0!</v>
      </c>
      <c r="U194" s="74" t="e">
        <f t="shared" si="157"/>
        <v>#DIV/0!</v>
      </c>
      <c r="V194" s="7">
        <f>'XFMR Data'!E89</f>
        <v>0</v>
      </c>
      <c r="W194" s="7">
        <f>'XFMR Data'!J89</f>
        <v>0</v>
      </c>
      <c r="X194" s="7">
        <f>'XFMR Data'!O89</f>
        <v>0</v>
      </c>
      <c r="Y194" s="506" t="e">
        <f t="shared" si="158"/>
        <v>#DIV/0!</v>
      </c>
      <c r="Z194" s="74" t="e">
        <f t="shared" si="159"/>
        <v>#DIV/0!</v>
      </c>
      <c r="AA194" s="7">
        <f>'XFMR Data'!F89</f>
        <v>0</v>
      </c>
      <c r="AB194" s="40">
        <f>'XFMR Data'!K89</f>
        <v>0</v>
      </c>
      <c r="AC194" s="7">
        <f>'XFMR Data'!P89</f>
        <v>0</v>
      </c>
      <c r="AD194" s="506" t="e">
        <f t="shared" si="160"/>
        <v>#DIV/0!</v>
      </c>
      <c r="AE194" s="74" t="e">
        <f t="shared" si="161"/>
        <v>#DIV/0!</v>
      </c>
    </row>
    <row r="195" spans="1:53" hidden="1" outlineLevel="1" x14ac:dyDescent="0.25">
      <c r="B195" s="7">
        <f>'XFMR Data'!T90*('XFMR Data'!Q90/100)</f>
        <v>0</v>
      </c>
      <c r="C195" s="7">
        <f>'XFMR Data'!U90*('XFMR Data'!R90/100)</f>
        <v>0</v>
      </c>
      <c r="D195" s="7">
        <f>'XFMR Data'!V90*('XFMR Data'!S90/100)</f>
        <v>0</v>
      </c>
      <c r="E195" s="74" t="e">
        <f t="shared" si="150"/>
        <v>#DIV/0!</v>
      </c>
      <c r="F195" s="74" t="e">
        <f t="shared" si="151"/>
        <v>#DIV/0!</v>
      </c>
      <c r="G195" s="14">
        <f>'XFMR Data'!B90</f>
        <v>0</v>
      </c>
      <c r="H195" s="40">
        <f>'XFMR Data'!G90</f>
        <v>0</v>
      </c>
      <c r="I195" s="7">
        <f>'XFMR Data'!L90</f>
        <v>0</v>
      </c>
      <c r="J195" s="74" t="e">
        <f t="shared" si="152"/>
        <v>#DIV/0!</v>
      </c>
      <c r="K195" s="74" t="e">
        <f t="shared" si="153"/>
        <v>#DIV/0!</v>
      </c>
      <c r="L195" s="7">
        <f>'XFMR Data'!C90</f>
        <v>0</v>
      </c>
      <c r="M195" s="7">
        <f>'XFMR Data'!H90</f>
        <v>0</v>
      </c>
      <c r="N195" s="7">
        <f>'XFMR Data'!M90</f>
        <v>0</v>
      </c>
      <c r="O195" s="506" t="e">
        <f t="shared" si="154"/>
        <v>#DIV/0!</v>
      </c>
      <c r="P195" s="74" t="e">
        <f t="shared" si="155"/>
        <v>#DIV/0!</v>
      </c>
      <c r="Q195" s="7">
        <f>'XFMR Data'!D90</f>
        <v>0</v>
      </c>
      <c r="R195" s="7">
        <f>'XFMR Data'!I90</f>
        <v>0</v>
      </c>
      <c r="S195" s="7">
        <f>'XFMR Data'!N90</f>
        <v>0</v>
      </c>
      <c r="T195" s="506" t="e">
        <f t="shared" si="156"/>
        <v>#DIV/0!</v>
      </c>
      <c r="U195" s="74" t="e">
        <f t="shared" si="157"/>
        <v>#DIV/0!</v>
      </c>
      <c r="V195" s="7">
        <f>'XFMR Data'!E90</f>
        <v>0</v>
      </c>
      <c r="W195" s="7">
        <f>'XFMR Data'!J90</f>
        <v>0</v>
      </c>
      <c r="X195" s="7">
        <f>'XFMR Data'!O90</f>
        <v>0</v>
      </c>
      <c r="Y195" s="506" t="e">
        <f t="shared" si="158"/>
        <v>#DIV/0!</v>
      </c>
      <c r="Z195" s="74" t="e">
        <f t="shared" si="159"/>
        <v>#DIV/0!</v>
      </c>
      <c r="AA195" s="7">
        <f>'XFMR Data'!F90</f>
        <v>0</v>
      </c>
      <c r="AB195" s="40">
        <f>'XFMR Data'!K90</f>
        <v>0</v>
      </c>
      <c r="AC195" s="7">
        <f>'XFMR Data'!P90</f>
        <v>0</v>
      </c>
      <c r="AD195" s="506" t="e">
        <f t="shared" si="160"/>
        <v>#DIV/0!</v>
      </c>
      <c r="AE195" s="74" t="e">
        <f t="shared" si="161"/>
        <v>#DIV/0!</v>
      </c>
    </row>
    <row r="196" spans="1:53" hidden="1" outlineLevel="1" x14ac:dyDescent="0.25">
      <c r="B196" s="7">
        <f>'XFMR Data'!T91*('XFMR Data'!Q91/100)</f>
        <v>0</v>
      </c>
      <c r="C196" s="7">
        <f>'XFMR Data'!U91*('XFMR Data'!R91/100)</f>
        <v>0</v>
      </c>
      <c r="D196" s="7">
        <f>'XFMR Data'!V91*('XFMR Data'!S91/100)</f>
        <v>0</v>
      </c>
      <c r="E196" s="74" t="e">
        <f t="shared" si="150"/>
        <v>#DIV/0!</v>
      </c>
      <c r="F196" s="74" t="e">
        <f t="shared" si="151"/>
        <v>#DIV/0!</v>
      </c>
      <c r="G196" s="14">
        <f>'XFMR Data'!B91</f>
        <v>0</v>
      </c>
      <c r="H196" s="40">
        <f>'XFMR Data'!G91</f>
        <v>0</v>
      </c>
      <c r="I196" s="7">
        <f>'XFMR Data'!L91</f>
        <v>0</v>
      </c>
      <c r="J196" s="74" t="e">
        <f t="shared" si="152"/>
        <v>#DIV/0!</v>
      </c>
      <c r="K196" s="74" t="e">
        <f t="shared" si="153"/>
        <v>#DIV/0!</v>
      </c>
      <c r="L196" s="7">
        <f>'XFMR Data'!C91</f>
        <v>0</v>
      </c>
      <c r="M196" s="7">
        <f>'XFMR Data'!H91</f>
        <v>0</v>
      </c>
      <c r="N196" s="7">
        <f>'XFMR Data'!M91</f>
        <v>0</v>
      </c>
      <c r="O196" s="506" t="e">
        <f t="shared" si="154"/>
        <v>#DIV/0!</v>
      </c>
      <c r="P196" s="74" t="e">
        <f t="shared" si="155"/>
        <v>#DIV/0!</v>
      </c>
      <c r="Q196" s="7">
        <f>'XFMR Data'!D91</f>
        <v>0</v>
      </c>
      <c r="R196" s="7">
        <f>'XFMR Data'!I91</f>
        <v>0</v>
      </c>
      <c r="S196" s="7">
        <f>'XFMR Data'!N91</f>
        <v>0</v>
      </c>
      <c r="T196" s="506" t="e">
        <f t="shared" si="156"/>
        <v>#DIV/0!</v>
      </c>
      <c r="U196" s="74" t="e">
        <f t="shared" si="157"/>
        <v>#DIV/0!</v>
      </c>
      <c r="V196" s="7">
        <f>'XFMR Data'!E91</f>
        <v>0</v>
      </c>
      <c r="W196" s="7">
        <f>'XFMR Data'!J91</f>
        <v>0</v>
      </c>
      <c r="X196" s="7">
        <f>'XFMR Data'!O91</f>
        <v>0</v>
      </c>
      <c r="Y196" s="506" t="e">
        <f t="shared" si="158"/>
        <v>#DIV/0!</v>
      </c>
      <c r="Z196" s="74" t="e">
        <f t="shared" si="159"/>
        <v>#DIV/0!</v>
      </c>
      <c r="AA196" s="7">
        <f>'XFMR Data'!F91</f>
        <v>0</v>
      </c>
      <c r="AB196" s="40">
        <f>'XFMR Data'!K91</f>
        <v>0</v>
      </c>
      <c r="AC196" s="7">
        <f>'XFMR Data'!P91</f>
        <v>0</v>
      </c>
      <c r="AD196" s="506" t="e">
        <f t="shared" si="160"/>
        <v>#DIV/0!</v>
      </c>
      <c r="AE196" s="74" t="e">
        <f t="shared" si="161"/>
        <v>#DIV/0!</v>
      </c>
    </row>
    <row r="197" spans="1:53" hidden="1" outlineLevel="1" x14ac:dyDescent="0.25">
      <c r="B197" s="7">
        <f>'XFMR Data'!T92*('XFMR Data'!Q92/100)</f>
        <v>0</v>
      </c>
      <c r="C197" s="7">
        <f>'XFMR Data'!U92*('XFMR Data'!R92/100)</f>
        <v>0</v>
      </c>
      <c r="D197" s="7">
        <f>'XFMR Data'!V92*('XFMR Data'!S92/100)</f>
        <v>0</v>
      </c>
      <c r="E197" s="74" t="e">
        <f t="shared" si="150"/>
        <v>#DIV/0!</v>
      </c>
      <c r="F197" s="74" t="e">
        <f t="shared" si="151"/>
        <v>#DIV/0!</v>
      </c>
      <c r="G197" s="14">
        <f>'XFMR Data'!B92</f>
        <v>0</v>
      </c>
      <c r="H197" s="40">
        <f>'XFMR Data'!G92</f>
        <v>0</v>
      </c>
      <c r="I197" s="7">
        <f>'XFMR Data'!L92</f>
        <v>0</v>
      </c>
      <c r="J197" s="74" t="e">
        <f t="shared" si="152"/>
        <v>#DIV/0!</v>
      </c>
      <c r="K197" s="74" t="e">
        <f t="shared" si="153"/>
        <v>#DIV/0!</v>
      </c>
      <c r="L197" s="7">
        <f>'XFMR Data'!C92</f>
        <v>0</v>
      </c>
      <c r="M197" s="7">
        <f>'XFMR Data'!H92</f>
        <v>0</v>
      </c>
      <c r="N197" s="7">
        <f>'XFMR Data'!M92</f>
        <v>0</v>
      </c>
      <c r="O197" s="506" t="e">
        <f t="shared" si="154"/>
        <v>#DIV/0!</v>
      </c>
      <c r="P197" s="74" t="e">
        <f t="shared" si="155"/>
        <v>#DIV/0!</v>
      </c>
      <c r="Q197" s="7">
        <f>'XFMR Data'!D92</f>
        <v>0</v>
      </c>
      <c r="R197" s="7">
        <f>'XFMR Data'!I92</f>
        <v>0</v>
      </c>
      <c r="S197" s="7">
        <f>'XFMR Data'!N92</f>
        <v>0</v>
      </c>
      <c r="T197" s="506" t="e">
        <f t="shared" si="156"/>
        <v>#DIV/0!</v>
      </c>
      <c r="U197" s="74" t="e">
        <f t="shared" si="157"/>
        <v>#DIV/0!</v>
      </c>
      <c r="V197" s="7">
        <f>'XFMR Data'!E92</f>
        <v>0</v>
      </c>
      <c r="W197" s="7">
        <f>'XFMR Data'!J92</f>
        <v>0</v>
      </c>
      <c r="X197" s="7">
        <f>'XFMR Data'!O92</f>
        <v>0</v>
      </c>
      <c r="Y197" s="506" t="e">
        <f t="shared" si="158"/>
        <v>#DIV/0!</v>
      </c>
      <c r="Z197" s="74" t="e">
        <f t="shared" si="159"/>
        <v>#DIV/0!</v>
      </c>
      <c r="AA197" s="7">
        <f>'XFMR Data'!F92</f>
        <v>0</v>
      </c>
      <c r="AB197" s="40">
        <f>'XFMR Data'!K92</f>
        <v>0</v>
      </c>
      <c r="AC197" s="7">
        <f>'XFMR Data'!P92</f>
        <v>0</v>
      </c>
      <c r="AD197" s="506" t="e">
        <f t="shared" si="160"/>
        <v>#DIV/0!</v>
      </c>
      <c r="AE197" s="74" t="e">
        <f t="shared" si="161"/>
        <v>#DIV/0!</v>
      </c>
    </row>
    <row r="198" spans="1:53" hidden="1" outlineLevel="1" x14ac:dyDescent="0.25">
      <c r="B198" s="7">
        <f>'XFMR Data'!T93*('XFMR Data'!Q93/100)</f>
        <v>0</v>
      </c>
      <c r="C198" s="7">
        <f>'XFMR Data'!U93*('XFMR Data'!R93/100)</f>
        <v>0</v>
      </c>
      <c r="D198" s="7">
        <f>'XFMR Data'!V93*('XFMR Data'!S93/100)</f>
        <v>0</v>
      </c>
      <c r="E198" s="74" t="e">
        <f t="shared" si="150"/>
        <v>#DIV/0!</v>
      </c>
      <c r="F198" s="74" t="e">
        <f t="shared" si="151"/>
        <v>#DIV/0!</v>
      </c>
      <c r="G198" s="14">
        <f>'XFMR Data'!B93</f>
        <v>0</v>
      </c>
      <c r="H198" s="40">
        <f>'XFMR Data'!G93</f>
        <v>0</v>
      </c>
      <c r="I198" s="7">
        <f>'XFMR Data'!L93</f>
        <v>0</v>
      </c>
      <c r="J198" s="74" t="e">
        <f t="shared" si="152"/>
        <v>#DIV/0!</v>
      </c>
      <c r="K198" s="74" t="e">
        <f t="shared" si="153"/>
        <v>#DIV/0!</v>
      </c>
      <c r="L198" s="7">
        <f>'XFMR Data'!C93</f>
        <v>0</v>
      </c>
      <c r="M198" s="7">
        <f>'XFMR Data'!H93</f>
        <v>0</v>
      </c>
      <c r="N198" s="7">
        <f>'XFMR Data'!M93</f>
        <v>0</v>
      </c>
      <c r="O198" s="506" t="e">
        <f t="shared" si="154"/>
        <v>#DIV/0!</v>
      </c>
      <c r="P198" s="74" t="e">
        <f t="shared" si="155"/>
        <v>#DIV/0!</v>
      </c>
      <c r="Q198" s="7">
        <f>'XFMR Data'!D93</f>
        <v>0</v>
      </c>
      <c r="R198" s="7">
        <f>'XFMR Data'!I93</f>
        <v>0</v>
      </c>
      <c r="S198" s="7">
        <f>'XFMR Data'!N93</f>
        <v>0</v>
      </c>
      <c r="T198" s="506" t="e">
        <f t="shared" si="156"/>
        <v>#DIV/0!</v>
      </c>
      <c r="U198" s="74" t="e">
        <f t="shared" si="157"/>
        <v>#DIV/0!</v>
      </c>
      <c r="V198" s="7">
        <f>'XFMR Data'!E93</f>
        <v>0</v>
      </c>
      <c r="W198" s="7">
        <f>'XFMR Data'!J93</f>
        <v>0</v>
      </c>
      <c r="X198" s="7">
        <f>'XFMR Data'!O93</f>
        <v>0</v>
      </c>
      <c r="Y198" s="506" t="e">
        <f t="shared" si="158"/>
        <v>#DIV/0!</v>
      </c>
      <c r="Z198" s="74" t="e">
        <f t="shared" si="159"/>
        <v>#DIV/0!</v>
      </c>
      <c r="AA198" s="7">
        <f>'XFMR Data'!F93</f>
        <v>0</v>
      </c>
      <c r="AB198" s="40">
        <f>'XFMR Data'!K93</f>
        <v>0</v>
      </c>
      <c r="AC198" s="7">
        <f>'XFMR Data'!P93</f>
        <v>0</v>
      </c>
      <c r="AD198" s="506" t="e">
        <f t="shared" si="160"/>
        <v>#DIV/0!</v>
      </c>
      <c r="AE198" s="74" t="e">
        <f t="shared" si="161"/>
        <v>#DIV/0!</v>
      </c>
    </row>
    <row r="199" spans="1:53" hidden="1" outlineLevel="1" x14ac:dyDescent="0.25">
      <c r="B199" s="7">
        <f>'XFMR Data'!T94*('XFMR Data'!Q94/100)</f>
        <v>0</v>
      </c>
      <c r="C199" s="7">
        <f>'XFMR Data'!U94*('XFMR Data'!R94/100)</f>
        <v>0</v>
      </c>
      <c r="D199" s="7">
        <f>'XFMR Data'!V94*('XFMR Data'!S94/100)</f>
        <v>0</v>
      </c>
      <c r="E199" s="74" t="e">
        <f t="shared" si="150"/>
        <v>#DIV/0!</v>
      </c>
      <c r="F199" s="74" t="e">
        <f t="shared" si="151"/>
        <v>#DIV/0!</v>
      </c>
      <c r="G199" s="14">
        <f>'XFMR Data'!B94</f>
        <v>0</v>
      </c>
      <c r="H199" s="40">
        <f>'XFMR Data'!G94</f>
        <v>0</v>
      </c>
      <c r="I199" s="7">
        <f>'XFMR Data'!L94</f>
        <v>0</v>
      </c>
      <c r="J199" s="74" t="e">
        <f t="shared" si="152"/>
        <v>#DIV/0!</v>
      </c>
      <c r="K199" s="74" t="e">
        <f t="shared" si="153"/>
        <v>#DIV/0!</v>
      </c>
      <c r="L199" s="7">
        <f>'XFMR Data'!C94</f>
        <v>0</v>
      </c>
      <c r="M199" s="7">
        <f>'XFMR Data'!H94</f>
        <v>0</v>
      </c>
      <c r="N199" s="7">
        <f>'XFMR Data'!M94</f>
        <v>0</v>
      </c>
      <c r="O199" s="506" t="e">
        <f t="shared" si="154"/>
        <v>#DIV/0!</v>
      </c>
      <c r="P199" s="74" t="e">
        <f t="shared" si="155"/>
        <v>#DIV/0!</v>
      </c>
      <c r="Q199" s="7">
        <f>'XFMR Data'!D94</f>
        <v>0</v>
      </c>
      <c r="R199" s="7">
        <f>'XFMR Data'!I94</f>
        <v>0</v>
      </c>
      <c r="S199" s="7">
        <f>'XFMR Data'!N94</f>
        <v>0</v>
      </c>
      <c r="T199" s="506" t="e">
        <f t="shared" si="156"/>
        <v>#DIV/0!</v>
      </c>
      <c r="U199" s="74" t="e">
        <f t="shared" si="157"/>
        <v>#DIV/0!</v>
      </c>
      <c r="V199" s="7">
        <f>'XFMR Data'!E94</f>
        <v>0</v>
      </c>
      <c r="W199" s="7">
        <f>'XFMR Data'!J94</f>
        <v>0</v>
      </c>
      <c r="X199" s="7">
        <f>'XFMR Data'!O94</f>
        <v>0</v>
      </c>
      <c r="Y199" s="506" t="e">
        <f t="shared" si="158"/>
        <v>#DIV/0!</v>
      </c>
      <c r="Z199" s="74" t="e">
        <f t="shared" si="159"/>
        <v>#DIV/0!</v>
      </c>
      <c r="AA199" s="7">
        <f>'XFMR Data'!F94</f>
        <v>0</v>
      </c>
      <c r="AB199" s="40">
        <f>'XFMR Data'!K94</f>
        <v>0</v>
      </c>
      <c r="AC199" s="7">
        <f>'XFMR Data'!P94</f>
        <v>0</v>
      </c>
      <c r="AD199" s="506" t="e">
        <f t="shared" si="160"/>
        <v>#DIV/0!</v>
      </c>
      <c r="AE199" s="74" t="e">
        <f t="shared" si="161"/>
        <v>#DIV/0!</v>
      </c>
    </row>
    <row r="200" spans="1:53" hidden="1" outlineLevel="1" x14ac:dyDescent="0.25">
      <c r="B200" s="7">
        <f>'XFMR Data'!T95*('XFMR Data'!Q95/100)</f>
        <v>0</v>
      </c>
      <c r="C200" s="7">
        <f>'XFMR Data'!U95*('XFMR Data'!R95/100)</f>
        <v>0</v>
      </c>
      <c r="D200" s="7">
        <f>'XFMR Data'!V95*('XFMR Data'!S95/100)</f>
        <v>0</v>
      </c>
      <c r="E200" s="74" t="e">
        <f t="shared" si="150"/>
        <v>#DIV/0!</v>
      </c>
      <c r="F200" s="74" t="e">
        <f t="shared" si="151"/>
        <v>#DIV/0!</v>
      </c>
      <c r="G200" s="14">
        <f>'XFMR Data'!B95</f>
        <v>0</v>
      </c>
      <c r="H200" s="40">
        <f>'XFMR Data'!G95</f>
        <v>0</v>
      </c>
      <c r="I200" s="7">
        <f>'XFMR Data'!L95</f>
        <v>0</v>
      </c>
      <c r="J200" s="74" t="e">
        <f t="shared" si="152"/>
        <v>#DIV/0!</v>
      </c>
      <c r="K200" s="74" t="e">
        <f t="shared" si="153"/>
        <v>#DIV/0!</v>
      </c>
      <c r="L200" s="7">
        <f>'XFMR Data'!C95</f>
        <v>0</v>
      </c>
      <c r="M200" s="7">
        <f>'XFMR Data'!H95</f>
        <v>0</v>
      </c>
      <c r="N200" s="7">
        <f>'XFMR Data'!M95</f>
        <v>0</v>
      </c>
      <c r="O200" s="506" t="e">
        <f t="shared" si="154"/>
        <v>#DIV/0!</v>
      </c>
      <c r="P200" s="74" t="e">
        <f t="shared" si="155"/>
        <v>#DIV/0!</v>
      </c>
      <c r="Q200" s="7">
        <f>'XFMR Data'!D95</f>
        <v>0</v>
      </c>
      <c r="R200" s="7">
        <f>'XFMR Data'!I95</f>
        <v>0</v>
      </c>
      <c r="S200" s="7">
        <f>'XFMR Data'!N95</f>
        <v>0</v>
      </c>
      <c r="T200" s="506" t="e">
        <f t="shared" si="156"/>
        <v>#DIV/0!</v>
      </c>
      <c r="U200" s="74" t="e">
        <f t="shared" si="157"/>
        <v>#DIV/0!</v>
      </c>
      <c r="V200" s="7">
        <f>'XFMR Data'!E95</f>
        <v>0</v>
      </c>
      <c r="W200" s="7">
        <f>'XFMR Data'!J95</f>
        <v>0</v>
      </c>
      <c r="X200" s="7">
        <f>'XFMR Data'!O95</f>
        <v>0</v>
      </c>
      <c r="Y200" s="506" t="e">
        <f t="shared" si="158"/>
        <v>#DIV/0!</v>
      </c>
      <c r="Z200" s="74" t="e">
        <f t="shared" si="159"/>
        <v>#DIV/0!</v>
      </c>
      <c r="AA200" s="7">
        <f>'XFMR Data'!F95</f>
        <v>0</v>
      </c>
      <c r="AB200" s="40">
        <f>'XFMR Data'!K95</f>
        <v>0</v>
      </c>
      <c r="AC200" s="7">
        <f>'XFMR Data'!P95</f>
        <v>0</v>
      </c>
      <c r="AD200" s="506" t="e">
        <f t="shared" si="160"/>
        <v>#DIV/0!</v>
      </c>
      <c r="AE200" s="74" t="e">
        <f t="shared" si="161"/>
        <v>#DIV/0!</v>
      </c>
    </row>
    <row r="201" spans="1:53" hidden="1" outlineLevel="1" x14ac:dyDescent="0.25">
      <c r="B201" s="7">
        <f>'XFMR Data'!T96*('XFMR Data'!Q96/100)</f>
        <v>0</v>
      </c>
      <c r="C201" s="7">
        <f>'XFMR Data'!U96*('XFMR Data'!R96/100)</f>
        <v>0</v>
      </c>
      <c r="D201" s="7">
        <f>'XFMR Data'!V96*('XFMR Data'!S96/100)</f>
        <v>0</v>
      </c>
      <c r="E201" s="74" t="e">
        <f t="shared" si="150"/>
        <v>#DIV/0!</v>
      </c>
      <c r="F201" s="74" t="e">
        <f t="shared" si="151"/>
        <v>#DIV/0!</v>
      </c>
      <c r="G201" s="14">
        <f>'XFMR Data'!B96</f>
        <v>0</v>
      </c>
      <c r="H201" s="40">
        <f>'XFMR Data'!G96</f>
        <v>0</v>
      </c>
      <c r="I201" s="7">
        <f>'XFMR Data'!L96</f>
        <v>0</v>
      </c>
      <c r="J201" s="74" t="e">
        <f t="shared" si="152"/>
        <v>#DIV/0!</v>
      </c>
      <c r="K201" s="74" t="e">
        <f t="shared" si="153"/>
        <v>#DIV/0!</v>
      </c>
      <c r="L201" s="7">
        <f>'XFMR Data'!C96</f>
        <v>0</v>
      </c>
      <c r="M201" s="7">
        <f>'XFMR Data'!H96</f>
        <v>0</v>
      </c>
      <c r="N201" s="7">
        <f>'XFMR Data'!M96</f>
        <v>0</v>
      </c>
      <c r="O201" s="506" t="e">
        <f t="shared" si="154"/>
        <v>#DIV/0!</v>
      </c>
      <c r="P201" s="74" t="e">
        <f t="shared" si="155"/>
        <v>#DIV/0!</v>
      </c>
      <c r="Q201" s="7">
        <f>'XFMR Data'!D96</f>
        <v>0</v>
      </c>
      <c r="R201" s="7">
        <f>'XFMR Data'!I96</f>
        <v>0</v>
      </c>
      <c r="S201" s="7">
        <f>'XFMR Data'!N96</f>
        <v>0</v>
      </c>
      <c r="T201" s="506" t="e">
        <f t="shared" si="156"/>
        <v>#DIV/0!</v>
      </c>
      <c r="U201" s="74" t="e">
        <f t="shared" si="157"/>
        <v>#DIV/0!</v>
      </c>
      <c r="V201" s="7">
        <f>'XFMR Data'!E96</f>
        <v>0</v>
      </c>
      <c r="W201" s="7">
        <f>'XFMR Data'!J96</f>
        <v>0</v>
      </c>
      <c r="X201" s="7">
        <f>'XFMR Data'!O96</f>
        <v>0</v>
      </c>
      <c r="Y201" s="506" t="e">
        <f t="shared" si="158"/>
        <v>#DIV/0!</v>
      </c>
      <c r="Z201" s="74" t="e">
        <f t="shared" si="159"/>
        <v>#DIV/0!</v>
      </c>
      <c r="AA201" s="7">
        <f>'XFMR Data'!F96</f>
        <v>0</v>
      </c>
      <c r="AB201" s="40">
        <f>'XFMR Data'!K96</f>
        <v>0</v>
      </c>
      <c r="AC201" s="7">
        <f>'XFMR Data'!P96</f>
        <v>0</v>
      </c>
      <c r="AD201" s="506" t="e">
        <f t="shared" si="160"/>
        <v>#DIV/0!</v>
      </c>
      <c r="AE201" s="74" t="e">
        <f t="shared" si="161"/>
        <v>#DIV/0!</v>
      </c>
    </row>
    <row r="202" spans="1:53" hidden="1" outlineLevel="1" x14ac:dyDescent="0.25">
      <c r="B202" s="7">
        <f>'XFMR Data'!T97*('XFMR Data'!Q97/100)</f>
        <v>0</v>
      </c>
      <c r="C202" s="7">
        <f>'XFMR Data'!U97*('XFMR Data'!R97/100)</f>
        <v>0</v>
      </c>
      <c r="D202" s="7">
        <f>'XFMR Data'!V97*('XFMR Data'!S97/100)</f>
        <v>0</v>
      </c>
      <c r="E202" s="74" t="e">
        <f t="shared" si="150"/>
        <v>#DIV/0!</v>
      </c>
      <c r="F202" s="74" t="e">
        <f t="shared" si="151"/>
        <v>#DIV/0!</v>
      </c>
      <c r="G202" s="14">
        <f>'XFMR Data'!B97</f>
        <v>0</v>
      </c>
      <c r="H202" s="40">
        <f>'XFMR Data'!G97</f>
        <v>0</v>
      </c>
      <c r="I202" s="7">
        <f>'XFMR Data'!L97</f>
        <v>0</v>
      </c>
      <c r="J202" s="74" t="e">
        <f t="shared" si="152"/>
        <v>#DIV/0!</v>
      </c>
      <c r="K202" s="74" t="e">
        <f t="shared" si="153"/>
        <v>#DIV/0!</v>
      </c>
      <c r="L202" s="7">
        <f>'XFMR Data'!C97</f>
        <v>0</v>
      </c>
      <c r="M202" s="7">
        <f>'XFMR Data'!H97</f>
        <v>0</v>
      </c>
      <c r="N202" s="7">
        <f>'XFMR Data'!M97</f>
        <v>0</v>
      </c>
      <c r="O202" s="506" t="e">
        <f t="shared" si="154"/>
        <v>#DIV/0!</v>
      </c>
      <c r="P202" s="74" t="e">
        <f t="shared" si="155"/>
        <v>#DIV/0!</v>
      </c>
      <c r="Q202" s="7">
        <f>'XFMR Data'!D97</f>
        <v>0</v>
      </c>
      <c r="R202" s="7">
        <f>'XFMR Data'!I97</f>
        <v>0</v>
      </c>
      <c r="S202" s="7">
        <f>'XFMR Data'!N97</f>
        <v>0</v>
      </c>
      <c r="T202" s="506" t="e">
        <f t="shared" si="156"/>
        <v>#DIV/0!</v>
      </c>
      <c r="U202" s="74" t="e">
        <f t="shared" si="157"/>
        <v>#DIV/0!</v>
      </c>
      <c r="V202" s="7">
        <f>'XFMR Data'!E97</f>
        <v>0</v>
      </c>
      <c r="W202" s="7">
        <f>'XFMR Data'!J97</f>
        <v>0</v>
      </c>
      <c r="X202" s="7">
        <f>'XFMR Data'!O97</f>
        <v>0</v>
      </c>
      <c r="Y202" s="506" t="e">
        <f t="shared" si="158"/>
        <v>#DIV/0!</v>
      </c>
      <c r="Z202" s="74" t="e">
        <f t="shared" si="159"/>
        <v>#DIV/0!</v>
      </c>
      <c r="AA202" s="7">
        <f>'XFMR Data'!F97</f>
        <v>0</v>
      </c>
      <c r="AB202" s="40">
        <f>'XFMR Data'!K97</f>
        <v>0</v>
      </c>
      <c r="AC202" s="7">
        <f>'XFMR Data'!P97</f>
        <v>0</v>
      </c>
      <c r="AD202" s="506" t="e">
        <f t="shared" si="160"/>
        <v>#DIV/0!</v>
      </c>
      <c r="AE202" s="74" t="e">
        <f t="shared" si="161"/>
        <v>#DIV/0!</v>
      </c>
    </row>
    <row r="203" spans="1:53" hidden="1" outlineLevel="1" x14ac:dyDescent="0.25">
      <c r="B203" s="7">
        <f>'XFMR Data'!T98*('XFMR Data'!Q98/100)</f>
        <v>0</v>
      </c>
      <c r="C203" s="7">
        <f>'XFMR Data'!U98*('XFMR Data'!R98/100)</f>
        <v>0</v>
      </c>
      <c r="D203" s="7">
        <f>'XFMR Data'!V98*('XFMR Data'!S98/100)</f>
        <v>0</v>
      </c>
      <c r="E203" s="74" t="e">
        <f t="shared" si="150"/>
        <v>#DIV/0!</v>
      </c>
      <c r="F203" s="74" t="e">
        <f t="shared" si="151"/>
        <v>#DIV/0!</v>
      </c>
      <c r="G203" s="14">
        <f>'XFMR Data'!B98</f>
        <v>0</v>
      </c>
      <c r="H203" s="40">
        <f>'XFMR Data'!G98</f>
        <v>0</v>
      </c>
      <c r="I203" s="7">
        <f>'XFMR Data'!L98</f>
        <v>0</v>
      </c>
      <c r="J203" s="74" t="e">
        <f t="shared" si="152"/>
        <v>#DIV/0!</v>
      </c>
      <c r="K203" s="74" t="e">
        <f t="shared" si="153"/>
        <v>#DIV/0!</v>
      </c>
      <c r="L203" s="7">
        <f>'XFMR Data'!C98</f>
        <v>0</v>
      </c>
      <c r="M203" s="7">
        <f>'XFMR Data'!H98</f>
        <v>0</v>
      </c>
      <c r="N203" s="7">
        <f>'XFMR Data'!M98</f>
        <v>0</v>
      </c>
      <c r="O203" s="506" t="e">
        <f t="shared" si="154"/>
        <v>#DIV/0!</v>
      </c>
      <c r="P203" s="74" t="e">
        <f t="shared" si="155"/>
        <v>#DIV/0!</v>
      </c>
      <c r="Q203" s="7">
        <f>'XFMR Data'!D98</f>
        <v>0</v>
      </c>
      <c r="R203" s="7">
        <f>'XFMR Data'!I98</f>
        <v>0</v>
      </c>
      <c r="S203" s="7">
        <f>'XFMR Data'!N98</f>
        <v>0</v>
      </c>
      <c r="T203" s="506" t="e">
        <f t="shared" si="156"/>
        <v>#DIV/0!</v>
      </c>
      <c r="U203" s="74" t="e">
        <f t="shared" si="157"/>
        <v>#DIV/0!</v>
      </c>
      <c r="V203" s="7">
        <f>'XFMR Data'!E98</f>
        <v>0</v>
      </c>
      <c r="W203" s="7">
        <f>'XFMR Data'!J98</f>
        <v>0</v>
      </c>
      <c r="X203" s="7">
        <f>'XFMR Data'!O98</f>
        <v>0</v>
      </c>
      <c r="Y203" s="506" t="e">
        <f t="shared" si="158"/>
        <v>#DIV/0!</v>
      </c>
      <c r="Z203" s="74" t="e">
        <f t="shared" si="159"/>
        <v>#DIV/0!</v>
      </c>
      <c r="AA203" s="7">
        <f>'XFMR Data'!F98</f>
        <v>0</v>
      </c>
      <c r="AB203" s="40">
        <f>'XFMR Data'!K98</f>
        <v>0</v>
      </c>
      <c r="AC203" s="7">
        <f>'XFMR Data'!P98</f>
        <v>0</v>
      </c>
      <c r="AD203" s="506" t="e">
        <f t="shared" si="160"/>
        <v>#DIV/0!</v>
      </c>
      <c r="AE203" s="74" t="e">
        <f t="shared" si="161"/>
        <v>#DIV/0!</v>
      </c>
    </row>
    <row r="204" spans="1:53" ht="15.75" hidden="1" outlineLevel="1" thickBot="1" x14ac:dyDescent="0.3"/>
    <row r="205" spans="1:53" ht="15" customHeight="1" collapsed="1" x14ac:dyDescent="0.25">
      <c r="A205" s="502"/>
      <c r="B205" s="626" t="s">
        <v>13</v>
      </c>
      <c r="C205" s="626"/>
      <c r="D205" s="626"/>
      <c r="E205" s="626" t="s">
        <v>12</v>
      </c>
      <c r="F205" s="627"/>
      <c r="U205" s="632" t="s">
        <v>32</v>
      </c>
      <c r="Z205" s="629" t="s">
        <v>33</v>
      </c>
      <c r="AD205" s="64" t="s">
        <v>34</v>
      </c>
      <c r="AE205" s="69" t="s">
        <v>35</v>
      </c>
      <c r="AI205" s="628" t="s">
        <v>36</v>
      </c>
      <c r="AJ205" s="621" t="s">
        <v>37</v>
      </c>
      <c r="AN205" s="622" t="s">
        <v>38</v>
      </c>
      <c r="AO205" s="620" t="s">
        <v>39</v>
      </c>
      <c r="AS205" s="622" t="s">
        <v>40</v>
      </c>
      <c r="AT205" s="620" t="s">
        <v>41</v>
      </c>
      <c r="AX205" s="635" t="s">
        <v>42</v>
      </c>
      <c r="AY205" s="636" t="s">
        <v>43</v>
      </c>
      <c r="AZ205" s="635" t="s">
        <v>44</v>
      </c>
      <c r="BA205" s="635" t="s">
        <v>45</v>
      </c>
    </row>
    <row r="206" spans="1:53" x14ac:dyDescent="0.25">
      <c r="A206" s="71" t="s">
        <v>14</v>
      </c>
      <c r="B206" s="71"/>
      <c r="C206" s="71"/>
      <c r="D206" s="71"/>
      <c r="E206" s="624" t="s">
        <v>46</v>
      </c>
      <c r="F206" s="625"/>
      <c r="U206" s="633"/>
      <c r="Z206" s="629"/>
      <c r="AI206" s="628"/>
      <c r="AJ206" s="621"/>
      <c r="AN206" s="623"/>
      <c r="AO206" s="620"/>
      <c r="AS206" s="623"/>
      <c r="AT206" s="620"/>
      <c r="AX206" s="635"/>
      <c r="AY206" s="637"/>
      <c r="AZ206" s="635"/>
      <c r="BA206" s="635"/>
    </row>
    <row r="207" spans="1:53" x14ac:dyDescent="0.25">
      <c r="A207" s="71" t="s">
        <v>16</v>
      </c>
      <c r="B207" s="500" t="s">
        <v>17</v>
      </c>
      <c r="C207" s="71" t="s">
        <v>18</v>
      </c>
      <c r="D207" s="71" t="s">
        <v>19</v>
      </c>
      <c r="E207" s="71" t="s">
        <v>20</v>
      </c>
      <c r="F207" s="501" t="s">
        <v>21</v>
      </c>
      <c r="J207" s="63" t="s">
        <v>47</v>
      </c>
      <c r="K207" s="69" t="s">
        <v>48</v>
      </c>
      <c r="O207" s="630" t="s">
        <v>49</v>
      </c>
      <c r="P207" s="631"/>
      <c r="Q207" s="631"/>
      <c r="R207" s="631"/>
      <c r="S207" s="631"/>
      <c r="T207" s="631"/>
      <c r="U207" s="633"/>
      <c r="Y207" s="523" t="s">
        <v>50</v>
      </c>
      <c r="Z207" s="629"/>
      <c r="AI207" s="628"/>
      <c r="AJ207" s="621"/>
      <c r="AN207" s="623"/>
      <c r="AO207" s="620"/>
      <c r="AS207" s="623"/>
      <c r="AT207" s="620"/>
      <c r="AX207" s="635"/>
      <c r="AY207" s="637"/>
      <c r="AZ207" s="635"/>
      <c r="BA207" s="635"/>
    </row>
    <row r="208" spans="1:53" ht="15.75" thickBot="1" x14ac:dyDescent="0.3">
      <c r="A208" s="71" t="s">
        <v>22</v>
      </c>
      <c r="B208" s="500" t="s">
        <v>23</v>
      </c>
      <c r="C208" s="71" t="s">
        <v>24</v>
      </c>
      <c r="D208" s="71" t="s">
        <v>25</v>
      </c>
      <c r="E208" s="71" t="s">
        <v>26</v>
      </c>
      <c r="F208" s="501" t="s">
        <v>27</v>
      </c>
      <c r="O208" s="500" t="s">
        <v>23</v>
      </c>
      <c r="P208" s="71" t="s">
        <v>24</v>
      </c>
      <c r="T208" s="71" t="s">
        <v>25</v>
      </c>
      <c r="U208" s="634"/>
      <c r="AI208" s="628"/>
      <c r="AJ208" s="621"/>
      <c r="AN208" s="623"/>
      <c r="AO208" s="620"/>
      <c r="AS208" s="623"/>
      <c r="AT208" s="620"/>
      <c r="AX208" s="635" t="s">
        <v>42</v>
      </c>
      <c r="AY208" s="638"/>
      <c r="AZ208" s="635"/>
      <c r="BA208" s="635"/>
    </row>
    <row r="209" spans="1:53" x14ac:dyDescent="0.25">
      <c r="A209" s="498">
        <f>A8</f>
        <v>44593</v>
      </c>
      <c r="B209" s="30">
        <f>SUM(B157,B107,B57,B8)</f>
        <v>3500.78</v>
      </c>
      <c r="C209" s="30">
        <f t="shared" ref="C209:D209" si="162">SUM(C157,C107,C57,C8)</f>
        <v>1947.5800000000004</v>
      </c>
      <c r="D209" s="30">
        <f t="shared" si="162"/>
        <v>2726.73</v>
      </c>
      <c r="E209" s="88" t="s">
        <v>28</v>
      </c>
      <c r="F209" s="89" t="s">
        <v>28</v>
      </c>
      <c r="J209" s="512">
        <v>62687774</v>
      </c>
      <c r="U209" s="514">
        <f>J209/B209</f>
        <v>17906.801912716594</v>
      </c>
      <c r="Y209" s="517">
        <v>29760000</v>
      </c>
      <c r="Z209" s="513">
        <f>J209/Y209</f>
        <v>2.1064440188172044</v>
      </c>
      <c r="AD209" s="515">
        <f>J209-Y209</f>
        <v>32927774</v>
      </c>
      <c r="AE209" s="115">
        <f>Y209/J209</f>
        <v>0.47473371761453836</v>
      </c>
      <c r="AI209" s="121"/>
      <c r="AN209" s="526">
        <f>Y209/B209</f>
        <v>8500.9626426110754</v>
      </c>
      <c r="AO209" s="129">
        <v>9733117</v>
      </c>
      <c r="AS209" s="116">
        <f>AO209/Y209</f>
        <v>0.3270536626344086</v>
      </c>
      <c r="AT209" s="524">
        <v>93500000</v>
      </c>
      <c r="AY209" s="528">
        <f>AT209/B209</f>
        <v>26708.333571375522</v>
      </c>
      <c r="AZ209" s="525">
        <f>Y209/AT209</f>
        <v>0.31828877005347594</v>
      </c>
      <c r="BA209" s="35">
        <f>Y209/AT209</f>
        <v>0.31828877005347594</v>
      </c>
    </row>
    <row r="210" spans="1:53" x14ac:dyDescent="0.25">
      <c r="A210" s="497">
        <f t="shared" ref="A210:A217" si="163">A9</f>
        <v>44617</v>
      </c>
      <c r="B210" s="7">
        <f t="shared" ref="B210:D210" si="164">SUM(B158,B108,B58,B9)</f>
        <v>3375.8</v>
      </c>
      <c r="C210" s="7">
        <f t="shared" si="164"/>
        <v>2104.2799999999997</v>
      </c>
      <c r="D210" s="7">
        <f t="shared" si="164"/>
        <v>2450.4899999999998</v>
      </c>
      <c r="E210" s="40" t="s">
        <v>28</v>
      </c>
      <c r="F210" s="69" t="s">
        <v>28</v>
      </c>
      <c r="J210" s="516">
        <v>63091644</v>
      </c>
      <c r="K210" s="514">
        <f>J210-J209</f>
        <v>403870</v>
      </c>
      <c r="O210" s="14">
        <f>B210-B209</f>
        <v>-124.98000000000002</v>
      </c>
      <c r="P210" s="14">
        <f>C210-C209</f>
        <v>156.69999999999936</v>
      </c>
      <c r="T210" s="14">
        <f>D210-D209</f>
        <v>-276.24000000000024</v>
      </c>
      <c r="U210" s="514">
        <f t="shared" ref="U210:U218" si="165">J210/B210</f>
        <v>18689.390366727886</v>
      </c>
      <c r="Y210" s="517">
        <v>29760000</v>
      </c>
      <c r="Z210" s="513">
        <f t="shared" ref="Z210:Z221" si="166">J210/Y210</f>
        <v>2.1200149193548388</v>
      </c>
      <c r="AD210" s="515">
        <f t="shared" ref="AD210:AD221" si="167">J210-Y210</f>
        <v>33331644</v>
      </c>
      <c r="AE210" s="115">
        <f t="shared" ref="AE210:AE221" si="168">Y210/J210</f>
        <v>0.47169479368773465</v>
      </c>
      <c r="AI210" s="117"/>
      <c r="AN210" s="526">
        <f>Y210/B210</f>
        <v>8815.6881331832446</v>
      </c>
      <c r="AO210" s="76">
        <v>10406780</v>
      </c>
      <c r="AS210" s="116">
        <f>AO210/Y210</f>
        <v>0.349690188172043</v>
      </c>
      <c r="AT210" s="524">
        <v>93700000</v>
      </c>
      <c r="AX210" s="527">
        <f>AT210-AT209</f>
        <v>200000</v>
      </c>
      <c r="AY210" s="528">
        <f>AT210/B210</f>
        <v>27756.383672018485</v>
      </c>
      <c r="AZ210" s="525">
        <f>Y210/AT210</f>
        <v>0.31760939167556029</v>
      </c>
      <c r="BA210" s="35">
        <f>Y210/AT210</f>
        <v>0.31760939167556029</v>
      </c>
    </row>
    <row r="211" spans="1:53" x14ac:dyDescent="0.25">
      <c r="A211" s="497">
        <f t="shared" si="163"/>
        <v>44655</v>
      </c>
      <c r="B211" s="7">
        <f t="shared" ref="B211:D211" si="169">SUM(B159,B109,B59,B10)</f>
        <v>3081.95</v>
      </c>
      <c r="C211" s="7">
        <f t="shared" si="169"/>
        <v>2239.2799999999997</v>
      </c>
      <c r="D211" s="7">
        <f t="shared" si="169"/>
        <v>2496.69</v>
      </c>
      <c r="E211" s="74" t="s">
        <v>28</v>
      </c>
      <c r="F211" s="69" t="s">
        <v>28</v>
      </c>
      <c r="J211" s="516">
        <v>63756398</v>
      </c>
      <c r="K211" s="514">
        <f t="shared" ref="K211:K216" si="170">J211-J210</f>
        <v>664754</v>
      </c>
      <c r="O211" s="14">
        <f t="shared" ref="O211:P217" si="171">B211-B210</f>
        <v>-293.85000000000036</v>
      </c>
      <c r="P211" s="14">
        <f t="shared" si="171"/>
        <v>135</v>
      </c>
      <c r="T211" s="14">
        <f t="shared" ref="T211:T217" si="172">D211-D210</f>
        <v>46.200000000000273</v>
      </c>
      <c r="U211" s="514">
        <f t="shared" si="165"/>
        <v>20687.031911614402</v>
      </c>
      <c r="Y211" s="517">
        <v>36730000</v>
      </c>
      <c r="Z211" s="513">
        <f t="shared" si="166"/>
        <v>1.7358126327252927</v>
      </c>
      <c r="AD211" s="515">
        <f t="shared" si="167"/>
        <v>27026398</v>
      </c>
      <c r="AE211" s="115">
        <f t="shared" si="168"/>
        <v>0.57609904499310016</v>
      </c>
      <c r="AI211" s="526">
        <f>SUM(Y209:Y211)/B211</f>
        <v>31230.227615632961</v>
      </c>
      <c r="AJ211" s="518">
        <f>AVERAGE(Y209:Y211)</f>
        <v>32083333.333333332</v>
      </c>
      <c r="AN211" s="526">
        <f t="shared" ref="AN211:AN221" si="173">Y211/B211</f>
        <v>11917.779328022843</v>
      </c>
      <c r="AO211" s="76">
        <v>10658832</v>
      </c>
      <c r="AS211" s="116">
        <f t="shared" ref="AS211:AS221" si="174">AO211/Y211</f>
        <v>0.2901941736999728</v>
      </c>
      <c r="AT211" s="524">
        <v>96300000</v>
      </c>
      <c r="AX211" s="527">
        <f t="shared" ref="AX211:AX220" si="175">AT211-AT210</f>
        <v>2600000</v>
      </c>
      <c r="AY211" s="528">
        <f t="shared" ref="AY211:AY221" si="176">AT211/B211</f>
        <v>31246.451110498227</v>
      </c>
      <c r="AZ211" s="525">
        <f t="shared" ref="AZ211:AZ221" si="177">Y211/AT211</f>
        <v>0.38141225337487022</v>
      </c>
      <c r="BA211" s="35">
        <f t="shared" ref="BA211:BA221" si="178">Y211/AT211</f>
        <v>0.38141225337487022</v>
      </c>
    </row>
    <row r="212" spans="1:53" x14ac:dyDescent="0.25">
      <c r="A212" s="497">
        <f t="shared" si="163"/>
        <v>44691</v>
      </c>
      <c r="B212" s="7">
        <f t="shared" ref="B212:D212" si="179">SUM(B160,B110,B60,B11)</f>
        <v>2889.45</v>
      </c>
      <c r="C212" s="7">
        <f t="shared" si="179"/>
        <v>2471.5700000000002</v>
      </c>
      <c r="D212" s="7">
        <f t="shared" si="179"/>
        <v>2078.5</v>
      </c>
      <c r="E212" s="74">
        <f t="shared" ref="E212:E216" si="180">B212/C209</f>
        <v>1.483610429353351</v>
      </c>
      <c r="F212" s="69" t="s">
        <v>28</v>
      </c>
      <c r="J212" s="516">
        <v>64441926</v>
      </c>
      <c r="K212" s="514">
        <f t="shared" si="170"/>
        <v>685528</v>
      </c>
      <c r="O212" s="14">
        <f t="shared" si="171"/>
        <v>-192.5</v>
      </c>
      <c r="P212" s="14">
        <f t="shared" si="171"/>
        <v>232.29000000000042</v>
      </c>
      <c r="T212" s="14">
        <f t="shared" si="172"/>
        <v>-418.19000000000005</v>
      </c>
      <c r="U212" s="514">
        <f t="shared" si="165"/>
        <v>22302.488708923844</v>
      </c>
      <c r="Y212" s="517">
        <v>28110000</v>
      </c>
      <c r="Z212" s="513">
        <f t="shared" si="166"/>
        <v>2.2924911419423695</v>
      </c>
      <c r="AD212" s="515">
        <f t="shared" si="167"/>
        <v>36331926</v>
      </c>
      <c r="AE212" s="115">
        <f t="shared" si="168"/>
        <v>0.43620670182948906</v>
      </c>
      <c r="AI212" s="526">
        <f t="shared" ref="AI212:AI220" si="181">SUM(Y210:Y212)/B212</f>
        <v>32739.794770631092</v>
      </c>
      <c r="AJ212" s="518">
        <f t="shared" ref="AJ212:AJ221" si="182">AVERAGE(Y210:Y212)</f>
        <v>31533333.333333332</v>
      </c>
      <c r="AN212" s="526">
        <f t="shared" si="173"/>
        <v>9728.4950423090904</v>
      </c>
      <c r="AO212" s="76">
        <v>8970290</v>
      </c>
      <c r="AS212" s="116">
        <f t="shared" si="174"/>
        <v>0.31911383849163999</v>
      </c>
      <c r="AT212" s="524">
        <v>98400000</v>
      </c>
      <c r="AX212" s="527">
        <f t="shared" si="175"/>
        <v>2100000</v>
      </c>
      <c r="AY212" s="528">
        <f t="shared" si="176"/>
        <v>34054.923947464049</v>
      </c>
      <c r="AZ212" s="525">
        <f t="shared" si="177"/>
        <v>0.28567073170731705</v>
      </c>
      <c r="BA212" s="35">
        <f t="shared" si="178"/>
        <v>0.28567073170731705</v>
      </c>
    </row>
    <row r="213" spans="1:53" x14ac:dyDescent="0.25">
      <c r="A213" s="497">
        <f t="shared" si="163"/>
        <v>44714</v>
      </c>
      <c r="B213" s="7">
        <f t="shared" ref="B213:D213" si="183">SUM(B161,B111,B61,B12)</f>
        <v>2798.8799999999997</v>
      </c>
      <c r="C213" s="7">
        <f t="shared" si="183"/>
        <v>2412.21</v>
      </c>
      <c r="D213" s="7">
        <f t="shared" si="183"/>
        <v>1967.06</v>
      </c>
      <c r="E213" s="74">
        <f t="shared" si="180"/>
        <v>1.3300891516338129</v>
      </c>
      <c r="F213" s="69" t="s">
        <v>28</v>
      </c>
      <c r="J213" s="516">
        <v>64253060</v>
      </c>
      <c r="K213" s="514">
        <f t="shared" si="170"/>
        <v>-188866</v>
      </c>
      <c r="O213" s="14">
        <f t="shared" si="171"/>
        <v>-90.570000000000164</v>
      </c>
      <c r="P213" s="14">
        <f t="shared" si="171"/>
        <v>-59.360000000000127</v>
      </c>
      <c r="T213" s="14">
        <f t="shared" si="172"/>
        <v>-111.44000000000005</v>
      </c>
      <c r="U213" s="514">
        <f t="shared" si="165"/>
        <v>22956.704110215516</v>
      </c>
      <c r="Y213" s="517">
        <v>37110000</v>
      </c>
      <c r="Z213" s="513">
        <f t="shared" si="166"/>
        <v>1.73142171921315</v>
      </c>
      <c r="AD213" s="515">
        <f t="shared" si="167"/>
        <v>27143060</v>
      </c>
      <c r="AE213" s="115">
        <f t="shared" si="168"/>
        <v>0.57756004149841267</v>
      </c>
      <c r="AI213" s="526">
        <f t="shared" si="181"/>
        <v>36425.284399474083</v>
      </c>
      <c r="AJ213" s="518">
        <f t="shared" si="182"/>
        <v>33983333.333333336</v>
      </c>
      <c r="AN213" s="526">
        <f t="shared" si="173"/>
        <v>13258.874978562855</v>
      </c>
      <c r="AO213" s="76">
        <v>9434352</v>
      </c>
      <c r="AS213" s="116">
        <f t="shared" si="174"/>
        <v>0.25422667744543248</v>
      </c>
      <c r="AT213" s="524">
        <v>99300000</v>
      </c>
      <c r="AX213" s="527">
        <f t="shared" si="175"/>
        <v>900000</v>
      </c>
      <c r="AY213" s="528">
        <f t="shared" si="176"/>
        <v>35478.477105127771</v>
      </c>
      <c r="AZ213" s="525">
        <f t="shared" si="177"/>
        <v>0.37371601208459215</v>
      </c>
      <c r="BA213" s="35">
        <f t="shared" si="178"/>
        <v>0.37371601208459215</v>
      </c>
    </row>
    <row r="214" spans="1:53" x14ac:dyDescent="0.25">
      <c r="A214" s="497">
        <f t="shared" si="163"/>
        <v>44753</v>
      </c>
      <c r="B214" s="7">
        <f t="shared" ref="B214:D214" si="184">SUM(B162,B112,B62,B13)</f>
        <v>2887.1</v>
      </c>
      <c r="C214" s="7">
        <f t="shared" si="184"/>
        <v>2138.9499999999998</v>
      </c>
      <c r="D214" s="7">
        <f t="shared" si="184"/>
        <v>2082.1999999999998</v>
      </c>
      <c r="E214" s="74">
        <f t="shared" si="180"/>
        <v>1.2892983458968956</v>
      </c>
      <c r="F214" s="69" t="s">
        <v>28</v>
      </c>
      <c r="J214" s="516">
        <v>65647792</v>
      </c>
      <c r="K214" s="514">
        <f t="shared" si="170"/>
        <v>1394732</v>
      </c>
      <c r="O214" s="14">
        <f t="shared" si="171"/>
        <v>88.220000000000255</v>
      </c>
      <c r="P214" s="14">
        <f t="shared" si="171"/>
        <v>-273.26000000000022</v>
      </c>
      <c r="T214" s="14">
        <f t="shared" si="172"/>
        <v>115.13999999999987</v>
      </c>
      <c r="U214" s="514">
        <f t="shared" si="165"/>
        <v>22738.315957188875</v>
      </c>
      <c r="Y214" s="517">
        <v>44750000</v>
      </c>
      <c r="Z214" s="513">
        <f t="shared" si="166"/>
        <v>1.4669897653631285</v>
      </c>
      <c r="AD214" s="515">
        <f t="shared" si="167"/>
        <v>20897792</v>
      </c>
      <c r="AE214" s="115">
        <f t="shared" si="168"/>
        <v>0.68166801405902577</v>
      </c>
      <c r="AI214" s="526">
        <f t="shared" si="181"/>
        <v>38090.125038966435</v>
      </c>
      <c r="AJ214" s="518">
        <f t="shared" si="182"/>
        <v>36656666.666666664</v>
      </c>
      <c r="AN214" s="526">
        <f t="shared" si="173"/>
        <v>15499.982681583597</v>
      </c>
      <c r="AO214" s="76">
        <v>9335502</v>
      </c>
      <c r="AS214" s="116">
        <f t="shared" si="174"/>
        <v>0.20861456983240223</v>
      </c>
      <c r="AT214" s="524">
        <v>99000000</v>
      </c>
      <c r="AX214" s="527">
        <f t="shared" si="175"/>
        <v>-300000</v>
      </c>
      <c r="AY214" s="528">
        <f t="shared" si="176"/>
        <v>34290.464479927956</v>
      </c>
      <c r="AZ214" s="525">
        <f t="shared" si="177"/>
        <v>0.45202020202020204</v>
      </c>
      <c r="BA214" s="35">
        <f t="shared" si="178"/>
        <v>0.45202020202020204</v>
      </c>
    </row>
    <row r="215" spans="1:53" x14ac:dyDescent="0.25">
      <c r="A215" s="497">
        <f t="shared" si="163"/>
        <v>44774</v>
      </c>
      <c r="B215" s="7">
        <f t="shared" ref="B215:D215" si="185">SUM(B163,B113,B63,B14)</f>
        <v>2695.13</v>
      </c>
      <c r="C215" s="7">
        <f t="shared" si="185"/>
        <v>2173.38</v>
      </c>
      <c r="D215" s="7">
        <f t="shared" si="185"/>
        <v>2088.66</v>
      </c>
      <c r="E215" s="74">
        <f t="shared" si="180"/>
        <v>1.0904526272773984</v>
      </c>
      <c r="F215" s="74">
        <f t="shared" ref="F215:F221" si="186">B215/D209</f>
        <v>0.98841102712773177</v>
      </c>
      <c r="J215" s="516">
        <v>67394077</v>
      </c>
      <c r="K215" s="514">
        <f t="shared" si="170"/>
        <v>1746285</v>
      </c>
      <c r="O215" s="14">
        <f t="shared" si="171"/>
        <v>-191.9699999999998</v>
      </c>
      <c r="P215" s="14">
        <f t="shared" si="171"/>
        <v>34.430000000000291</v>
      </c>
      <c r="T215" s="14">
        <f t="shared" si="172"/>
        <v>6.4600000000000364</v>
      </c>
      <c r="U215" s="514">
        <f t="shared" si="165"/>
        <v>25005.872444000845</v>
      </c>
      <c r="Y215" s="517">
        <v>32480000</v>
      </c>
      <c r="Z215" s="513">
        <f t="shared" si="166"/>
        <v>2.0749407943349754</v>
      </c>
      <c r="AD215" s="515">
        <f t="shared" si="167"/>
        <v>34914077</v>
      </c>
      <c r="AE215" s="115">
        <f t="shared" si="168"/>
        <v>0.4819414620071138</v>
      </c>
      <c r="AI215" s="526">
        <f t="shared" si="181"/>
        <v>42424.669681981941</v>
      </c>
      <c r="AJ215" s="518">
        <f t="shared" si="182"/>
        <v>38113333.333333336</v>
      </c>
      <c r="AN215" s="526">
        <f t="shared" si="173"/>
        <v>12051.366724425166</v>
      </c>
      <c r="AO215" s="76">
        <v>8608730</v>
      </c>
      <c r="AS215" s="116">
        <f t="shared" si="174"/>
        <v>0.26504710591133007</v>
      </c>
      <c r="AT215" s="524">
        <v>105200000</v>
      </c>
      <c r="AX215" s="527">
        <f t="shared" si="175"/>
        <v>6200000</v>
      </c>
      <c r="AY215" s="528">
        <f t="shared" si="176"/>
        <v>39033.367592657865</v>
      </c>
      <c r="AZ215" s="525">
        <f t="shared" si="177"/>
        <v>0.30874524714828899</v>
      </c>
      <c r="BA215" s="35">
        <f t="shared" si="178"/>
        <v>0.30874524714828899</v>
      </c>
    </row>
    <row r="216" spans="1:53" x14ac:dyDescent="0.25">
      <c r="A216" s="497">
        <f t="shared" si="163"/>
        <v>44805</v>
      </c>
      <c r="B216" s="7">
        <f t="shared" ref="B216:D216" si="187">SUM(B164,B114,B64,B15)</f>
        <v>2708.62</v>
      </c>
      <c r="C216" s="7">
        <f t="shared" si="187"/>
        <v>2035.92</v>
      </c>
      <c r="D216" s="7">
        <f t="shared" si="187"/>
        <v>2181.8500000000004</v>
      </c>
      <c r="E216" s="74">
        <f t="shared" si="180"/>
        <v>1.122879019654176</v>
      </c>
      <c r="F216" s="74">
        <f t="shared" si="186"/>
        <v>1.1053381160502593</v>
      </c>
      <c r="J216" s="516">
        <v>71057493</v>
      </c>
      <c r="K216" s="514">
        <f t="shared" si="170"/>
        <v>3663416</v>
      </c>
      <c r="O216" s="14">
        <f t="shared" si="171"/>
        <v>13.489999999999782</v>
      </c>
      <c r="P216" s="14">
        <f t="shared" si="171"/>
        <v>-137.46000000000004</v>
      </c>
      <c r="T216" s="14">
        <f t="shared" si="172"/>
        <v>93.190000000000509</v>
      </c>
      <c r="U216" s="514">
        <f t="shared" si="165"/>
        <v>26233.836049353547</v>
      </c>
      <c r="Y216" s="517">
        <v>33150000</v>
      </c>
      <c r="Z216" s="513">
        <f t="shared" si="166"/>
        <v>2.1435141176470589</v>
      </c>
      <c r="AD216" s="515">
        <f t="shared" si="167"/>
        <v>37907493</v>
      </c>
      <c r="AE216" s="115">
        <f t="shared" si="168"/>
        <v>0.46652363600837987</v>
      </c>
      <c r="AI216" s="526">
        <f t="shared" si="181"/>
        <v>40751.378930968538</v>
      </c>
      <c r="AJ216" s="518">
        <f t="shared" si="182"/>
        <v>36793333.333333336</v>
      </c>
      <c r="AN216" s="526">
        <f t="shared" si="173"/>
        <v>12238.704580192129</v>
      </c>
      <c r="AO216" s="76">
        <v>10343667</v>
      </c>
      <c r="AS216" s="116">
        <f t="shared" si="174"/>
        <v>0.31202615384615384</v>
      </c>
      <c r="AT216" s="524">
        <v>112000000</v>
      </c>
      <c r="AX216" s="527">
        <f t="shared" si="175"/>
        <v>6800000</v>
      </c>
      <c r="AY216" s="528">
        <f t="shared" si="176"/>
        <v>41349.469471539014</v>
      </c>
      <c r="AZ216" s="525">
        <f t="shared" si="177"/>
        <v>0.29598214285714286</v>
      </c>
      <c r="BA216" s="35">
        <f t="shared" si="178"/>
        <v>0.29598214285714286</v>
      </c>
    </row>
    <row r="217" spans="1:53" x14ac:dyDescent="0.25">
      <c r="A217" s="497">
        <f t="shared" si="163"/>
        <v>44838</v>
      </c>
      <c r="B217" s="7">
        <f t="shared" ref="B217:D222" si="188">SUM(B165,B115,B65,B16)</f>
        <v>2390.42</v>
      </c>
      <c r="C217" s="7">
        <f t="shared" si="188"/>
        <v>2295.0199999999995</v>
      </c>
      <c r="D217" s="7">
        <f t="shared" si="188"/>
        <v>2148.0499999999997</v>
      </c>
      <c r="E217" s="74">
        <f t="shared" ref="E217:E222" si="189">B217/C214</f>
        <v>1.1175670305523739</v>
      </c>
      <c r="F217" s="74">
        <f t="shared" si="186"/>
        <v>0.95743564479370691</v>
      </c>
      <c r="J217" s="516">
        <v>75153811</v>
      </c>
      <c r="K217" s="514">
        <f>J217-J216</f>
        <v>4096318</v>
      </c>
      <c r="O217" s="14">
        <f t="shared" si="171"/>
        <v>-318.19999999999982</v>
      </c>
      <c r="P217" s="14">
        <f t="shared" si="171"/>
        <v>259.09999999999945</v>
      </c>
      <c r="T217" s="14">
        <f t="shared" si="172"/>
        <v>-33.800000000000637</v>
      </c>
      <c r="U217" s="514">
        <f t="shared" si="165"/>
        <v>31439.58425715983</v>
      </c>
      <c r="Y217" s="517">
        <v>27890000</v>
      </c>
      <c r="Z217" s="513">
        <f t="shared" si="166"/>
        <v>2.6946508067407673</v>
      </c>
      <c r="AD217" s="515">
        <f t="shared" si="167"/>
        <v>47263811</v>
      </c>
      <c r="AE217" s="115">
        <f t="shared" si="168"/>
        <v>0.37110559835748053</v>
      </c>
      <c r="AI217" s="526">
        <f t="shared" si="181"/>
        <v>39122.831970950712</v>
      </c>
      <c r="AJ217" s="518">
        <f t="shared" si="182"/>
        <v>31173333.333333332</v>
      </c>
      <c r="AN217" s="526">
        <f t="shared" si="173"/>
        <v>11667.405727863723</v>
      </c>
      <c r="AO217" s="76">
        <v>10066416</v>
      </c>
      <c r="AS217" s="116">
        <f t="shared" si="174"/>
        <v>0.36093280745787021</v>
      </c>
      <c r="AT217" s="524">
        <v>118600000</v>
      </c>
      <c r="AX217" s="527">
        <f t="shared" si="175"/>
        <v>6600000</v>
      </c>
      <c r="AY217" s="528">
        <f t="shared" si="176"/>
        <v>49614.712058968718</v>
      </c>
      <c r="AZ217" s="525">
        <f t="shared" si="177"/>
        <v>0.2351602023608769</v>
      </c>
      <c r="BA217" s="35">
        <f t="shared" si="178"/>
        <v>0.2351602023608769</v>
      </c>
    </row>
    <row r="218" spans="1:53" ht="15.75" thickBot="1" x14ac:dyDescent="0.3">
      <c r="A218" s="497">
        <v>44868</v>
      </c>
      <c r="B218" s="7">
        <f t="shared" si="188"/>
        <v>1912.66</v>
      </c>
      <c r="C218" s="7">
        <f t="shared" si="188"/>
        <v>1722.5300000000002</v>
      </c>
      <c r="D218" s="7">
        <f t="shared" si="188"/>
        <v>1861.88</v>
      </c>
      <c r="E218" s="74">
        <f t="shared" si="189"/>
        <v>0.88003938565736317</v>
      </c>
      <c r="F218" s="74">
        <f t="shared" si="186"/>
        <v>0.92021169112340639</v>
      </c>
      <c r="J218" s="516">
        <v>82000000</v>
      </c>
      <c r="K218" s="514">
        <f>J218-J217</f>
        <v>6846189</v>
      </c>
      <c r="O218" s="14">
        <f t="shared" ref="O218" si="190">B218-B217</f>
        <v>-477.76</v>
      </c>
      <c r="P218" s="14">
        <f t="shared" ref="P218" si="191">C218-C217</f>
        <v>-572.48999999999933</v>
      </c>
      <c r="T218" s="14">
        <f t="shared" ref="T218" si="192">D218-D217</f>
        <v>-286.16999999999962</v>
      </c>
      <c r="U218" s="514">
        <f t="shared" si="165"/>
        <v>42872.230297073183</v>
      </c>
      <c r="Y218" s="517">
        <v>29181000</v>
      </c>
      <c r="Z218" s="513">
        <f t="shared" si="166"/>
        <v>2.8100476337342792</v>
      </c>
      <c r="AD218" s="515">
        <f t="shared" si="167"/>
        <v>52819000</v>
      </c>
      <c r="AE218" s="115">
        <f t="shared" si="168"/>
        <v>0.35586585365853657</v>
      </c>
      <c r="AI218" s="526">
        <f t="shared" si="181"/>
        <v>47170.432800393166</v>
      </c>
      <c r="AJ218" s="518">
        <f t="shared" si="182"/>
        <v>30073666.666666668</v>
      </c>
      <c r="AN218" s="526">
        <f t="shared" si="173"/>
        <v>15256.762832913324</v>
      </c>
      <c r="AO218" s="76">
        <v>9729746</v>
      </c>
      <c r="AS218" s="116">
        <f>AO218/Y218</f>
        <v>0.33342743566018984</v>
      </c>
      <c r="AT218" s="524">
        <v>131900000</v>
      </c>
      <c r="AX218" s="527">
        <f t="shared" si="175"/>
        <v>13300000</v>
      </c>
      <c r="AY218" s="529">
        <f t="shared" si="176"/>
        <v>68961.550929072604</v>
      </c>
      <c r="AZ218" s="525">
        <f t="shared" si="177"/>
        <v>0.2212357846853677</v>
      </c>
      <c r="BA218" s="35">
        <f t="shared" si="178"/>
        <v>0.2212357846853677</v>
      </c>
    </row>
    <row r="219" spans="1:53" ht="15.75" thickBot="1" x14ac:dyDescent="0.3">
      <c r="A219" s="497">
        <v>44908</v>
      </c>
      <c r="B219" s="7">
        <f t="shared" si="188"/>
        <v>1475.02</v>
      </c>
      <c r="C219" s="7">
        <f t="shared" si="188"/>
        <v>1265.55</v>
      </c>
      <c r="D219" s="7">
        <f t="shared" si="188"/>
        <v>1686.58</v>
      </c>
      <c r="E219" s="74">
        <f t="shared" si="189"/>
        <v>0.72449801563912131</v>
      </c>
      <c r="F219" s="74">
        <f t="shared" si="186"/>
        <v>0.74986019745203503</v>
      </c>
      <c r="J219" s="516">
        <v>92700000</v>
      </c>
      <c r="K219" s="514">
        <f>J219-J218</f>
        <v>10700000</v>
      </c>
      <c r="O219" s="14">
        <f t="shared" ref="O219:O221" si="193">B219-B218</f>
        <v>-437.6400000000001</v>
      </c>
      <c r="P219" s="14">
        <f t="shared" ref="P219:P221" si="194">C219-C218</f>
        <v>-456.98000000000025</v>
      </c>
      <c r="T219" s="14">
        <f t="shared" ref="T219:T221" si="195">D219-D218</f>
        <v>-175.30000000000018</v>
      </c>
      <c r="U219" s="514">
        <f>J219/B219</f>
        <v>62846.605469756345</v>
      </c>
      <c r="Y219" s="517">
        <v>27006000</v>
      </c>
      <c r="Z219" s="513">
        <f t="shared" si="166"/>
        <v>3.4325705398800266</v>
      </c>
      <c r="AD219" s="515">
        <f t="shared" si="167"/>
        <v>65694000</v>
      </c>
      <c r="AE219" s="115">
        <f t="shared" si="168"/>
        <v>0.29132686084142395</v>
      </c>
      <c r="AI219" s="526">
        <f t="shared" si="181"/>
        <v>57000.583042941791</v>
      </c>
      <c r="AJ219" s="518">
        <f t="shared" si="182"/>
        <v>28025666.666666668</v>
      </c>
      <c r="AN219" s="526">
        <f t="shared" si="173"/>
        <v>18308.90428604358</v>
      </c>
      <c r="AO219" s="75">
        <v>7428029</v>
      </c>
      <c r="AS219" s="116">
        <f t="shared" si="174"/>
        <v>0.27505106272680147</v>
      </c>
      <c r="AT219" s="524">
        <v>140100000</v>
      </c>
      <c r="AX219" s="527">
        <f t="shared" si="175"/>
        <v>8200000</v>
      </c>
      <c r="AY219" s="529">
        <f t="shared" si="176"/>
        <v>94981.762959146319</v>
      </c>
      <c r="AZ219" s="525">
        <f t="shared" si="177"/>
        <v>0.19276231263383298</v>
      </c>
      <c r="BA219" s="35">
        <f t="shared" si="178"/>
        <v>0.19276231263383298</v>
      </c>
    </row>
    <row r="220" spans="1:53" ht="15.75" thickBot="1" x14ac:dyDescent="0.3">
      <c r="A220" s="497">
        <v>44965</v>
      </c>
      <c r="B220" s="7">
        <f t="shared" si="188"/>
        <v>1329.3899999999999</v>
      </c>
      <c r="C220" s="7">
        <f t="shared" si="188"/>
        <v>1252.83</v>
      </c>
      <c r="D220" s="7">
        <f t="shared" si="188"/>
        <v>2120.3199999999997</v>
      </c>
      <c r="E220" s="74">
        <f t="shared" si="189"/>
        <v>0.5792498540317732</v>
      </c>
      <c r="F220" s="74">
        <f t="shared" si="186"/>
        <v>0.63845451925847663</v>
      </c>
      <c r="J220" s="516">
        <v>93800000</v>
      </c>
      <c r="K220" s="514">
        <f>J220-J219</f>
        <v>1100000</v>
      </c>
      <c r="O220" s="14">
        <f t="shared" si="193"/>
        <v>-145.63000000000011</v>
      </c>
      <c r="P220" s="14">
        <f t="shared" si="194"/>
        <v>-12.720000000000027</v>
      </c>
      <c r="T220" s="14">
        <f t="shared" si="195"/>
        <v>433.73999999999978</v>
      </c>
      <c r="U220" s="514">
        <f>J220/B220</f>
        <v>70558.677288079503</v>
      </c>
      <c r="Y220" s="517">
        <v>21339000</v>
      </c>
      <c r="Z220" s="513">
        <f t="shared" si="166"/>
        <v>4.3957073902244712</v>
      </c>
      <c r="AD220" s="515">
        <f t="shared" si="167"/>
        <v>72461000</v>
      </c>
      <c r="AE220" s="115">
        <f t="shared" si="168"/>
        <v>0.22749466950959488</v>
      </c>
      <c r="AI220" s="526">
        <f t="shared" si="181"/>
        <v>58316.97244600908</v>
      </c>
      <c r="AJ220" s="518">
        <f t="shared" si="182"/>
        <v>25842000</v>
      </c>
      <c r="AN220" s="526">
        <f t="shared" si="173"/>
        <v>16051.722970685805</v>
      </c>
      <c r="AO220" s="75">
        <v>4104662</v>
      </c>
      <c r="AS220" s="116">
        <f t="shared" si="174"/>
        <v>0.19235493696986738</v>
      </c>
      <c r="AT220" s="524">
        <v>138400000</v>
      </c>
      <c r="AX220" s="527">
        <f t="shared" si="175"/>
        <v>-1700000</v>
      </c>
      <c r="AY220" s="529">
        <f t="shared" si="176"/>
        <v>104107.89911162264</v>
      </c>
      <c r="AZ220" s="525">
        <f t="shared" si="177"/>
        <v>0.15418352601156068</v>
      </c>
      <c r="BA220" s="35">
        <f t="shared" si="178"/>
        <v>0.15418352601156068</v>
      </c>
    </row>
    <row r="221" spans="1:53" ht="15.75" thickBot="1" x14ac:dyDescent="0.3">
      <c r="A221" s="497">
        <v>44992</v>
      </c>
      <c r="B221" s="7">
        <f t="shared" si="188"/>
        <v>1343.8600000000001</v>
      </c>
      <c r="C221" s="7">
        <f t="shared" si="188"/>
        <v>1181.2399999999998</v>
      </c>
      <c r="D221" s="7">
        <f t="shared" si="188"/>
        <v>2143.54</v>
      </c>
      <c r="E221" s="74">
        <f t="shared" si="189"/>
        <v>0.78016638316894338</v>
      </c>
      <c r="F221" s="74">
        <f t="shared" si="186"/>
        <v>0.64340773510288907</v>
      </c>
      <c r="J221" s="516">
        <v>92700000</v>
      </c>
      <c r="K221" s="514">
        <f>J221-J220</f>
        <v>-1100000</v>
      </c>
      <c r="O221" s="14">
        <f t="shared" si="193"/>
        <v>14.470000000000255</v>
      </c>
      <c r="P221" s="14">
        <f t="shared" si="194"/>
        <v>-71.590000000000146</v>
      </c>
      <c r="T221" s="14">
        <f t="shared" si="195"/>
        <v>23.220000000000255</v>
      </c>
      <c r="U221" s="514">
        <f>J221/B221</f>
        <v>68980.39974402095</v>
      </c>
      <c r="Y221" s="517">
        <v>27145000</v>
      </c>
      <c r="Z221" s="513">
        <f t="shared" si="166"/>
        <v>3.4149935531405413</v>
      </c>
      <c r="AD221" s="515">
        <f t="shared" si="167"/>
        <v>65555000</v>
      </c>
      <c r="AE221" s="115">
        <f t="shared" si="168"/>
        <v>0.29282632146709814</v>
      </c>
      <c r="AI221" s="526">
        <f>SUM(Y219:Y221)/B221</f>
        <v>56174.006220886098</v>
      </c>
      <c r="AJ221" s="518">
        <f t="shared" si="182"/>
        <v>25163333.333333332</v>
      </c>
      <c r="AN221" s="526">
        <f t="shared" si="173"/>
        <v>20199.276710371614</v>
      </c>
      <c r="AO221" s="128">
        <v>2924488</v>
      </c>
      <c r="AS221" s="116">
        <f t="shared" si="174"/>
        <v>0.1077357892797937</v>
      </c>
      <c r="AT221" s="524">
        <v>132700000</v>
      </c>
      <c r="AX221" s="527">
        <f>AT221-AT220</f>
        <v>-5700000</v>
      </c>
      <c r="AY221" s="529">
        <f t="shared" si="176"/>
        <v>98745.405027309389</v>
      </c>
      <c r="AZ221" s="525">
        <f t="shared" si="177"/>
        <v>0.20455915599095706</v>
      </c>
      <c r="BA221" s="35">
        <f t="shared" si="178"/>
        <v>0.20455915599095706</v>
      </c>
    </row>
    <row r="222" spans="1:53" x14ac:dyDescent="0.25">
      <c r="A222" s="497">
        <v>45020</v>
      </c>
      <c r="B222" s="7">
        <f t="shared" si="188"/>
        <v>1587.56</v>
      </c>
      <c r="C222" s="7">
        <f t="shared" si="188"/>
        <v>1683.91</v>
      </c>
      <c r="D222" s="7">
        <f t="shared" si="188"/>
        <v>1833.98</v>
      </c>
      <c r="E222" s="74">
        <f t="shared" si="189"/>
        <v>1.2544427324088341</v>
      </c>
      <c r="F222" s="74">
        <f t="shared" ref="F222" si="196">B222/D216</f>
        <v>0.72762105552627343</v>
      </c>
      <c r="U222" s="514"/>
      <c r="Y222" s="517">
        <v>35394000</v>
      </c>
    </row>
    <row r="223" spans="1:53" x14ac:dyDescent="0.25">
      <c r="AO223" s="75"/>
    </row>
    <row r="224" spans="1:53" x14ac:dyDescent="0.25">
      <c r="AO224" s="75"/>
    </row>
    <row r="225" spans="25:41" x14ac:dyDescent="0.25">
      <c r="AO225" s="75"/>
    </row>
    <row r="226" spans="25:41" x14ac:dyDescent="0.25">
      <c r="Y226" s="517">
        <v>29760000</v>
      </c>
      <c r="AO226" s="75"/>
    </row>
    <row r="227" spans="25:41" x14ac:dyDescent="0.25">
      <c r="Y227" s="517">
        <v>36730000</v>
      </c>
      <c r="AO227" s="128"/>
    </row>
    <row r="228" spans="25:41" x14ac:dyDescent="0.25">
      <c r="Y228" s="517">
        <v>28110000</v>
      </c>
    </row>
    <row r="229" spans="25:41" x14ac:dyDescent="0.25">
      <c r="Y229" s="517">
        <v>37110000</v>
      </c>
    </row>
    <row r="230" spans="25:41" x14ac:dyDescent="0.25">
      <c r="Y230" s="517">
        <v>44750000</v>
      </c>
    </row>
    <row r="231" spans="25:41" x14ac:dyDescent="0.25">
      <c r="Y231" s="517">
        <v>32480000</v>
      </c>
    </row>
    <row r="232" spans="25:41" x14ac:dyDescent="0.25">
      <c r="Y232" s="517">
        <v>33150000</v>
      </c>
    </row>
    <row r="233" spans="25:41" x14ac:dyDescent="0.25">
      <c r="Y233" s="517">
        <v>27890000</v>
      </c>
    </row>
    <row r="234" spans="25:41" x14ac:dyDescent="0.25">
      <c r="Y234" s="517">
        <v>29181000</v>
      </c>
    </row>
    <row r="235" spans="25:41" x14ac:dyDescent="0.25">
      <c r="Y235" s="517">
        <v>27006000</v>
      </c>
    </row>
    <row r="236" spans="25:41" x14ac:dyDescent="0.25">
      <c r="Y236" s="517">
        <v>21339000</v>
      </c>
    </row>
    <row r="237" spans="25:41" x14ac:dyDescent="0.25">
      <c r="Y237" s="517">
        <v>27145000</v>
      </c>
    </row>
    <row r="238" spans="25:41" x14ac:dyDescent="0.25">
      <c r="Y238" s="517">
        <v>35394000</v>
      </c>
    </row>
  </sheetData>
  <mergeCells count="76">
    <mergeCell ref="BA205:BA208"/>
    <mergeCell ref="AT205:AT208"/>
    <mergeCell ref="AX205:AX208"/>
    <mergeCell ref="AY205:AY208"/>
    <mergeCell ref="AZ205:AZ208"/>
    <mergeCell ref="AS205:AS208"/>
    <mergeCell ref="AI53:AJ53"/>
    <mergeCell ref="T4:U4"/>
    <mergeCell ref="G4:I4"/>
    <mergeCell ref="J4:K4"/>
    <mergeCell ref="L4:N4"/>
    <mergeCell ref="O4:P4"/>
    <mergeCell ref="Q4:S4"/>
    <mergeCell ref="L53:N53"/>
    <mergeCell ref="O53:P53"/>
    <mergeCell ref="Q53:S53"/>
    <mergeCell ref="O207:T207"/>
    <mergeCell ref="U205:U208"/>
    <mergeCell ref="AF53:AH53"/>
    <mergeCell ref="V103:X103"/>
    <mergeCell ref="Y103:Z103"/>
    <mergeCell ref="AX4:AY4"/>
    <mergeCell ref="V4:X4"/>
    <mergeCell ref="Y4:Z4"/>
    <mergeCell ref="AA4:AC4"/>
    <mergeCell ref="AD4:AE4"/>
    <mergeCell ref="AF4:AH4"/>
    <mergeCell ref="AI4:AJ4"/>
    <mergeCell ref="AK4:AM4"/>
    <mergeCell ref="AN4:AO4"/>
    <mergeCell ref="AP4:AR4"/>
    <mergeCell ref="AS4:AT4"/>
    <mergeCell ref="AU4:AW4"/>
    <mergeCell ref="AA53:AC53"/>
    <mergeCell ref="G103:I103"/>
    <mergeCell ref="J103:K103"/>
    <mergeCell ref="L103:N103"/>
    <mergeCell ref="O103:P103"/>
    <mergeCell ref="Q103:S103"/>
    <mergeCell ref="AD53:AE53"/>
    <mergeCell ref="G53:I53"/>
    <mergeCell ref="J53:K53"/>
    <mergeCell ref="Q153:S153"/>
    <mergeCell ref="AI205:AI208"/>
    <mergeCell ref="V153:X153"/>
    <mergeCell ref="Y153:Z153"/>
    <mergeCell ref="AA153:AC153"/>
    <mergeCell ref="AD153:AE153"/>
    <mergeCell ref="Z205:Z207"/>
    <mergeCell ref="T153:U153"/>
    <mergeCell ref="O153:P153"/>
    <mergeCell ref="T103:U103"/>
    <mergeCell ref="T53:U53"/>
    <mergeCell ref="V53:X53"/>
    <mergeCell ref="Y53:Z53"/>
    <mergeCell ref="E54:F54"/>
    <mergeCell ref="E104:F104"/>
    <mergeCell ref="E5:F5"/>
    <mergeCell ref="B4:D4"/>
    <mergeCell ref="E4:F4"/>
    <mergeCell ref="B53:D53"/>
    <mergeCell ref="E53:F53"/>
    <mergeCell ref="B103:D103"/>
    <mergeCell ref="E103:F103"/>
    <mergeCell ref="B153:D153"/>
    <mergeCell ref="E153:F153"/>
    <mergeCell ref="G153:I153"/>
    <mergeCell ref="J153:K153"/>
    <mergeCell ref="L153:N153"/>
    <mergeCell ref="AO205:AO208"/>
    <mergeCell ref="AJ205:AJ208"/>
    <mergeCell ref="AN205:AN208"/>
    <mergeCell ref="E154:F154"/>
    <mergeCell ref="B205:D205"/>
    <mergeCell ref="E205:F205"/>
    <mergeCell ref="E206:F206"/>
  </mergeCells>
  <conditionalFormatting sqref="K1:K2 A1:F1 J223:K1048576 O207 T206 Y208:Z208 Y206:Y207 AD222:AE1048576 AN1:AO205 AN222:AO222 AS1:AT205 AX1:AY205 AI1:AJ205 AD1:AE208 O1:P206 T1:U205 Y1:Z205 J3:K208 K209:K222 O209:P1048576 T209:U1048576 Y223:Z225 AD209:AD221 AI209:AJ1048576 AO217:AO218 AN209:AN221 AS209:AT1048576 AX209:AY1048576 AN228:AO1048576 AN223:AN227 Y239:Z1048576 Z226:Z238 Y228:Y238 Z209:Z222 Y212:Y222">
    <cfRule type="cellIs" dxfId="1111" priority="121" operator="between">
      <formula>1.3</formula>
      <formula>9.9</formula>
    </cfRule>
    <cfRule type="cellIs" dxfId="1110" priority="122" operator="between">
      <formula>0.0001</formula>
      <formula>0.7</formula>
    </cfRule>
    <cfRule type="cellIs" dxfId="1109" priority="123" operator="between">
      <formula>1.1</formula>
      <formula>1.3</formula>
    </cfRule>
    <cfRule type="cellIs" dxfId="1108" priority="124" operator="between">
      <formula>0.7</formula>
      <formula>0.9</formula>
    </cfRule>
    <cfRule type="cellIs" dxfId="1107" priority="125" operator="between">
      <formula>0.9</formula>
      <formula>1.1</formula>
    </cfRule>
  </conditionalFormatting>
  <conditionalFormatting sqref="E4:F4">
    <cfRule type="cellIs" dxfId="1106" priority="112" operator="between">
      <formula>1.3</formula>
      <formula>9.9</formula>
    </cfRule>
    <cfRule type="cellIs" dxfId="1105" priority="113" operator="between">
      <formula>0.0001</formula>
      <formula>0.7</formula>
    </cfRule>
    <cfRule type="cellIs" dxfId="1104" priority="114" operator="between">
      <formula>1.1</formula>
      <formula>1.3</formula>
    </cfRule>
    <cfRule type="cellIs" dxfId="1103" priority="115" operator="between">
      <formula>0.7</formula>
      <formula>0.9</formula>
    </cfRule>
    <cfRule type="cellIs" dxfId="1102" priority="116" operator="between">
      <formula>0.9</formula>
      <formula>1.1</formula>
    </cfRule>
  </conditionalFormatting>
  <conditionalFormatting sqref="E6:F7">
    <cfRule type="cellIs" dxfId="1101" priority="107" operator="between">
      <formula>1.3</formula>
      <formula>9.9</formula>
    </cfRule>
    <cfRule type="cellIs" dxfId="1100" priority="108" operator="between">
      <formula>0.0001</formula>
      <formula>0.7</formula>
    </cfRule>
    <cfRule type="cellIs" dxfId="1099" priority="109" operator="between">
      <formula>1.1</formula>
      <formula>1.3</formula>
    </cfRule>
    <cfRule type="cellIs" dxfId="1098" priority="110" operator="between">
      <formula>0.7</formula>
      <formula>0.9</formula>
    </cfRule>
    <cfRule type="cellIs" dxfId="1097" priority="111" operator="between">
      <formula>0.9</formula>
      <formula>1.1</formula>
    </cfRule>
  </conditionalFormatting>
  <conditionalFormatting sqref="E53:F53">
    <cfRule type="cellIs" dxfId="1096" priority="102" operator="between">
      <formula>1.3</formula>
      <formula>9.9</formula>
    </cfRule>
    <cfRule type="cellIs" dxfId="1095" priority="103" operator="between">
      <formula>0.0001</formula>
      <formula>0.7</formula>
    </cfRule>
    <cfRule type="cellIs" dxfId="1094" priority="104" operator="between">
      <formula>1.1</formula>
      <formula>1.3</formula>
    </cfRule>
    <cfRule type="cellIs" dxfId="1093" priority="105" operator="between">
      <formula>0.7</formula>
      <formula>0.9</formula>
    </cfRule>
    <cfRule type="cellIs" dxfId="1092" priority="106" operator="between">
      <formula>0.9</formula>
      <formula>1.1</formula>
    </cfRule>
  </conditionalFormatting>
  <conditionalFormatting sqref="E55:F56">
    <cfRule type="cellIs" dxfId="1091" priority="97" operator="between">
      <formula>1.3</formula>
      <formula>9.9</formula>
    </cfRule>
    <cfRule type="cellIs" dxfId="1090" priority="98" operator="between">
      <formula>0.0001</formula>
      <formula>0.7</formula>
    </cfRule>
    <cfRule type="cellIs" dxfId="1089" priority="99" operator="between">
      <formula>1.1</formula>
      <formula>1.3</formula>
    </cfRule>
    <cfRule type="cellIs" dxfId="1088" priority="100" operator="between">
      <formula>0.7</formula>
      <formula>0.9</formula>
    </cfRule>
    <cfRule type="cellIs" dxfId="1087" priority="101" operator="between">
      <formula>0.9</formula>
      <formula>1.1</formula>
    </cfRule>
  </conditionalFormatting>
  <conditionalFormatting sqref="E103:F103">
    <cfRule type="cellIs" dxfId="1086" priority="92" operator="between">
      <formula>1.3</formula>
      <formula>9.9</formula>
    </cfRule>
    <cfRule type="cellIs" dxfId="1085" priority="93" operator="between">
      <formula>0.0001</formula>
      <formula>0.7</formula>
    </cfRule>
    <cfRule type="cellIs" dxfId="1084" priority="94" operator="between">
      <formula>1.1</formula>
      <formula>1.3</formula>
    </cfRule>
    <cfRule type="cellIs" dxfId="1083" priority="95" operator="between">
      <formula>0.7</formula>
      <formula>0.9</formula>
    </cfRule>
    <cfRule type="cellIs" dxfId="1082" priority="96" operator="between">
      <formula>0.9</formula>
      <formula>1.1</formula>
    </cfRule>
  </conditionalFormatting>
  <conditionalFormatting sqref="E105:F106">
    <cfRule type="cellIs" dxfId="1081" priority="87" operator="between">
      <formula>1.3</formula>
      <formula>9.9</formula>
    </cfRule>
    <cfRule type="cellIs" dxfId="1080" priority="88" operator="between">
      <formula>0.0001</formula>
      <formula>0.7</formula>
    </cfRule>
    <cfRule type="cellIs" dxfId="1079" priority="89" operator="between">
      <formula>1.1</formula>
      <formula>1.3</formula>
    </cfRule>
    <cfRule type="cellIs" dxfId="1078" priority="90" operator="between">
      <formula>0.7</formula>
      <formula>0.9</formula>
    </cfRule>
    <cfRule type="cellIs" dxfId="1077" priority="91" operator="between">
      <formula>0.9</formula>
      <formula>1.1</formula>
    </cfRule>
  </conditionalFormatting>
  <conditionalFormatting sqref="E153:F153">
    <cfRule type="cellIs" dxfId="1076" priority="82" operator="between">
      <formula>1.3</formula>
      <formula>9.9</formula>
    </cfRule>
    <cfRule type="cellIs" dxfId="1075" priority="83" operator="between">
      <formula>0.0001</formula>
      <formula>0.7</formula>
    </cfRule>
    <cfRule type="cellIs" dxfId="1074" priority="84" operator="between">
      <formula>1.1</formula>
      <formula>1.3</formula>
    </cfRule>
    <cfRule type="cellIs" dxfId="1073" priority="85" operator="between">
      <formula>0.7</formula>
      <formula>0.9</formula>
    </cfRule>
    <cfRule type="cellIs" dxfId="1072" priority="86" operator="between">
      <formula>0.9</formula>
      <formula>1.1</formula>
    </cfRule>
  </conditionalFormatting>
  <conditionalFormatting sqref="E155:F156">
    <cfRule type="cellIs" dxfId="1071" priority="77" operator="between">
      <formula>1.3</formula>
      <formula>9.9</formula>
    </cfRule>
    <cfRule type="cellIs" dxfId="1070" priority="78" operator="between">
      <formula>0.0001</formula>
      <formula>0.7</formula>
    </cfRule>
    <cfRule type="cellIs" dxfId="1069" priority="79" operator="between">
      <formula>1.1</formula>
      <formula>1.3</formula>
    </cfRule>
    <cfRule type="cellIs" dxfId="1068" priority="80" operator="between">
      <formula>0.7</formula>
      <formula>0.9</formula>
    </cfRule>
    <cfRule type="cellIs" dxfId="1067" priority="81" operator="between">
      <formula>0.9</formula>
      <formula>1.1</formula>
    </cfRule>
  </conditionalFormatting>
  <conditionalFormatting sqref="E8:F52">
    <cfRule type="cellIs" dxfId="1066" priority="72" operator="between">
      <formula>1.3</formula>
      <formula>9.9</formula>
    </cfRule>
    <cfRule type="cellIs" dxfId="1065" priority="73" operator="between">
      <formula>0.0001</formula>
      <formula>0.7</formula>
    </cfRule>
    <cfRule type="cellIs" dxfId="1064" priority="74" operator="between">
      <formula>1.1</formula>
      <formula>1.3</formula>
    </cfRule>
    <cfRule type="cellIs" dxfId="1063" priority="75" operator="between">
      <formula>0.7</formula>
      <formula>0.9</formula>
    </cfRule>
    <cfRule type="cellIs" dxfId="1062" priority="76" operator="between">
      <formula>0.9</formula>
      <formula>1.1</formula>
    </cfRule>
  </conditionalFormatting>
  <conditionalFormatting sqref="E57:F101">
    <cfRule type="cellIs" dxfId="1061" priority="67" operator="between">
      <formula>1.3</formula>
      <formula>9.9</formula>
    </cfRule>
    <cfRule type="cellIs" dxfId="1060" priority="68" operator="between">
      <formula>0.0001</formula>
      <formula>0.7</formula>
    </cfRule>
    <cfRule type="cellIs" dxfId="1059" priority="69" operator="between">
      <formula>1.1</formula>
      <formula>1.3</formula>
    </cfRule>
    <cfRule type="cellIs" dxfId="1058" priority="70" operator="between">
      <formula>0.7</formula>
      <formula>0.9</formula>
    </cfRule>
    <cfRule type="cellIs" dxfId="1057" priority="71" operator="between">
      <formula>0.9</formula>
      <formula>1.1</formula>
    </cfRule>
  </conditionalFormatting>
  <conditionalFormatting sqref="E107:F151">
    <cfRule type="cellIs" dxfId="1056" priority="62" operator="between">
      <formula>1.3</formula>
      <formula>9.9</formula>
    </cfRule>
    <cfRule type="cellIs" dxfId="1055" priority="63" operator="between">
      <formula>0.0001</formula>
      <formula>0.7</formula>
    </cfRule>
    <cfRule type="cellIs" dxfId="1054" priority="64" operator="between">
      <formula>1.1</formula>
      <formula>1.3</formula>
    </cfRule>
    <cfRule type="cellIs" dxfId="1053" priority="65" operator="between">
      <formula>0.7</formula>
      <formula>0.9</formula>
    </cfRule>
    <cfRule type="cellIs" dxfId="1052" priority="66" operator="between">
      <formula>0.9</formula>
      <formula>1.1</formula>
    </cfRule>
  </conditionalFormatting>
  <conditionalFormatting sqref="E157:F203">
    <cfRule type="cellIs" dxfId="1051" priority="57" operator="between">
      <formula>1.3</formula>
      <formula>9.9</formula>
    </cfRule>
    <cfRule type="cellIs" dxfId="1050" priority="58" operator="between">
      <formula>0.0001</formula>
      <formula>0.7</formula>
    </cfRule>
    <cfRule type="cellIs" dxfId="1049" priority="59" operator="between">
      <formula>1.1</formula>
      <formula>1.3</formula>
    </cfRule>
    <cfRule type="cellIs" dxfId="1048" priority="60" operator="between">
      <formula>0.7</formula>
      <formula>0.9</formula>
    </cfRule>
    <cfRule type="cellIs" dxfId="1047" priority="61" operator="between">
      <formula>0.9</formula>
      <formula>1.1</formula>
    </cfRule>
  </conditionalFormatting>
  <conditionalFormatting sqref="E205:F205">
    <cfRule type="cellIs" dxfId="1046" priority="52" operator="between">
      <formula>1.3</formula>
      <formula>9.9</formula>
    </cfRule>
    <cfRule type="cellIs" dxfId="1045" priority="53" operator="between">
      <formula>0.0001</formula>
      <formula>0.7</formula>
    </cfRule>
    <cfRule type="cellIs" dxfId="1044" priority="54" operator="between">
      <formula>1.1</formula>
      <formula>1.3</formula>
    </cfRule>
    <cfRule type="cellIs" dxfId="1043" priority="55" operator="between">
      <formula>0.7</formula>
      <formula>0.9</formula>
    </cfRule>
    <cfRule type="cellIs" dxfId="1042" priority="56" operator="between">
      <formula>0.9</formula>
      <formula>1.1</formula>
    </cfRule>
  </conditionalFormatting>
  <conditionalFormatting sqref="E207:F208">
    <cfRule type="cellIs" dxfId="1041" priority="47" operator="between">
      <formula>1.3</formula>
      <formula>9.9</formula>
    </cfRule>
    <cfRule type="cellIs" dxfId="1040" priority="48" operator="between">
      <formula>0.0001</formula>
      <formula>0.7</formula>
    </cfRule>
    <cfRule type="cellIs" dxfId="1039" priority="49" operator="between">
      <formula>1.1</formula>
      <formula>1.3</formula>
    </cfRule>
    <cfRule type="cellIs" dxfId="1038" priority="50" operator="between">
      <formula>0.7</formula>
      <formula>0.9</formula>
    </cfRule>
    <cfRule type="cellIs" dxfId="1037" priority="51" operator="between">
      <formula>0.9</formula>
      <formula>1.1</formula>
    </cfRule>
  </conditionalFormatting>
  <conditionalFormatting sqref="E209:F222">
    <cfRule type="cellIs" dxfId="1036" priority="42" operator="between">
      <formula>1.3</formula>
      <formula>9.9</formula>
    </cfRule>
    <cfRule type="cellIs" dxfId="1035" priority="43" operator="between">
      <formula>0.0001</formula>
      <formula>0.7</formula>
    </cfRule>
    <cfRule type="cellIs" dxfId="1034" priority="44" operator="between">
      <formula>1.1</formula>
      <formula>1.3</formula>
    </cfRule>
    <cfRule type="cellIs" dxfId="1033" priority="45" operator="between">
      <formula>0.7</formula>
      <formula>0.9</formula>
    </cfRule>
    <cfRule type="cellIs" dxfId="1032" priority="46" operator="between">
      <formula>0.9</formula>
      <formula>1.1</formula>
    </cfRule>
  </conditionalFormatting>
  <conditionalFormatting sqref="B209:B2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9:C2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:D2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9:J2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0:K2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9:U2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9:Z2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9:AD2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9:AE2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11:AJ2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1:AI2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09:AN2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10:AO2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0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09:AS2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10:AX2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9:AY2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5">
    <cfRule type="cellIs" dxfId="1031" priority="10" operator="between">
      <formula>1.3</formula>
      <formula>9.9</formula>
    </cfRule>
    <cfRule type="cellIs" dxfId="1030" priority="11" operator="between">
      <formula>0.0001</formula>
      <formula>0.7</formula>
    </cfRule>
    <cfRule type="cellIs" dxfId="1029" priority="12" operator="between">
      <formula>1.1</formula>
      <formula>1.3</formula>
    </cfRule>
    <cfRule type="cellIs" dxfId="1028" priority="13" operator="between">
      <formula>0.7</formula>
      <formula>0.9</formula>
    </cfRule>
    <cfRule type="cellIs" dxfId="1027" priority="14" operator="between">
      <formula>0.9</formula>
      <formula>1.1</formula>
    </cfRule>
  </conditionalFormatting>
  <conditionalFormatting sqref="AZ209:AZ2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09:BA2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9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23:AO2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19:AO2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6:Y2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0:Y2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D22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8" scale="3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9" operator="containsText" id="{FB663681-157B-4242-8930-0A35E299F80E}">
            <xm:f>NOT(ISERROR(SEARCH($A$1,A1)))</xm:f>
            <xm:f>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A1:F1</xm:sqref>
        </x14:conditionalFormatting>
        <x14:conditionalFormatting xmlns:xm="http://schemas.microsoft.com/office/excel/2006/main">
          <x14:cfRule type="containsText" priority="118" operator="containsText" id="{DBA74EB0-AC4E-4C6B-AB87-4E285731A2A2}">
            <xm:f>NOT(ISERROR(SEARCH($A$2,A2)))</xm:f>
            <xm:f>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A2:F2</xm:sqref>
        </x14:conditionalFormatting>
        <x14:conditionalFormatting xmlns:xm="http://schemas.microsoft.com/office/excel/2006/main">
          <x14:cfRule type="containsText" priority="117" operator="containsText" id="{D40BF65E-789C-4E40-85A5-79EAC2FADE8B}">
            <xm:f>NOT(ISERROR(SEARCH($A$3,A3)))</xm:f>
            <xm:f>$A$3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A3:F3</xm:sqref>
        </x14:conditionalFormatting>
        <x14:conditionalFormatting xmlns:xm="http://schemas.microsoft.com/office/excel/2006/main">
          <x14:cfRule type="iconSet" priority="40" id="{8F1AC223-1854-4F99-A1AD-C8BC85BEC7A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B209:B222</xm:sqref>
        </x14:conditionalFormatting>
        <x14:conditionalFormatting xmlns:xm="http://schemas.microsoft.com/office/excel/2006/main">
          <x14:cfRule type="iconSet" priority="38" id="{FDC6E932-0183-4C85-B215-033857DF77E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C209:C222</xm:sqref>
        </x14:conditionalFormatting>
        <x14:conditionalFormatting xmlns:xm="http://schemas.microsoft.com/office/excel/2006/main">
          <x14:cfRule type="iconSet" priority="36" id="{6DC33C2A-815E-4160-A3A3-C4BD33B9AD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D209:D222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0E14-81B6-4BC3-84E5-72EAF53AF036}">
  <sheetPr>
    <tabColor rgb="FF00B050"/>
  </sheetPr>
  <dimension ref="A1:FI66"/>
  <sheetViews>
    <sheetView zoomScale="130" zoomScaleNormal="130" workbookViewId="0">
      <pane ySplit="4" topLeftCell="A49" activePane="bottomLeft" state="frozen"/>
      <selection activeCell="A66" sqref="A66"/>
      <selection pane="bottomLeft" activeCell="A66" sqref="A66"/>
    </sheetView>
  </sheetViews>
  <sheetFormatPr defaultRowHeight="15" outlineLevelCol="1" x14ac:dyDescent="0.25"/>
  <cols>
    <col min="1" max="1" width="11.85546875" bestFit="1" customWidth="1"/>
    <col min="2" max="3" width="6.7109375" customWidth="1"/>
    <col min="4" max="4" width="7" customWidth="1"/>
    <col min="5" max="5" width="8.42578125" bestFit="1" customWidth="1"/>
    <col min="6" max="7" width="6.7109375" hidden="1" customWidth="1" outlineLevel="1"/>
    <col min="8" max="8" width="6.7109375" customWidth="1" collapsed="1"/>
    <col min="9" max="10" width="6.7109375" customWidth="1"/>
    <col min="11" max="11" width="7.42578125" bestFit="1" customWidth="1"/>
    <col min="12" max="12" width="6.7109375" style="104" customWidth="1"/>
    <col min="13" max="15" width="6.7109375" customWidth="1"/>
    <col min="16" max="17" width="6.7109375" hidden="1" customWidth="1" outlineLevel="1"/>
    <col min="18" max="18" width="6.7109375" customWidth="1" collapsed="1"/>
    <col min="19" max="20" width="6.7109375" customWidth="1"/>
    <col min="21" max="21" width="7.42578125" style="4" bestFit="1" customWidth="1"/>
    <col min="22" max="29" width="7.42578125" customWidth="1"/>
    <col min="30" max="40" width="6.7109375" customWidth="1"/>
    <col min="41" max="44" width="10.85546875" customWidth="1"/>
    <col min="45" max="47" width="6.7109375" customWidth="1"/>
    <col min="48" max="50" width="11.28515625" customWidth="1"/>
    <col min="53" max="56" width="6.7109375" customWidth="1" outlineLevel="1"/>
    <col min="57" max="58" width="6.7109375" customWidth="1"/>
    <col min="59" max="62" width="6.7109375" hidden="1" customWidth="1" outlineLevel="1"/>
    <col min="63" max="63" width="6.7109375" customWidth="1" collapsed="1"/>
    <col min="64" max="64" width="6.7109375" customWidth="1"/>
    <col min="65" max="68" width="6.7109375" hidden="1" customWidth="1" outlineLevel="1"/>
    <col min="69" max="69" width="6.7109375" customWidth="1" collapsed="1"/>
    <col min="70" max="70" width="6.7109375" customWidth="1"/>
    <col min="71" max="74" width="6.7109375" hidden="1" customWidth="1" outlineLevel="1"/>
    <col min="75" max="75" width="6.7109375" customWidth="1" collapsed="1"/>
    <col min="76" max="76" width="6.7109375" customWidth="1"/>
    <col min="77" max="80" width="6.7109375" hidden="1" customWidth="1" outlineLevel="1"/>
    <col min="81" max="81" width="6.7109375" customWidth="1" collapsed="1"/>
    <col min="82" max="82" width="6.7109375" customWidth="1"/>
    <col min="83" max="86" width="6.7109375" hidden="1" customWidth="1" outlineLevel="1"/>
    <col min="87" max="87" width="6.7109375" customWidth="1" collapsed="1"/>
    <col min="88" max="88" width="6.7109375" customWidth="1"/>
    <col min="89" max="92" width="6.7109375" hidden="1" customWidth="1" outlineLevel="1"/>
    <col min="93" max="93" width="9.140625" collapsed="1"/>
    <col min="95" max="98" width="6.7109375" customWidth="1" outlineLevel="1"/>
    <col min="101" max="104" width="6.7109375" customWidth="1" outlineLevel="1"/>
    <col min="105" max="106" width="6.7109375" customWidth="1"/>
    <col min="107" max="110" width="6.7109375" hidden="1" customWidth="1" outlineLevel="1"/>
    <col min="111" max="111" width="6.7109375" customWidth="1" collapsed="1"/>
    <col min="112" max="112" width="6.7109375" customWidth="1"/>
    <col min="113" max="116" width="6.7109375" hidden="1" customWidth="1" outlineLevel="1"/>
    <col min="117" max="117" width="9.140625" collapsed="1"/>
    <col min="119" max="122" width="6.7109375" hidden="1" customWidth="1" outlineLevel="1"/>
    <col min="123" max="123" width="9.140625" collapsed="1"/>
    <col min="125" max="128" width="6.7109375" hidden="1" customWidth="1" outlineLevel="1"/>
    <col min="129" max="129" width="9.140625" collapsed="1"/>
    <col min="131" max="134" width="6.7109375" customWidth="1" outlineLevel="1"/>
    <col min="137" max="140" width="6.7109375" customWidth="1" outlineLevel="1"/>
    <col min="143" max="147" width="6.7109375" customWidth="1" outlineLevel="1"/>
  </cols>
  <sheetData>
    <row r="1" spans="1:165" ht="15.75" thickBot="1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FI1" s="9"/>
    </row>
    <row r="2" spans="1:165" ht="15" customHeight="1" x14ac:dyDescent="0.25">
      <c r="B2" s="44" t="s">
        <v>51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K2" t="s">
        <v>59</v>
      </c>
      <c r="L2" s="95" t="s">
        <v>51</v>
      </c>
      <c r="M2" s="44" t="s">
        <v>52</v>
      </c>
      <c r="N2" s="44" t="s">
        <v>53</v>
      </c>
      <c r="O2" s="44" t="s">
        <v>54</v>
      </c>
      <c r="P2" s="44" t="s">
        <v>55</v>
      </c>
      <c r="Q2" s="44" t="s">
        <v>56</v>
      </c>
      <c r="R2" s="44" t="s">
        <v>57</v>
      </c>
      <c r="S2" s="44" t="s">
        <v>58</v>
      </c>
      <c r="T2" s="45"/>
      <c r="U2" s="96" t="s">
        <v>59</v>
      </c>
      <c r="V2" s="95" t="s">
        <v>51</v>
      </c>
      <c r="W2" s="44" t="s">
        <v>52</v>
      </c>
      <c r="X2" s="44" t="s">
        <v>53</v>
      </c>
      <c r="Y2" s="44" t="s">
        <v>54</v>
      </c>
      <c r="Z2" s="44" t="s">
        <v>57</v>
      </c>
      <c r="AA2" s="44" t="s">
        <v>58</v>
      </c>
      <c r="AB2" s="45"/>
      <c r="AC2" s="96" t="s">
        <v>59</v>
      </c>
      <c r="AD2" s="643" t="s">
        <v>60</v>
      </c>
      <c r="AE2" s="631"/>
      <c r="AF2" s="644"/>
      <c r="AG2" s="630" t="s">
        <v>61</v>
      </c>
      <c r="AH2" s="631"/>
      <c r="AI2" s="644"/>
      <c r="AJ2" s="645" t="s">
        <v>62</v>
      </c>
      <c r="AK2" s="646"/>
      <c r="AL2" s="646"/>
      <c r="AM2" s="40"/>
      <c r="AN2" s="640" t="s">
        <v>63</v>
      </c>
      <c r="AO2" s="641"/>
      <c r="AP2" s="641"/>
      <c r="AQ2" s="642"/>
      <c r="AR2" s="86"/>
      <c r="AS2" s="640" t="s">
        <v>64</v>
      </c>
      <c r="AT2" s="641"/>
      <c r="AU2" s="641"/>
      <c r="AV2" s="641"/>
      <c r="AW2" s="641"/>
      <c r="AX2" s="642"/>
      <c r="BA2" s="44" t="s">
        <v>51</v>
      </c>
      <c r="BB2" s="44" t="s">
        <v>51</v>
      </c>
      <c r="BC2" s="44" t="s">
        <v>51</v>
      </c>
      <c r="BD2" s="44" t="s">
        <v>51</v>
      </c>
      <c r="BE2" s="45" t="s">
        <v>65</v>
      </c>
      <c r="BF2" s="45" t="s">
        <v>65</v>
      </c>
      <c r="BG2" s="45" t="s">
        <v>65</v>
      </c>
      <c r="BH2" s="45" t="s">
        <v>65</v>
      </c>
      <c r="BI2" s="45" t="s">
        <v>65</v>
      </c>
      <c r="BJ2" s="45" t="s">
        <v>65</v>
      </c>
      <c r="BK2" s="44" t="s">
        <v>66</v>
      </c>
      <c r="BL2" s="44" t="s">
        <v>66</v>
      </c>
      <c r="BM2" s="44" t="s">
        <v>66</v>
      </c>
      <c r="BN2" s="44" t="s">
        <v>66</v>
      </c>
      <c r="BO2" s="44" t="s">
        <v>66</v>
      </c>
      <c r="BP2" s="44" t="s">
        <v>66</v>
      </c>
      <c r="BQ2" s="44" t="s">
        <v>67</v>
      </c>
      <c r="BR2" s="44" t="s">
        <v>67</v>
      </c>
      <c r="BS2" s="44" t="s">
        <v>67</v>
      </c>
      <c r="BT2" s="44" t="s">
        <v>67</v>
      </c>
      <c r="BU2" s="44" t="s">
        <v>67</v>
      </c>
      <c r="BV2" s="44" t="s">
        <v>67</v>
      </c>
      <c r="BW2" s="44" t="s">
        <v>68</v>
      </c>
      <c r="BX2" s="44" t="s">
        <v>68</v>
      </c>
      <c r="BY2" s="44" t="s">
        <v>68</v>
      </c>
      <c r="BZ2" s="44" t="s">
        <v>68</v>
      </c>
      <c r="CA2" s="44" t="s">
        <v>68</v>
      </c>
      <c r="CB2" s="44" t="s">
        <v>68</v>
      </c>
      <c r="CC2" s="44" t="s">
        <v>69</v>
      </c>
      <c r="CD2" s="44" t="s">
        <v>69</v>
      </c>
      <c r="CE2" s="44" t="s">
        <v>69</v>
      </c>
      <c r="CF2" s="44" t="s">
        <v>69</v>
      </c>
      <c r="CG2" s="44" t="s">
        <v>69</v>
      </c>
      <c r="CH2" s="44" t="s">
        <v>69</v>
      </c>
      <c r="CI2" s="44" t="s">
        <v>70</v>
      </c>
      <c r="CJ2" s="44" t="s">
        <v>70</v>
      </c>
      <c r="CK2" s="44" t="s">
        <v>70</v>
      </c>
      <c r="CL2" s="44" t="s">
        <v>70</v>
      </c>
      <c r="CM2" s="44" t="s">
        <v>70</v>
      </c>
      <c r="CN2" s="44" t="s">
        <v>70</v>
      </c>
      <c r="CQ2" s="9" t="s">
        <v>52</v>
      </c>
      <c r="CR2" s="9" t="s">
        <v>52</v>
      </c>
      <c r="CS2" s="9" t="s">
        <v>52</v>
      </c>
      <c r="CT2" s="9" t="s">
        <v>52</v>
      </c>
      <c r="CW2" s="9" t="s">
        <v>53</v>
      </c>
      <c r="CX2" s="9" t="s">
        <v>53</v>
      </c>
      <c r="CY2" s="9" t="s">
        <v>53</v>
      </c>
      <c r="CZ2" s="9" t="s">
        <v>53</v>
      </c>
      <c r="DA2" s="9" t="s">
        <v>71</v>
      </c>
      <c r="DF2" s="46"/>
      <c r="DG2" s="9" t="s">
        <v>72</v>
      </c>
      <c r="DH2" s="9" t="s">
        <v>72</v>
      </c>
      <c r="DI2" s="9" t="s">
        <v>72</v>
      </c>
      <c r="DJ2" s="9" t="s">
        <v>72</v>
      </c>
      <c r="DK2" s="9" t="s">
        <v>72</v>
      </c>
      <c r="DL2" s="9" t="s">
        <v>72</v>
      </c>
      <c r="DO2" s="9" t="s">
        <v>55</v>
      </c>
      <c r="DP2" s="9" t="s">
        <v>55</v>
      </c>
      <c r="DQ2" s="9" t="s">
        <v>55</v>
      </c>
      <c r="DR2" s="9" t="s">
        <v>55</v>
      </c>
      <c r="DU2" s="9" t="s">
        <v>56</v>
      </c>
      <c r="DV2" s="9" t="s">
        <v>56</v>
      </c>
      <c r="DW2" s="9" t="s">
        <v>56</v>
      </c>
      <c r="DX2" s="9" t="s">
        <v>56</v>
      </c>
      <c r="EA2" s="9" t="s">
        <v>57</v>
      </c>
      <c r="EB2" s="9" t="s">
        <v>57</v>
      </c>
      <c r="EC2" s="9" t="s">
        <v>57</v>
      </c>
      <c r="ED2" s="9" t="s">
        <v>57</v>
      </c>
      <c r="EG2" s="9" t="s">
        <v>58</v>
      </c>
      <c r="EH2" s="9" t="s">
        <v>58</v>
      </c>
      <c r="EI2" s="9" t="s">
        <v>58</v>
      </c>
      <c r="EJ2" s="9" t="s">
        <v>58</v>
      </c>
      <c r="EM2" s="9" t="s">
        <v>29</v>
      </c>
      <c r="EN2" s="9" t="s">
        <v>29</v>
      </c>
      <c r="EO2" s="9" t="s">
        <v>29</v>
      </c>
      <c r="EP2" s="9" t="s">
        <v>29</v>
      </c>
      <c r="EQ2" s="9" t="s">
        <v>29</v>
      </c>
      <c r="ER2" s="639" t="s">
        <v>73</v>
      </c>
      <c r="ES2" s="635"/>
      <c r="ET2" s="635"/>
      <c r="EU2" s="635"/>
      <c r="EV2" s="635"/>
      <c r="EW2" s="635"/>
      <c r="EX2" s="639" t="s">
        <v>74</v>
      </c>
      <c r="EY2" s="635"/>
      <c r="EZ2" s="635"/>
      <c r="FA2" s="635"/>
      <c r="FB2" s="635"/>
      <c r="FC2" s="635"/>
    </row>
    <row r="3" spans="1:165" ht="48" customHeight="1" x14ac:dyDescent="0.25">
      <c r="A3" s="4" t="s">
        <v>22</v>
      </c>
      <c r="B3" s="83" t="s">
        <v>75</v>
      </c>
      <c r="C3" s="83" t="s">
        <v>75</v>
      </c>
      <c r="D3" s="83" t="s">
        <v>75</v>
      </c>
      <c r="E3" s="83" t="s">
        <v>76</v>
      </c>
      <c r="F3" s="83" t="s">
        <v>75</v>
      </c>
      <c r="G3" s="83" t="s">
        <v>75</v>
      </c>
      <c r="H3" s="83" t="s">
        <v>75</v>
      </c>
      <c r="I3" s="83" t="s">
        <v>75</v>
      </c>
      <c r="J3" s="83" t="s">
        <v>75</v>
      </c>
      <c r="K3" s="85" t="s">
        <v>75</v>
      </c>
      <c r="L3" s="97" t="s">
        <v>24</v>
      </c>
      <c r="M3" s="85" t="s">
        <v>24</v>
      </c>
      <c r="N3" s="85" t="s">
        <v>24</v>
      </c>
      <c r="O3" s="85" t="s">
        <v>24</v>
      </c>
      <c r="P3" s="85" t="s">
        <v>24</v>
      </c>
      <c r="Q3" s="85" t="s">
        <v>24</v>
      </c>
      <c r="R3" s="85" t="s">
        <v>24</v>
      </c>
      <c r="S3" s="85" t="s">
        <v>24</v>
      </c>
      <c r="T3" s="85" t="s">
        <v>24</v>
      </c>
      <c r="U3" s="98" t="s">
        <v>24</v>
      </c>
      <c r="V3" s="85" t="s">
        <v>25</v>
      </c>
      <c r="W3" s="85" t="s">
        <v>25</v>
      </c>
      <c r="X3" s="85" t="s">
        <v>25</v>
      </c>
      <c r="Y3" s="85" t="s">
        <v>25</v>
      </c>
      <c r="Z3" s="85" t="s">
        <v>25</v>
      </c>
      <c r="AA3" s="85" t="s">
        <v>25</v>
      </c>
      <c r="AB3" s="85" t="s">
        <v>77</v>
      </c>
      <c r="AC3" s="85" t="s">
        <v>25</v>
      </c>
      <c r="AD3" s="85" t="s">
        <v>75</v>
      </c>
      <c r="AE3" s="85" t="s">
        <v>24</v>
      </c>
      <c r="AF3" s="85" t="s">
        <v>25</v>
      </c>
      <c r="AG3" s="83" t="s">
        <v>75</v>
      </c>
      <c r="AH3" s="85" t="s">
        <v>24</v>
      </c>
      <c r="AI3" s="85" t="s">
        <v>25</v>
      </c>
      <c r="AJ3" s="83" t="s">
        <v>75</v>
      </c>
      <c r="AK3" s="85" t="s">
        <v>24</v>
      </c>
      <c r="AL3" s="85" t="s">
        <v>25</v>
      </c>
      <c r="AM3" s="85"/>
      <c r="AN3" s="85" t="s">
        <v>78</v>
      </c>
      <c r="AO3" s="85" t="s">
        <v>79</v>
      </c>
      <c r="AP3" s="85" t="s">
        <v>80</v>
      </c>
      <c r="AQ3" s="85" t="s">
        <v>81</v>
      </c>
      <c r="AR3" s="85" t="s">
        <v>82</v>
      </c>
      <c r="AS3" s="19" t="s">
        <v>75</v>
      </c>
      <c r="AT3" s="85" t="s">
        <v>24</v>
      </c>
      <c r="AU3" s="85" t="s">
        <v>78</v>
      </c>
      <c r="AV3" s="85" t="s">
        <v>79</v>
      </c>
      <c r="AW3" s="85" t="s">
        <v>80</v>
      </c>
      <c r="AX3" s="85" t="s">
        <v>81</v>
      </c>
      <c r="BA3" s="85" t="s">
        <v>78</v>
      </c>
      <c r="BB3" s="85" t="s">
        <v>79</v>
      </c>
      <c r="BC3" s="85" t="s">
        <v>80</v>
      </c>
      <c r="BD3" s="85" t="s">
        <v>81</v>
      </c>
      <c r="BE3" s="83" t="s">
        <v>75</v>
      </c>
      <c r="BF3" s="84" t="s">
        <v>24</v>
      </c>
      <c r="BG3" s="85" t="s">
        <v>78</v>
      </c>
      <c r="BH3" s="85" t="s">
        <v>79</v>
      </c>
      <c r="BI3" s="85" t="s">
        <v>80</v>
      </c>
      <c r="BJ3" s="85" t="s">
        <v>81</v>
      </c>
      <c r="BK3" s="83" t="s">
        <v>75</v>
      </c>
      <c r="BL3" s="85" t="s">
        <v>24</v>
      </c>
      <c r="BM3" s="85" t="s">
        <v>78</v>
      </c>
      <c r="BN3" s="85" t="s">
        <v>79</v>
      </c>
      <c r="BO3" s="85" t="s">
        <v>80</v>
      </c>
      <c r="BP3" s="85" t="s">
        <v>81</v>
      </c>
      <c r="BQ3" s="83" t="s">
        <v>75</v>
      </c>
      <c r="BR3" s="85" t="s">
        <v>24</v>
      </c>
      <c r="BS3" s="85" t="s">
        <v>78</v>
      </c>
      <c r="BT3" s="85" t="s">
        <v>79</v>
      </c>
      <c r="BU3" s="85" t="s">
        <v>80</v>
      </c>
      <c r="BV3" s="84" t="s">
        <v>81</v>
      </c>
      <c r="BW3" s="83" t="s">
        <v>75</v>
      </c>
      <c r="BX3" s="85" t="s">
        <v>24</v>
      </c>
      <c r="BY3" s="85" t="s">
        <v>78</v>
      </c>
      <c r="BZ3" s="85" t="s">
        <v>79</v>
      </c>
      <c r="CA3" s="85" t="s">
        <v>80</v>
      </c>
      <c r="CB3" s="84" t="s">
        <v>81</v>
      </c>
      <c r="CC3" s="83" t="s">
        <v>75</v>
      </c>
      <c r="CD3" s="85" t="s">
        <v>24</v>
      </c>
      <c r="CE3" s="85" t="s">
        <v>78</v>
      </c>
      <c r="CF3" s="85" t="s">
        <v>79</v>
      </c>
      <c r="CG3" s="85" t="s">
        <v>80</v>
      </c>
      <c r="CH3" s="84" t="s">
        <v>81</v>
      </c>
      <c r="CI3" s="83" t="s">
        <v>75</v>
      </c>
      <c r="CJ3" s="85" t="s">
        <v>24</v>
      </c>
      <c r="CK3" s="85" t="s">
        <v>78</v>
      </c>
      <c r="CL3" s="85" t="s">
        <v>79</v>
      </c>
      <c r="CM3" s="85" t="s">
        <v>80</v>
      </c>
      <c r="CN3" s="84" t="s">
        <v>81</v>
      </c>
      <c r="CQ3" s="85" t="s">
        <v>78</v>
      </c>
      <c r="CR3" s="85" t="s">
        <v>79</v>
      </c>
      <c r="CS3" s="85" t="s">
        <v>80</v>
      </c>
      <c r="CT3" s="84" t="s">
        <v>81</v>
      </c>
      <c r="CW3" s="85" t="s">
        <v>78</v>
      </c>
      <c r="CX3" s="85" t="s">
        <v>79</v>
      </c>
      <c r="CY3" s="85" t="s">
        <v>80</v>
      </c>
      <c r="CZ3" s="84" t="s">
        <v>81</v>
      </c>
      <c r="DA3" s="83" t="s">
        <v>75</v>
      </c>
      <c r="DB3" s="85" t="s">
        <v>24</v>
      </c>
      <c r="DC3" s="85" t="s">
        <v>78</v>
      </c>
      <c r="DD3" s="85" t="s">
        <v>79</v>
      </c>
      <c r="DE3" s="85" t="s">
        <v>80</v>
      </c>
      <c r="DF3" s="84" t="s">
        <v>81</v>
      </c>
      <c r="DG3" s="83" t="s">
        <v>75</v>
      </c>
      <c r="DH3" s="85" t="s">
        <v>24</v>
      </c>
      <c r="DI3" s="85" t="s">
        <v>78</v>
      </c>
      <c r="DJ3" s="85" t="s">
        <v>79</v>
      </c>
      <c r="DK3" s="85" t="s">
        <v>80</v>
      </c>
      <c r="DL3" s="84" t="s">
        <v>81</v>
      </c>
      <c r="DO3" s="85" t="s">
        <v>78</v>
      </c>
      <c r="DP3" s="85" t="s">
        <v>79</v>
      </c>
      <c r="DQ3" s="85" t="s">
        <v>80</v>
      </c>
      <c r="DR3" s="84" t="s">
        <v>81</v>
      </c>
      <c r="DU3" s="85" t="s">
        <v>78</v>
      </c>
      <c r="DV3" s="85" t="s">
        <v>79</v>
      </c>
      <c r="DW3" s="85" t="s">
        <v>80</v>
      </c>
      <c r="DX3" s="84" t="s">
        <v>81</v>
      </c>
      <c r="EA3" s="85" t="s">
        <v>78</v>
      </c>
      <c r="EB3" s="85" t="s">
        <v>79</v>
      </c>
      <c r="EC3" s="85" t="s">
        <v>80</v>
      </c>
      <c r="ED3" s="84" t="s">
        <v>81</v>
      </c>
      <c r="EG3" s="85" t="s">
        <v>78</v>
      </c>
      <c r="EH3" s="85" t="s">
        <v>79</v>
      </c>
      <c r="EI3" s="85" t="s">
        <v>80</v>
      </c>
      <c r="EJ3" s="84" t="s">
        <v>81</v>
      </c>
      <c r="EM3" s="85" t="s">
        <v>78</v>
      </c>
      <c r="EN3" s="85" t="s">
        <v>79</v>
      </c>
      <c r="EO3" s="85" t="s">
        <v>80</v>
      </c>
      <c r="EP3" s="85" t="s">
        <v>81</v>
      </c>
      <c r="EQ3" s="85" t="s">
        <v>83</v>
      </c>
      <c r="ER3" s="83" t="s">
        <v>75</v>
      </c>
      <c r="ES3" s="85" t="s">
        <v>24</v>
      </c>
      <c r="ET3" s="85" t="s">
        <v>78</v>
      </c>
      <c r="EU3" s="85" t="s">
        <v>79</v>
      </c>
      <c r="EV3" s="85" t="s">
        <v>80</v>
      </c>
      <c r="EW3" s="85" t="s">
        <v>81</v>
      </c>
      <c r="EX3" s="83" t="s">
        <v>75</v>
      </c>
      <c r="EY3" s="85" t="s">
        <v>24</v>
      </c>
      <c r="EZ3" s="85" t="s">
        <v>78</v>
      </c>
      <c r="FA3" s="85" t="s">
        <v>79</v>
      </c>
      <c r="FB3" s="85" t="s">
        <v>80</v>
      </c>
      <c r="FC3" s="85" t="s">
        <v>81</v>
      </c>
    </row>
    <row r="4" spans="1:165" x14ac:dyDescent="0.25">
      <c r="A4" s="10">
        <v>45047</v>
      </c>
      <c r="B4" s="7">
        <f t="shared" ref="B4:AW4" si="0">VLOOKUP($A$4,$A$5:$BB$100,B1,FALSE)</f>
        <v>90</v>
      </c>
      <c r="C4" s="7">
        <f t="shared" si="0"/>
        <v>37</v>
      </c>
      <c r="D4" s="7">
        <f t="shared" si="0"/>
        <v>31</v>
      </c>
      <c r="E4" s="7">
        <f t="shared" si="0"/>
        <v>63.5</v>
      </c>
      <c r="F4" s="7">
        <f t="shared" si="0"/>
        <v>0</v>
      </c>
      <c r="G4" s="7">
        <f t="shared" si="0"/>
        <v>0</v>
      </c>
      <c r="H4" s="7">
        <f t="shared" si="0"/>
        <v>39</v>
      </c>
      <c r="I4" s="7">
        <f t="shared" si="0"/>
        <v>46</v>
      </c>
      <c r="J4" s="7">
        <f t="shared" si="0"/>
        <v>5</v>
      </c>
      <c r="K4" s="7">
        <f t="shared" si="0"/>
        <v>43</v>
      </c>
      <c r="L4" s="7">
        <f t="shared" si="0"/>
        <v>83</v>
      </c>
      <c r="M4" s="7">
        <f t="shared" si="0"/>
        <v>42</v>
      </c>
      <c r="N4" s="7">
        <f t="shared" si="0"/>
        <v>35</v>
      </c>
      <c r="O4" s="7">
        <f t="shared" si="0"/>
        <v>62.5</v>
      </c>
      <c r="P4" s="7">
        <f t="shared" si="0"/>
        <v>0</v>
      </c>
      <c r="Q4" s="7">
        <f t="shared" si="0"/>
        <v>0</v>
      </c>
      <c r="R4" s="7">
        <f t="shared" si="0"/>
        <v>32</v>
      </c>
      <c r="S4" s="7">
        <f t="shared" si="0"/>
        <v>40</v>
      </c>
      <c r="T4" s="7">
        <f t="shared" si="0"/>
        <v>21</v>
      </c>
      <c r="U4" s="7">
        <f t="shared" si="0"/>
        <v>38</v>
      </c>
      <c r="V4" s="7">
        <f t="shared" si="0"/>
        <v>92</v>
      </c>
      <c r="W4" s="7">
        <f t="shared" si="0"/>
        <v>37</v>
      </c>
      <c r="X4" s="7">
        <f t="shared" si="0"/>
        <v>30</v>
      </c>
      <c r="Y4" s="7">
        <f t="shared" si="0"/>
        <v>64.5</v>
      </c>
      <c r="Z4" s="7">
        <f t="shared" si="0"/>
        <v>27</v>
      </c>
      <c r="AA4" s="7">
        <f t="shared" si="0"/>
        <v>34</v>
      </c>
      <c r="AB4" s="7">
        <f t="shared" si="0"/>
        <v>47</v>
      </c>
      <c r="AC4" s="7">
        <f t="shared" si="0"/>
        <v>40</v>
      </c>
      <c r="AD4" s="7">
        <f t="shared" si="0"/>
        <v>107</v>
      </c>
      <c r="AE4" s="7">
        <f t="shared" si="0"/>
        <v>102</v>
      </c>
      <c r="AF4" s="7">
        <f t="shared" si="0"/>
        <v>111</v>
      </c>
      <c r="AG4" s="7">
        <f t="shared" si="0"/>
        <v>726</v>
      </c>
      <c r="AH4" s="7">
        <f t="shared" si="0"/>
        <v>785</v>
      </c>
      <c r="AI4" s="7">
        <f t="shared" si="0"/>
        <v>764</v>
      </c>
      <c r="AJ4" s="7">
        <f t="shared" si="0"/>
        <v>24.370823529411766</v>
      </c>
      <c r="AK4" s="7">
        <f t="shared" si="0"/>
        <v>25.12</v>
      </c>
      <c r="AL4" s="7">
        <f t="shared" si="0"/>
        <v>26.605176470588241</v>
      </c>
      <c r="AM4" s="7">
        <f t="shared" si="0"/>
        <v>0</v>
      </c>
      <c r="AN4" s="7">
        <f t="shared" si="0"/>
        <v>0</v>
      </c>
      <c r="AO4" s="7">
        <f t="shared" si="0"/>
        <v>0</v>
      </c>
      <c r="AP4" s="7">
        <f t="shared" si="0"/>
        <v>0</v>
      </c>
      <c r="AQ4" s="7">
        <f t="shared" si="0"/>
        <v>0</v>
      </c>
      <c r="AR4" s="7">
        <f t="shared" si="0"/>
        <v>0</v>
      </c>
      <c r="AS4" s="7">
        <f t="shared" si="0"/>
        <v>0</v>
      </c>
      <c r="AT4" s="7">
        <f t="shared" si="0"/>
        <v>0</v>
      </c>
      <c r="AU4" s="7">
        <f t="shared" si="0"/>
        <v>0</v>
      </c>
      <c r="AV4" s="7">
        <f t="shared" si="0"/>
        <v>0</v>
      </c>
      <c r="AW4" s="7">
        <f t="shared" si="0"/>
        <v>0</v>
      </c>
      <c r="AX4" s="7"/>
      <c r="BD4" s="7"/>
    </row>
    <row r="5" spans="1:165" ht="15.75" x14ac:dyDescent="0.25">
      <c r="A5" s="1">
        <v>43367</v>
      </c>
      <c r="B5" s="40">
        <v>77</v>
      </c>
      <c r="C5" s="64">
        <v>43</v>
      </c>
      <c r="D5" s="64">
        <v>33</v>
      </c>
      <c r="E5" s="7">
        <f t="shared" ref="E5:E51" si="1">AVERAGE(B5:C5)</f>
        <v>60</v>
      </c>
      <c r="F5" s="64">
        <v>2</v>
      </c>
      <c r="G5" s="64">
        <v>45</v>
      </c>
      <c r="H5" s="64">
        <v>26</v>
      </c>
      <c r="I5" s="64">
        <v>46</v>
      </c>
      <c r="J5" s="64"/>
      <c r="K5" s="5">
        <f t="shared" ref="K5:K25" si="2">AVERAGE(BE5,BK5,BQ5,BW5,CC5,CI5,DA5,DG5)</f>
        <v>26.375</v>
      </c>
      <c r="L5" s="99"/>
      <c r="M5" s="40"/>
      <c r="N5" s="40"/>
      <c r="O5" s="40"/>
      <c r="P5" s="40"/>
      <c r="Q5" s="40"/>
      <c r="R5" s="40"/>
      <c r="S5" s="40"/>
      <c r="T5" s="40"/>
      <c r="U5" s="100"/>
      <c r="V5" s="13"/>
      <c r="W5" s="13"/>
      <c r="X5" s="13"/>
      <c r="Y5" s="13"/>
      <c r="Z5" s="13"/>
      <c r="AA5" s="13"/>
      <c r="AB5" s="13"/>
      <c r="AC5" s="13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13"/>
      <c r="AO5" s="7">
        <f>((AVERAGE(K5,AN5)*('Summary Page'!$C$2+1))*('Summary Page'!$C$2+1))*('Summary Page'!$C$2+1)</f>
        <v>41.168631999999988</v>
      </c>
      <c r="AP5" s="7">
        <f>((AVERAGE(K5,AN5)*('Summary Page'!$C$3+1))*('Summary Page'!$C$3+1))*('Summary Page'!$C$3+1)</f>
        <v>51.513671875</v>
      </c>
      <c r="AQ5" s="7">
        <f>((AVERAGE(K5,AN5)*('Summary Page'!$C$4+1))*('Summary Page'!$C$4+1))*('Summary Page'!$C$4+1)</f>
        <v>45.575999999999993</v>
      </c>
      <c r="AR5" s="7">
        <v>80</v>
      </c>
      <c r="AS5" s="5">
        <f t="shared" ref="AS5:AS29" si="3">AVERAGE(MAX(C5,D5),MAX(F5,G5),MAX(H5,I5))</f>
        <v>44.666666666666664</v>
      </c>
      <c r="AT5" s="13"/>
      <c r="AU5" s="13"/>
      <c r="AV5" s="7">
        <f>((AVERAGE(AS5,AU5)*('Summary Page'!$C$2+1))*('Summary Page'!$C$2+1))*('Summary Page'!$C$2+1)</f>
        <v>69.720021333333321</v>
      </c>
      <c r="AW5" s="7">
        <f>((AVERAGE(AS5,AU5)*('Summary Page'!$C$3+1))*('Summary Page'!$C$3+1))*('Summary Page'!$C$3+1)</f>
        <v>87.239583333333314</v>
      </c>
      <c r="AX5" s="8">
        <f>((AVERAGE(AS5,AU5)*('Summary Page'!$C$4+1))*('Summary Page'!$C$4+1))*('Summary Page'!$C$4+1)</f>
        <v>77.183999999999983</v>
      </c>
      <c r="BA5" s="40"/>
      <c r="BB5" s="7">
        <f>((AVERAGE(B5,BA5)*('Summary Page'!$C$2+1))*('Summary Page'!$C$2+1))*('Summary Page'!$C$2+1)</f>
        <v>120.18899199999997</v>
      </c>
      <c r="BC5" s="7">
        <f>((AVERAGE(B5,BA5)*('Summary Page'!$C$3+1))*('Summary Page'!$C$3+1))*('Summary Page'!$C$3+1)</f>
        <v>150.390625</v>
      </c>
      <c r="BD5" s="7">
        <f>((AVERAGE(B5,BA5)*('Summary Page'!$C$4+1))*('Summary Page'!$C$4+1))*('Summary Page'!$C$4+1)</f>
        <v>133.05599999999998</v>
      </c>
      <c r="BE5" s="64">
        <v>33</v>
      </c>
      <c r="BF5" s="69"/>
      <c r="BG5" s="40"/>
      <c r="BH5" s="7">
        <f>((AVERAGE(BE5,BG5)*('Summary Page'!$C$2+1))*('Summary Page'!$C$2+1))*('Summary Page'!$C$2+1)</f>
        <v>51.50956799999998</v>
      </c>
      <c r="BI5" s="7">
        <f>((AVERAGE(BE5,BG5)*('Summary Page'!$C$3+1))*('Summary Page'!$C$3+1))*('Summary Page'!$C$3+1)</f>
        <v>64.453125</v>
      </c>
      <c r="BJ5" s="7">
        <f>((AVERAGE(BE5,BG5)*('Summary Page'!$C$4+1))*('Summary Page'!$C$4+1))*('Summary Page'!$C$4+1)</f>
        <v>57.024000000000001</v>
      </c>
      <c r="BK5" s="64">
        <v>28</v>
      </c>
      <c r="BL5" s="40"/>
      <c r="BM5" s="40"/>
      <c r="BN5" s="7">
        <f>((AVERAGE(BK5,BM5)*('Summary Page'!$C$2+1))*('Summary Page'!$C$2+1))*('Summary Page'!$C$2+1)</f>
        <v>43.705087999999989</v>
      </c>
      <c r="BO5" s="7">
        <f>((AVERAGE(BK5,BM5)*('Summary Page'!$C$3+1))*('Summary Page'!$C$3+1))*('Summary Page'!$C$3+1)</f>
        <v>54.6875</v>
      </c>
      <c r="BP5" s="7">
        <f>((AVERAGE(BK5,BM5)*('Summary Page'!$C$4+1))*('Summary Page'!$C$4+1))*('Summary Page'!$C$4+1)</f>
        <v>48.384</v>
      </c>
      <c r="BQ5" s="64">
        <v>28</v>
      </c>
      <c r="BR5" s="40"/>
      <c r="BS5" s="40"/>
      <c r="BT5" s="7">
        <f>((AVERAGE(BQ5,BS5)*('Summary Page'!$C$2+1))*('Summary Page'!$C$2+1))*('Summary Page'!$C$2+1)</f>
        <v>43.705087999999989</v>
      </c>
      <c r="BU5" s="7">
        <f>((AVERAGE(BQ5,BS5)*('Summary Page'!$C$3+1))*('Summary Page'!$C$3+1))*('Summary Page'!$C$3+1)</f>
        <v>54.6875</v>
      </c>
      <c r="BV5" s="8">
        <f>((AVERAGE(BQ5,BS5)*('Summary Page'!$C$4+1))*('Summary Page'!$C$4+1))*('Summary Page'!$C$4+1)</f>
        <v>48.384</v>
      </c>
      <c r="BW5" s="64">
        <v>31</v>
      </c>
      <c r="BX5" s="40"/>
      <c r="BY5" s="40"/>
      <c r="BZ5" s="7">
        <f>((AVERAGE(BW5,BY5)*('Summary Page'!$C$2+1))*('Summary Page'!$C$2+1))*('Summary Page'!$C$2+1)</f>
        <v>48.387775999999995</v>
      </c>
      <c r="CA5" s="7">
        <f>((AVERAGE(BW5,BY5)*('Summary Page'!$C$3+1))*('Summary Page'!$C$3+1))*('Summary Page'!$C$3+1)</f>
        <v>60.546875</v>
      </c>
      <c r="CB5" s="8">
        <f>((AVERAGE(BW5,BY5)*('Summary Page'!$C$4+1))*('Summary Page'!$C$4+1))*('Summary Page'!$C$4+1)</f>
        <v>53.567999999999991</v>
      </c>
      <c r="CC5" s="64">
        <v>28</v>
      </c>
      <c r="CD5" s="40"/>
      <c r="CE5" s="40"/>
      <c r="CF5" s="7">
        <f>((AVERAGE(CC5,CE5)*('Summary Page'!$C$2+1))*('Summary Page'!$C$2+1))*('Summary Page'!$C$2+1)</f>
        <v>43.705087999999989</v>
      </c>
      <c r="CG5" s="7">
        <f>((AVERAGE(CC5,CE5)*('Summary Page'!$C$3+1))*('Summary Page'!$C$3+1))*('Summary Page'!$C$3+1)</f>
        <v>54.6875</v>
      </c>
      <c r="CH5" s="8">
        <f>((AVERAGE(CC5,CE5)*('Summary Page'!$C$4+1))*('Summary Page'!$C$4+1))*('Summary Page'!$C$4+1)</f>
        <v>48.384</v>
      </c>
      <c r="CI5" s="64">
        <v>20</v>
      </c>
      <c r="CJ5" s="40"/>
      <c r="CK5" s="40"/>
      <c r="CL5" s="7">
        <f>((AVERAGE(CI5,CK5)*('Summary Page'!$C$2+1))*('Summary Page'!$C$2+1))*('Summary Page'!$C$2+1)</f>
        <v>31.217919999999996</v>
      </c>
      <c r="CM5" s="7">
        <f>((AVERAGE(CI5,CK5)*('Summary Page'!$C$3+1))*('Summary Page'!$C$3+1))*('Summary Page'!$C$3+1)</f>
        <v>39.0625</v>
      </c>
      <c r="CN5" s="8">
        <f>((AVERAGE(CI5,CK5)*('Summary Page'!$C$4+1))*('Summary Page'!$C$4+1))*('Summary Page'!$C$4+1)</f>
        <v>34.559999999999995</v>
      </c>
      <c r="CQ5" s="40"/>
      <c r="CR5" s="7">
        <f>((AVERAGE(C5,CQ5)*('Summary Page'!$C$2+1))*('Summary Page'!$C$2+1))*('Summary Page'!$C$2+1)</f>
        <v>67.118527999999984</v>
      </c>
      <c r="CS5" s="7">
        <f>((AVERAGE(C5,CQ5)*('Summary Page'!$C$3+1))*('Summary Page'!$C$3+1))*('Summary Page'!$C$3+1)</f>
        <v>83.984375</v>
      </c>
      <c r="CT5" s="8">
        <f>((AVERAGE(C5,CQ5)*('Summary Page'!$C$4+1))*('Summary Page'!$C$4+1))*('Summary Page'!$C$4+1)</f>
        <v>74.304000000000002</v>
      </c>
      <c r="CW5" s="40"/>
      <c r="CX5" s="7">
        <f>((AVERAGE(D5,CW5)*('Summary Page'!$C$2+1))*('Summary Page'!$C$2+1))*('Summary Page'!$C$2+1)</f>
        <v>51.50956799999998</v>
      </c>
      <c r="CY5" s="7">
        <f>((AVERAGE(D5,CW5)*('Summary Page'!$C$3+1))*('Summary Page'!$C$3+1))*('Summary Page'!$C$3+1)</f>
        <v>64.453125</v>
      </c>
      <c r="CZ5" s="8">
        <f>((AVERAGE(D5,CW5)*('Summary Page'!$C$4+1))*('Summary Page'!$C$4+1))*('Summary Page'!$C$4+1)</f>
        <v>57.024000000000001</v>
      </c>
      <c r="DA5" s="64">
        <v>20</v>
      </c>
      <c r="DB5" s="40"/>
      <c r="DC5" s="40"/>
      <c r="DD5" s="7">
        <f>((AVERAGE(DA5,DC5)*('Summary Page'!$C$2+1))*('Summary Page'!$C$2+1))*('Summary Page'!$C$2+1)</f>
        <v>31.217919999999996</v>
      </c>
      <c r="DE5" s="7">
        <f>((AVERAGE(DA5,DC5)*('Summary Page'!$C$3+1))*('Summary Page'!$C$3+1))*('Summary Page'!$C$3+1)</f>
        <v>39.0625</v>
      </c>
      <c r="DF5" s="8">
        <f>((AVERAGE(DA5,DC5)*('Summary Page'!$C$4+1))*('Summary Page'!$C$4+1))*('Summary Page'!$C$4+1)</f>
        <v>34.559999999999995</v>
      </c>
      <c r="DG5" s="64">
        <v>23</v>
      </c>
      <c r="DH5" s="40"/>
      <c r="DI5" s="40"/>
      <c r="DJ5" s="7">
        <f>((AVERAGE(DG5,DI5)*('Summary Page'!$C$2+1))*('Summary Page'!$C$2+1))*('Summary Page'!$C$2+1)</f>
        <v>35.900607999999998</v>
      </c>
      <c r="DK5" s="7">
        <f>((AVERAGE(DG5,DI5)*('Summary Page'!$C$3+1))*('Summary Page'!$C$3+1))*('Summary Page'!$C$3+1)</f>
        <v>44.921875</v>
      </c>
      <c r="DL5" s="8">
        <f>((AVERAGE(DG5,DI5)*('Summary Page'!$C$4+1))*('Summary Page'!$C$4+1))*('Summary Page'!$C$4+1)</f>
        <v>39.743999999999993</v>
      </c>
      <c r="DO5" s="40"/>
      <c r="DP5" s="7">
        <f>((AVERAGE(F5,DO5)*('Summary Page'!$C$2+1))*('Summary Page'!$C$2+1))*('Summary Page'!$C$2+1)</f>
        <v>3.1217919999999997</v>
      </c>
      <c r="DQ5" s="7">
        <f>((AVERAGE(F5,DO5)*('Summary Page'!$C$3+1))*('Summary Page'!$C$3+1))*('Summary Page'!$C$3+1)</f>
        <v>3.90625</v>
      </c>
      <c r="DR5" s="8">
        <f>((AVERAGE(F5,DO5)*('Summary Page'!$C$4+1))*('Summary Page'!$C$4+1))*('Summary Page'!$C$4+1)</f>
        <v>3.456</v>
      </c>
      <c r="DU5" s="40"/>
      <c r="DV5" s="7">
        <f>((AVERAGE(G5,DU5)*('Summary Page'!$C$2+1))*('Summary Page'!$C$2+1))*('Summary Page'!$C$2+1)</f>
        <v>70.240319999999983</v>
      </c>
      <c r="DW5" s="7">
        <f>((AVERAGE(G5,DU5)*('Summary Page'!$C$3+1))*('Summary Page'!$C$3+1))*('Summary Page'!$C$3+1)</f>
        <v>87.890625</v>
      </c>
      <c r="DX5" s="8">
        <f>((AVERAGE(G5,DU5)*('Summary Page'!$C$4+1))*('Summary Page'!$C$4+1))*('Summary Page'!$C$4+1)</f>
        <v>77.759999999999991</v>
      </c>
      <c r="EA5" s="40"/>
      <c r="EB5" s="7">
        <f>((AVERAGE(H5,EA5)*('Summary Page'!$C$2+1))*('Summary Page'!$C$2+1))*('Summary Page'!$C$2+1)</f>
        <v>40.58329599999999</v>
      </c>
      <c r="EC5" s="7">
        <f>((AVERAGE(H5,EA5)*('Summary Page'!$C$3+1))*('Summary Page'!$C$3+1))*('Summary Page'!$C$3+1)</f>
        <v>50.78125</v>
      </c>
      <c r="ED5" s="8">
        <f>((AVERAGE(H5,EA5)*('Summary Page'!$C$4+1))*('Summary Page'!$C$4+1))*('Summary Page'!$C$4+1)</f>
        <v>44.927999999999997</v>
      </c>
      <c r="EG5" s="40"/>
      <c r="EH5" s="7">
        <f>((AVERAGE(I5,EG5)*('Summary Page'!$C$2+1))*('Summary Page'!$C$2+1))*('Summary Page'!$C$2+1)</f>
        <v>71.801215999999997</v>
      </c>
      <c r="EI5" s="7">
        <f>((AVERAGE(I5,EG5)*('Summary Page'!$C$3+1))*('Summary Page'!$C$3+1))*('Summary Page'!$C$3+1)</f>
        <v>89.84375</v>
      </c>
      <c r="EJ5" s="8">
        <f>((AVERAGE(I5,EG5)*('Summary Page'!$C$4+1))*('Summary Page'!$C$4+1))*('Summary Page'!$C$4+1)</f>
        <v>79.487999999999985</v>
      </c>
      <c r="EM5" s="40"/>
      <c r="EN5" s="7" t="e">
        <f>((AVERAGE(AD5,EM5)*('Summary Page'!$C$2+1))*('Summary Page'!$C$2+1))*('Summary Page'!$C$2+1)</f>
        <v>#DIV/0!</v>
      </c>
      <c r="EO5" s="7" t="e">
        <f>((AVERAGE(AD5,EM5)*('Summary Page'!$C$3+1))*('Summary Page'!$C$3+1))*('Summary Page'!$C$3+1)</f>
        <v>#DIV/0!</v>
      </c>
      <c r="EP5" s="7" t="e">
        <f>((AVERAGE(AD5,EM5)*('Summary Page'!$C$4+1))*('Summary Page'!$C$4+1))*('Summary Page'!$C$4+1)</f>
        <v>#DIV/0!</v>
      </c>
      <c r="EQ5" s="7">
        <v>100</v>
      </c>
      <c r="ER5" s="9"/>
    </row>
    <row r="6" spans="1:165" ht="15.75" x14ac:dyDescent="0.25">
      <c r="A6" s="1">
        <v>43381</v>
      </c>
      <c r="B6" s="40">
        <v>79</v>
      </c>
      <c r="C6" s="64">
        <v>44</v>
      </c>
      <c r="D6" s="64">
        <v>33</v>
      </c>
      <c r="E6" s="7">
        <f t="shared" si="1"/>
        <v>61.5</v>
      </c>
      <c r="F6" s="64">
        <v>2</v>
      </c>
      <c r="G6" s="64">
        <v>39</v>
      </c>
      <c r="H6" s="64">
        <v>21</v>
      </c>
      <c r="I6" s="64">
        <v>45</v>
      </c>
      <c r="J6" s="64"/>
      <c r="K6" s="5">
        <f t="shared" si="2"/>
        <v>29.75</v>
      </c>
      <c r="L6" s="99"/>
      <c r="M6" s="40"/>
      <c r="N6" s="40"/>
      <c r="O6" s="40"/>
      <c r="P6" s="40"/>
      <c r="Q6" s="40"/>
      <c r="R6" s="40"/>
      <c r="S6" s="40"/>
      <c r="T6" s="40"/>
      <c r="U6" s="100"/>
      <c r="V6" s="13"/>
      <c r="W6" s="13"/>
      <c r="X6" s="13"/>
      <c r="Y6" s="13"/>
      <c r="Z6" s="13"/>
      <c r="AA6" s="13"/>
      <c r="AB6" s="13"/>
      <c r="AC6" s="13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13"/>
      <c r="AO6" s="7">
        <f>((AVERAGE(K6,AN6)*('Summary Page'!$C$2+1))*('Summary Page'!$C$2+1))*('Summary Page'!$C$2+1)</f>
        <v>46.436655999999992</v>
      </c>
      <c r="AP6" s="7">
        <f>((AVERAGE(K6,AN6)*('Summary Page'!$C$3+1))*('Summary Page'!$C$3+1))*('Summary Page'!$C$3+1)</f>
        <v>58.10546875</v>
      </c>
      <c r="AQ6" s="7">
        <f>((AVERAGE(K6,AN6)*('Summary Page'!$C$4+1))*('Summary Page'!$C$4+1))*('Summary Page'!$C$4+1)</f>
        <v>51.407999999999994</v>
      </c>
      <c r="AR6" s="7">
        <v>80</v>
      </c>
      <c r="AS6" s="5">
        <f t="shared" si="3"/>
        <v>42.666666666666664</v>
      </c>
      <c r="AT6" s="13"/>
      <c r="AU6" s="13"/>
      <c r="AV6" s="7">
        <f>((AVERAGE(AS6,AU6)*('Summary Page'!$C$2+1))*('Summary Page'!$C$2+1))*('Summary Page'!$C$2+1)</f>
        <v>66.598229333333308</v>
      </c>
      <c r="AW6" s="7">
        <f>((AVERAGE(AS6,AU6)*('Summary Page'!$C$3+1))*('Summary Page'!$C$3+1))*('Summary Page'!$C$3+1)</f>
        <v>83.333333333333314</v>
      </c>
      <c r="AX6" s="8">
        <f>((AVERAGE(AS6,AU6)*('Summary Page'!$C$4+1))*('Summary Page'!$C$4+1))*('Summary Page'!$C$4+1)</f>
        <v>73.72799999999998</v>
      </c>
      <c r="BA6" s="40"/>
      <c r="BB6" s="7">
        <f>((AVERAGE(B6,BA6)*('Summary Page'!$C$2+1))*('Summary Page'!$C$2+1))*('Summary Page'!$C$2+1)</f>
        <v>123.31078399999998</v>
      </c>
      <c r="BC6" s="7">
        <f>((AVERAGE(B6,BA6)*('Summary Page'!$C$3+1))*('Summary Page'!$C$3+1))*('Summary Page'!$C$3+1)</f>
        <v>154.296875</v>
      </c>
      <c r="BD6" s="7">
        <f>((AVERAGE(B6,BA6)*('Summary Page'!$C$4+1))*('Summary Page'!$C$4+1))*('Summary Page'!$C$4+1)</f>
        <v>136.51199999999997</v>
      </c>
      <c r="BE6" s="64">
        <v>37</v>
      </c>
      <c r="BF6" s="69"/>
      <c r="BG6" s="40"/>
      <c r="BH6" s="7">
        <f>((AVERAGE(BE6,BG6)*('Summary Page'!$C$2+1))*('Summary Page'!$C$2+1))*('Summary Page'!$C$2+1)</f>
        <v>57.753151999999986</v>
      </c>
      <c r="BI6" s="7">
        <f>((AVERAGE(BE6,BG6)*('Summary Page'!$C$3+1))*('Summary Page'!$C$3+1))*('Summary Page'!$C$3+1)</f>
        <v>72.265625</v>
      </c>
      <c r="BJ6" s="7">
        <f>((AVERAGE(BE6,BG6)*('Summary Page'!$C$4+1))*('Summary Page'!$C$4+1))*('Summary Page'!$C$4+1)</f>
        <v>63.935999999999993</v>
      </c>
      <c r="BK6" s="64">
        <v>32</v>
      </c>
      <c r="BL6" s="40"/>
      <c r="BM6" s="40"/>
      <c r="BN6" s="7">
        <f>((AVERAGE(BK6,BM6)*('Summary Page'!$C$2+1))*('Summary Page'!$C$2+1))*('Summary Page'!$C$2+1)</f>
        <v>49.948671999999995</v>
      </c>
      <c r="BO6" s="7">
        <f>((AVERAGE(BK6,BM6)*('Summary Page'!$C$3+1))*('Summary Page'!$C$3+1))*('Summary Page'!$C$3+1)</f>
        <v>62.5</v>
      </c>
      <c r="BP6" s="7">
        <f>((AVERAGE(BK6,BM6)*('Summary Page'!$C$4+1))*('Summary Page'!$C$4+1))*('Summary Page'!$C$4+1)</f>
        <v>55.295999999999999</v>
      </c>
      <c r="BQ6" s="64">
        <v>32</v>
      </c>
      <c r="BR6" s="40"/>
      <c r="BS6" s="40"/>
      <c r="BT6" s="7">
        <f>((AVERAGE(BQ6,BS6)*('Summary Page'!$C$2+1))*('Summary Page'!$C$2+1))*('Summary Page'!$C$2+1)</f>
        <v>49.948671999999995</v>
      </c>
      <c r="BU6" s="7">
        <f>((AVERAGE(BQ6,BS6)*('Summary Page'!$C$3+1))*('Summary Page'!$C$3+1))*('Summary Page'!$C$3+1)</f>
        <v>62.5</v>
      </c>
      <c r="BV6" s="8">
        <f>((AVERAGE(BQ6,BS6)*('Summary Page'!$C$4+1))*('Summary Page'!$C$4+1))*('Summary Page'!$C$4+1)</f>
        <v>55.295999999999999</v>
      </c>
      <c r="BW6" s="64">
        <v>27</v>
      </c>
      <c r="BX6" s="40"/>
      <c r="BY6" s="40"/>
      <c r="BZ6" s="7">
        <f>((AVERAGE(BW6,BY6)*('Summary Page'!$C$2+1))*('Summary Page'!$C$2+1))*('Summary Page'!$C$2+1)</f>
        <v>42.14419199999999</v>
      </c>
      <c r="CA6" s="7">
        <f>((AVERAGE(BW6,BY6)*('Summary Page'!$C$3+1))*('Summary Page'!$C$3+1))*('Summary Page'!$C$3+1)</f>
        <v>52.734375</v>
      </c>
      <c r="CB6" s="8">
        <f>((AVERAGE(BW6,BY6)*('Summary Page'!$C$4+1))*('Summary Page'!$C$4+1))*('Summary Page'!$C$4+1)</f>
        <v>46.655999999999992</v>
      </c>
      <c r="CC6" s="64">
        <v>29</v>
      </c>
      <c r="CD6" s="40"/>
      <c r="CE6" s="40"/>
      <c r="CF6" s="7">
        <f>((AVERAGE(CC6,CE6)*('Summary Page'!$C$2+1))*('Summary Page'!$C$2+1))*('Summary Page'!$C$2+1)</f>
        <v>45.265983999999996</v>
      </c>
      <c r="CG6" s="7">
        <f>((AVERAGE(CC6,CE6)*('Summary Page'!$C$3+1))*('Summary Page'!$C$3+1))*('Summary Page'!$C$3+1)</f>
        <v>56.640625</v>
      </c>
      <c r="CH6" s="8">
        <f>((AVERAGE(CC6,CE6)*('Summary Page'!$C$4+1))*('Summary Page'!$C$4+1))*('Summary Page'!$C$4+1)</f>
        <v>50.111999999999995</v>
      </c>
      <c r="CI6" s="64">
        <v>22</v>
      </c>
      <c r="CJ6" s="40"/>
      <c r="CK6" s="40"/>
      <c r="CL6" s="7">
        <f>((AVERAGE(CI6,CK6)*('Summary Page'!$C$2+1))*('Summary Page'!$C$2+1))*('Summary Page'!$C$2+1)</f>
        <v>34.339711999999992</v>
      </c>
      <c r="CM6" s="7">
        <f>((AVERAGE(CI6,CK6)*('Summary Page'!$C$3+1))*('Summary Page'!$C$3+1))*('Summary Page'!$C$3+1)</f>
        <v>42.96875</v>
      </c>
      <c r="CN6" s="8">
        <f>((AVERAGE(CI6,CK6)*('Summary Page'!$C$4+1))*('Summary Page'!$C$4+1))*('Summary Page'!$C$4+1)</f>
        <v>38.015999999999991</v>
      </c>
      <c r="CQ6" s="40"/>
      <c r="CR6" s="7">
        <f>((AVERAGE(C6,CQ6)*('Summary Page'!$C$2+1))*('Summary Page'!$C$2+1))*('Summary Page'!$C$2+1)</f>
        <v>68.679423999999983</v>
      </c>
      <c r="CS6" s="7">
        <f>((AVERAGE(C6,CQ6)*('Summary Page'!$C$3+1))*('Summary Page'!$C$3+1))*('Summary Page'!$C$3+1)</f>
        <v>85.9375</v>
      </c>
      <c r="CT6" s="8">
        <f>((AVERAGE(C6,CQ6)*('Summary Page'!$C$4+1))*('Summary Page'!$C$4+1))*('Summary Page'!$C$4+1)</f>
        <v>76.031999999999982</v>
      </c>
      <c r="CW6" s="40"/>
      <c r="CX6" s="7">
        <f>((AVERAGE(D6,CW6)*('Summary Page'!$C$2+1))*('Summary Page'!$C$2+1))*('Summary Page'!$C$2+1)</f>
        <v>51.50956799999998</v>
      </c>
      <c r="CY6" s="7">
        <f>((AVERAGE(D6,CW6)*('Summary Page'!$C$3+1))*('Summary Page'!$C$3+1))*('Summary Page'!$C$3+1)</f>
        <v>64.453125</v>
      </c>
      <c r="CZ6" s="8">
        <f>((AVERAGE(D6,CW6)*('Summary Page'!$C$4+1))*('Summary Page'!$C$4+1))*('Summary Page'!$C$4+1)</f>
        <v>57.024000000000001</v>
      </c>
      <c r="DA6" s="64">
        <v>29</v>
      </c>
      <c r="DB6" s="40"/>
      <c r="DC6" s="40"/>
      <c r="DD6" s="7">
        <f>((AVERAGE(DA6,DC6)*('Summary Page'!$C$2+1))*('Summary Page'!$C$2+1))*('Summary Page'!$C$2+1)</f>
        <v>45.265983999999996</v>
      </c>
      <c r="DE6" s="7">
        <f>((AVERAGE(DA6,DC6)*('Summary Page'!$C$3+1))*('Summary Page'!$C$3+1))*('Summary Page'!$C$3+1)</f>
        <v>56.640625</v>
      </c>
      <c r="DF6" s="8">
        <f>((AVERAGE(DA6,DC6)*('Summary Page'!$C$4+1))*('Summary Page'!$C$4+1))*('Summary Page'!$C$4+1)</f>
        <v>50.111999999999995</v>
      </c>
      <c r="DG6" s="64">
        <v>30</v>
      </c>
      <c r="DH6" s="40"/>
      <c r="DI6" s="40"/>
      <c r="DJ6" s="7">
        <f>((AVERAGE(DG6,DI6)*('Summary Page'!$C$2+1))*('Summary Page'!$C$2+1))*('Summary Page'!$C$2+1)</f>
        <v>46.826879999999989</v>
      </c>
      <c r="DK6" s="7">
        <f>((AVERAGE(DG6,DI6)*('Summary Page'!$C$3+1))*('Summary Page'!$C$3+1))*('Summary Page'!$C$3+1)</f>
        <v>58.59375</v>
      </c>
      <c r="DL6" s="8">
        <f>((AVERAGE(DG6,DI6)*('Summary Page'!$C$4+1))*('Summary Page'!$C$4+1))*('Summary Page'!$C$4+1)</f>
        <v>51.839999999999996</v>
      </c>
      <c r="DO6" s="40"/>
      <c r="DP6" s="7">
        <f>((AVERAGE(F6,DO6)*('Summary Page'!$C$2+1))*('Summary Page'!$C$2+1))*('Summary Page'!$C$2+1)</f>
        <v>3.1217919999999997</v>
      </c>
      <c r="DQ6" s="7">
        <f>((AVERAGE(F6,DO6)*('Summary Page'!$C$3+1))*('Summary Page'!$C$3+1))*('Summary Page'!$C$3+1)</f>
        <v>3.90625</v>
      </c>
      <c r="DR6" s="8">
        <f>((AVERAGE(F6,DO6)*('Summary Page'!$C$4+1))*('Summary Page'!$C$4+1))*('Summary Page'!$C$4+1)</f>
        <v>3.456</v>
      </c>
      <c r="DU6" s="40"/>
      <c r="DV6" s="7">
        <f>((AVERAGE(G6,DU6)*('Summary Page'!$C$2+1))*('Summary Page'!$C$2+1))*('Summary Page'!$C$2+1)</f>
        <v>60.874943999999985</v>
      </c>
      <c r="DW6" s="7">
        <f>((AVERAGE(G6,DU6)*('Summary Page'!$C$3+1))*('Summary Page'!$C$3+1))*('Summary Page'!$C$3+1)</f>
        <v>76.171875</v>
      </c>
      <c r="DX6" s="8">
        <f>((AVERAGE(G6,DU6)*('Summary Page'!$C$4+1))*('Summary Page'!$C$4+1))*('Summary Page'!$C$4+1)</f>
        <v>67.391999999999996</v>
      </c>
      <c r="EA6" s="40"/>
      <c r="EB6" s="7">
        <f>((AVERAGE(H6,EA6)*('Summary Page'!$C$2+1))*('Summary Page'!$C$2+1))*('Summary Page'!$C$2+1)</f>
        <v>32.778815999999992</v>
      </c>
      <c r="EC6" s="7">
        <f>((AVERAGE(H6,EA6)*('Summary Page'!$C$3+1))*('Summary Page'!$C$3+1))*('Summary Page'!$C$3+1)</f>
        <v>41.015625</v>
      </c>
      <c r="ED6" s="8">
        <f>((AVERAGE(H6,EA6)*('Summary Page'!$C$4+1))*('Summary Page'!$C$4+1))*('Summary Page'!$C$4+1)</f>
        <v>36.287999999999997</v>
      </c>
      <c r="EG6" s="40"/>
      <c r="EH6" s="7">
        <f>((AVERAGE(I6,EG6)*('Summary Page'!$C$2+1))*('Summary Page'!$C$2+1))*('Summary Page'!$C$2+1)</f>
        <v>70.240319999999983</v>
      </c>
      <c r="EI6" s="7">
        <f>((AVERAGE(I6,EG6)*('Summary Page'!$C$3+1))*('Summary Page'!$C$3+1))*('Summary Page'!$C$3+1)</f>
        <v>87.890625</v>
      </c>
      <c r="EJ6" s="8">
        <f>((AVERAGE(I6,EG6)*('Summary Page'!$C$4+1))*('Summary Page'!$C$4+1))*('Summary Page'!$C$4+1)</f>
        <v>77.759999999999991</v>
      </c>
      <c r="EM6" s="40"/>
      <c r="EN6" s="7" t="e">
        <f>((AVERAGE(AD6,EM6)*('Summary Page'!$C$2+1))*('Summary Page'!$C$2+1))*('Summary Page'!$C$2+1)</f>
        <v>#DIV/0!</v>
      </c>
      <c r="EO6" s="7" t="e">
        <f>((AVERAGE(AD6,EM6)*('Summary Page'!$C$3+1))*('Summary Page'!$C$3+1))*('Summary Page'!$C$3+1)</f>
        <v>#DIV/0!</v>
      </c>
      <c r="EP6" s="7" t="e">
        <f>((AVERAGE(AD6,EM6)*('Summary Page'!$C$4+1))*('Summary Page'!$C$4+1))*('Summary Page'!$C$4+1)</f>
        <v>#DIV/0!</v>
      </c>
      <c r="EQ6" s="7">
        <v>100</v>
      </c>
      <c r="ER6" s="9"/>
    </row>
    <row r="7" spans="1:165" ht="15.75" x14ac:dyDescent="0.25">
      <c r="A7" s="1">
        <v>43402</v>
      </c>
      <c r="B7" s="40">
        <v>87</v>
      </c>
      <c r="C7" s="64">
        <v>41</v>
      </c>
      <c r="D7" s="64">
        <v>33</v>
      </c>
      <c r="E7" s="7">
        <f t="shared" si="1"/>
        <v>64</v>
      </c>
      <c r="F7" s="64">
        <v>2</v>
      </c>
      <c r="G7" s="64">
        <v>24</v>
      </c>
      <c r="H7" s="64">
        <v>18</v>
      </c>
      <c r="I7" s="64">
        <v>47</v>
      </c>
      <c r="J7" s="64"/>
      <c r="K7" s="5">
        <f t="shared" si="2"/>
        <v>30</v>
      </c>
      <c r="L7" s="101"/>
      <c r="M7" s="6"/>
      <c r="N7" s="40"/>
      <c r="O7" s="40"/>
      <c r="P7" s="40"/>
      <c r="Q7" s="40"/>
      <c r="R7" s="40"/>
      <c r="S7" s="40"/>
      <c r="T7" s="40"/>
      <c r="U7" s="100"/>
      <c r="V7" s="13"/>
      <c r="W7" s="13"/>
      <c r="X7" s="13"/>
      <c r="Y7" s="13"/>
      <c r="Z7" s="13"/>
      <c r="AA7" s="13"/>
      <c r="AB7" s="13"/>
      <c r="AC7" s="13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13"/>
      <c r="AO7" s="7">
        <f>((AVERAGE(K7,AN7)*('Summary Page'!$C$2+1))*('Summary Page'!$C$2+1))*('Summary Page'!$C$2+1)</f>
        <v>46.826879999999989</v>
      </c>
      <c r="AP7" s="7">
        <f>((AVERAGE(K7,AN7)*('Summary Page'!$C$3+1))*('Summary Page'!$C$3+1))*('Summary Page'!$C$3+1)</f>
        <v>58.59375</v>
      </c>
      <c r="AQ7" s="7">
        <f>((AVERAGE(K7,AN7)*('Summary Page'!$C$4+1))*('Summary Page'!$C$4+1))*('Summary Page'!$C$4+1)</f>
        <v>51.839999999999996</v>
      </c>
      <c r="AR7" s="7">
        <v>80</v>
      </c>
      <c r="AS7" s="5">
        <f t="shared" si="3"/>
        <v>37.333333333333336</v>
      </c>
      <c r="AT7" s="13"/>
      <c r="AU7" s="13"/>
      <c r="AV7" s="7">
        <f>((AVERAGE(AS7,AU7)*('Summary Page'!$C$2+1))*('Summary Page'!$C$2+1))*('Summary Page'!$C$2+1)</f>
        <v>58.273450666666655</v>
      </c>
      <c r="AW7" s="7">
        <f>((AVERAGE(AS7,AU7)*('Summary Page'!$C$3+1))*('Summary Page'!$C$3+1))*('Summary Page'!$C$3+1)</f>
        <v>72.916666666666686</v>
      </c>
      <c r="AX7" s="8">
        <f>((AVERAGE(AS7,AU7)*('Summary Page'!$C$4+1))*('Summary Page'!$C$4+1))*('Summary Page'!$C$4+1)</f>
        <v>64.512</v>
      </c>
      <c r="BA7" s="6"/>
      <c r="BB7" s="7">
        <f>((AVERAGE(B7,BA7)*('Summary Page'!$C$2+1))*('Summary Page'!$C$2+1))*('Summary Page'!$C$2+1)</f>
        <v>135.79795199999995</v>
      </c>
      <c r="BC7" s="7">
        <f>((AVERAGE(B7,BA7)*('Summary Page'!$C$3+1))*('Summary Page'!$C$3+1))*('Summary Page'!$C$3+1)</f>
        <v>169.921875</v>
      </c>
      <c r="BD7" s="7">
        <f>((AVERAGE(B7,BA7)*('Summary Page'!$C$4+1))*('Summary Page'!$C$4+1))*('Summary Page'!$C$4+1)</f>
        <v>150.33599999999998</v>
      </c>
      <c r="BE7" s="64">
        <v>32</v>
      </c>
      <c r="BF7" s="37"/>
      <c r="BG7" s="6"/>
      <c r="BH7" s="7">
        <f>((AVERAGE(BE7,BG7)*('Summary Page'!$C$2+1))*('Summary Page'!$C$2+1))*('Summary Page'!$C$2+1)</f>
        <v>49.948671999999995</v>
      </c>
      <c r="BI7" s="7">
        <f>((AVERAGE(BE7,BG7)*('Summary Page'!$C$3+1))*('Summary Page'!$C$3+1))*('Summary Page'!$C$3+1)</f>
        <v>62.5</v>
      </c>
      <c r="BJ7" s="7">
        <f>((AVERAGE(BE7,BG7)*('Summary Page'!$C$4+1))*('Summary Page'!$C$4+1))*('Summary Page'!$C$4+1)</f>
        <v>55.295999999999999</v>
      </c>
      <c r="BK7" s="64">
        <v>27</v>
      </c>
      <c r="BL7" s="6"/>
      <c r="BM7" s="6"/>
      <c r="BN7" s="7">
        <f>((AVERAGE(BK7,BM7)*('Summary Page'!$C$2+1))*('Summary Page'!$C$2+1))*('Summary Page'!$C$2+1)</f>
        <v>42.14419199999999</v>
      </c>
      <c r="BO7" s="7">
        <f>((AVERAGE(BK7,BM7)*('Summary Page'!$C$3+1))*('Summary Page'!$C$3+1))*('Summary Page'!$C$3+1)</f>
        <v>52.734375</v>
      </c>
      <c r="BP7" s="7">
        <f>((AVERAGE(BK7,BM7)*('Summary Page'!$C$4+1))*('Summary Page'!$C$4+1))*('Summary Page'!$C$4+1)</f>
        <v>46.655999999999992</v>
      </c>
      <c r="BQ7" s="64">
        <v>48</v>
      </c>
      <c r="BR7" s="6"/>
      <c r="BS7" s="6"/>
      <c r="BT7" s="7">
        <f>((AVERAGE(BQ7,BS7)*('Summary Page'!$C$2+1))*('Summary Page'!$C$2+1))*('Summary Page'!$C$2+1)</f>
        <v>74.923007999999982</v>
      </c>
      <c r="BU7" s="7">
        <f>((AVERAGE(BQ7,BS7)*('Summary Page'!$C$3+1))*('Summary Page'!$C$3+1))*('Summary Page'!$C$3+1)</f>
        <v>93.75</v>
      </c>
      <c r="BV7" s="8">
        <f>((AVERAGE(BQ7,BS7)*('Summary Page'!$C$4+1))*('Summary Page'!$C$4+1))*('Summary Page'!$C$4+1)</f>
        <v>82.943999999999988</v>
      </c>
      <c r="BW7" s="64">
        <v>36</v>
      </c>
      <c r="BX7" s="6"/>
      <c r="BY7" s="6"/>
      <c r="BZ7" s="7">
        <f>((AVERAGE(BW7,BY7)*('Summary Page'!$C$2+1))*('Summary Page'!$C$2+1))*('Summary Page'!$C$2+1)</f>
        <v>56.192255999999986</v>
      </c>
      <c r="CA7" s="7">
        <f>((AVERAGE(BW7,BY7)*('Summary Page'!$C$3+1))*('Summary Page'!$C$3+1))*('Summary Page'!$C$3+1)</f>
        <v>70.3125</v>
      </c>
      <c r="CB7" s="8">
        <f>((AVERAGE(BW7,BY7)*('Summary Page'!$C$4+1))*('Summary Page'!$C$4+1))*('Summary Page'!$C$4+1)</f>
        <v>62.207999999999991</v>
      </c>
      <c r="CC7" s="64">
        <v>26</v>
      </c>
      <c r="CD7" s="6"/>
      <c r="CE7" s="6"/>
      <c r="CF7" s="7">
        <f>((AVERAGE(CC7,CE7)*('Summary Page'!$C$2+1))*('Summary Page'!$C$2+1))*('Summary Page'!$C$2+1)</f>
        <v>40.58329599999999</v>
      </c>
      <c r="CG7" s="7">
        <f>((AVERAGE(CC7,CE7)*('Summary Page'!$C$3+1))*('Summary Page'!$C$3+1))*('Summary Page'!$C$3+1)</f>
        <v>50.78125</v>
      </c>
      <c r="CH7" s="8">
        <f>((AVERAGE(CC7,CE7)*('Summary Page'!$C$4+1))*('Summary Page'!$C$4+1))*('Summary Page'!$C$4+1)</f>
        <v>44.927999999999997</v>
      </c>
      <c r="CI7" s="64">
        <v>19</v>
      </c>
      <c r="CJ7" s="6"/>
      <c r="CK7" s="6"/>
      <c r="CL7" s="7">
        <f>((AVERAGE(CI7,CK7)*('Summary Page'!$C$2+1))*('Summary Page'!$C$2+1))*('Summary Page'!$C$2+1)</f>
        <v>29.657023999999996</v>
      </c>
      <c r="CM7" s="7">
        <f>((AVERAGE(CI7,CK7)*('Summary Page'!$C$3+1))*('Summary Page'!$C$3+1))*('Summary Page'!$C$3+1)</f>
        <v>37.109375</v>
      </c>
      <c r="CN7" s="8">
        <f>((AVERAGE(CI7,CK7)*('Summary Page'!$C$4+1))*('Summary Page'!$C$4+1))*('Summary Page'!$C$4+1)</f>
        <v>32.832000000000001</v>
      </c>
      <c r="CQ7" s="6"/>
      <c r="CR7" s="7">
        <f>((AVERAGE(C7,CQ7)*('Summary Page'!$C$2+1))*('Summary Page'!$C$2+1))*('Summary Page'!$C$2+1)</f>
        <v>63.996735999999984</v>
      </c>
      <c r="CS7" s="7">
        <f>((AVERAGE(C7,CQ7)*('Summary Page'!$C$3+1))*('Summary Page'!$C$3+1))*('Summary Page'!$C$3+1)</f>
        <v>80.078125</v>
      </c>
      <c r="CT7" s="8">
        <f>((AVERAGE(C7,CQ7)*('Summary Page'!$C$4+1))*('Summary Page'!$C$4+1))*('Summary Page'!$C$4+1)</f>
        <v>70.847999999999985</v>
      </c>
      <c r="CW7" s="40"/>
      <c r="CX7" s="7">
        <f>((AVERAGE(D7,CW7)*('Summary Page'!$C$2+1))*('Summary Page'!$C$2+1))*('Summary Page'!$C$2+1)</f>
        <v>51.50956799999998</v>
      </c>
      <c r="CY7" s="7">
        <f>((AVERAGE(D7,CW7)*('Summary Page'!$C$3+1))*('Summary Page'!$C$3+1))*('Summary Page'!$C$3+1)</f>
        <v>64.453125</v>
      </c>
      <c r="CZ7" s="8">
        <f>((AVERAGE(D7,CW7)*('Summary Page'!$C$4+1))*('Summary Page'!$C$4+1))*('Summary Page'!$C$4+1)</f>
        <v>57.024000000000001</v>
      </c>
      <c r="DA7" s="64">
        <v>25</v>
      </c>
      <c r="DB7" s="40"/>
      <c r="DC7" s="40"/>
      <c r="DD7" s="7">
        <f>((AVERAGE(DA7,DC7)*('Summary Page'!$C$2+1))*('Summary Page'!$C$2+1))*('Summary Page'!$C$2+1)</f>
        <v>39.02239999999999</v>
      </c>
      <c r="DE7" s="7">
        <f>((AVERAGE(DA7,DC7)*('Summary Page'!$C$3+1))*('Summary Page'!$C$3+1))*('Summary Page'!$C$3+1)</f>
        <v>48.828125</v>
      </c>
      <c r="DF7" s="8">
        <f>((AVERAGE(DA7,DC7)*('Summary Page'!$C$4+1))*('Summary Page'!$C$4+1))*('Summary Page'!$C$4+1)</f>
        <v>43.199999999999996</v>
      </c>
      <c r="DG7" s="64">
        <v>27</v>
      </c>
      <c r="DH7" s="40"/>
      <c r="DI7" s="40"/>
      <c r="DJ7" s="7">
        <f>((AVERAGE(DG7,DI7)*('Summary Page'!$C$2+1))*('Summary Page'!$C$2+1))*('Summary Page'!$C$2+1)</f>
        <v>42.14419199999999</v>
      </c>
      <c r="DK7" s="7">
        <f>((AVERAGE(DG7,DI7)*('Summary Page'!$C$3+1))*('Summary Page'!$C$3+1))*('Summary Page'!$C$3+1)</f>
        <v>52.734375</v>
      </c>
      <c r="DL7" s="8">
        <f>((AVERAGE(DG7,DI7)*('Summary Page'!$C$4+1))*('Summary Page'!$C$4+1))*('Summary Page'!$C$4+1)</f>
        <v>46.655999999999992</v>
      </c>
      <c r="DO7" s="40"/>
      <c r="DP7" s="7">
        <f>((AVERAGE(F7,DO7)*('Summary Page'!$C$2+1))*('Summary Page'!$C$2+1))*('Summary Page'!$C$2+1)</f>
        <v>3.1217919999999997</v>
      </c>
      <c r="DQ7" s="7">
        <f>((AVERAGE(F7,DO7)*('Summary Page'!$C$3+1))*('Summary Page'!$C$3+1))*('Summary Page'!$C$3+1)</f>
        <v>3.90625</v>
      </c>
      <c r="DR7" s="8">
        <f>((AVERAGE(F7,DO7)*('Summary Page'!$C$4+1))*('Summary Page'!$C$4+1))*('Summary Page'!$C$4+1)</f>
        <v>3.456</v>
      </c>
      <c r="DU7" s="40"/>
      <c r="DV7" s="7">
        <f>((AVERAGE(G7,DU7)*('Summary Page'!$C$2+1))*('Summary Page'!$C$2+1))*('Summary Page'!$C$2+1)</f>
        <v>37.461503999999991</v>
      </c>
      <c r="DW7" s="7">
        <f>((AVERAGE(G7,DU7)*('Summary Page'!$C$3+1))*('Summary Page'!$C$3+1))*('Summary Page'!$C$3+1)</f>
        <v>46.875</v>
      </c>
      <c r="DX7" s="8">
        <f>((AVERAGE(G7,DU7)*('Summary Page'!$C$4+1))*('Summary Page'!$C$4+1))*('Summary Page'!$C$4+1)</f>
        <v>41.471999999999994</v>
      </c>
      <c r="EA7" s="40"/>
      <c r="EB7" s="7">
        <f>((AVERAGE(H7,EA7)*('Summary Page'!$C$2+1))*('Summary Page'!$C$2+1))*('Summary Page'!$C$2+1)</f>
        <v>28.096127999999993</v>
      </c>
      <c r="EC7" s="7">
        <f>((AVERAGE(H7,EA7)*('Summary Page'!$C$3+1))*('Summary Page'!$C$3+1))*('Summary Page'!$C$3+1)</f>
        <v>35.15625</v>
      </c>
      <c r="ED7" s="8">
        <f>((AVERAGE(H7,EA7)*('Summary Page'!$C$4+1))*('Summary Page'!$C$4+1))*('Summary Page'!$C$4+1)</f>
        <v>31.103999999999996</v>
      </c>
      <c r="EG7" s="40"/>
      <c r="EH7" s="7">
        <f>((AVERAGE(I7,EG7)*('Summary Page'!$C$2+1))*('Summary Page'!$C$2+1))*('Summary Page'!$C$2+1)</f>
        <v>73.362111999999982</v>
      </c>
      <c r="EI7" s="7">
        <f>((AVERAGE(I7,EG7)*('Summary Page'!$C$3+1))*('Summary Page'!$C$3+1))*('Summary Page'!$C$3+1)</f>
        <v>91.796875</v>
      </c>
      <c r="EJ7" s="8">
        <f>((AVERAGE(I7,EG7)*('Summary Page'!$C$4+1))*('Summary Page'!$C$4+1))*('Summary Page'!$C$4+1)</f>
        <v>81.215999999999994</v>
      </c>
      <c r="EM7" s="40"/>
      <c r="EN7" s="7" t="e">
        <f>((AVERAGE(AD7,EM7)*('Summary Page'!$C$2+1))*('Summary Page'!$C$2+1))*('Summary Page'!$C$2+1)</f>
        <v>#DIV/0!</v>
      </c>
      <c r="EO7" s="7" t="e">
        <f>((AVERAGE(AD7,EM7)*('Summary Page'!$C$3+1))*('Summary Page'!$C$3+1))*('Summary Page'!$C$3+1)</f>
        <v>#DIV/0!</v>
      </c>
      <c r="EP7" s="7" t="e">
        <f>((AVERAGE(AD7,EM7)*('Summary Page'!$C$4+1))*('Summary Page'!$C$4+1))*('Summary Page'!$C$4+1)</f>
        <v>#DIV/0!</v>
      </c>
      <c r="EQ7" s="7">
        <v>100</v>
      </c>
      <c r="ER7" s="9"/>
    </row>
    <row r="8" spans="1:165" ht="15.75" x14ac:dyDescent="0.25">
      <c r="A8" s="1">
        <v>43409</v>
      </c>
      <c r="B8" s="40">
        <v>92</v>
      </c>
      <c r="C8" s="64">
        <v>42</v>
      </c>
      <c r="D8" s="64">
        <v>35</v>
      </c>
      <c r="E8" s="7">
        <f t="shared" si="1"/>
        <v>67</v>
      </c>
      <c r="F8" s="64">
        <v>1</v>
      </c>
      <c r="G8" s="64">
        <v>20</v>
      </c>
      <c r="H8" s="64">
        <v>16</v>
      </c>
      <c r="I8" s="64">
        <v>49</v>
      </c>
      <c r="J8" s="64"/>
      <c r="K8" s="5">
        <f t="shared" si="2"/>
        <v>33.125</v>
      </c>
      <c r="L8" s="99"/>
      <c r="M8" s="40"/>
      <c r="N8" s="40"/>
      <c r="O8" s="40"/>
      <c r="P8" s="40"/>
      <c r="Q8" s="40"/>
      <c r="R8" s="40"/>
      <c r="S8" s="40"/>
      <c r="T8" s="40"/>
      <c r="U8" s="100"/>
      <c r="V8" s="13"/>
      <c r="W8" s="13"/>
      <c r="X8" s="13"/>
      <c r="Y8" s="13"/>
      <c r="Z8" s="13"/>
      <c r="AA8" s="13"/>
      <c r="AB8" s="13"/>
      <c r="AC8" s="13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13"/>
      <c r="AO8" s="7">
        <f>((AVERAGE(K8,AN8)*('Summary Page'!$C$2+1))*('Summary Page'!$C$2+1))*('Summary Page'!$C$2+1)</f>
        <v>51.704679999999989</v>
      </c>
      <c r="AP8" s="7">
        <f>((AVERAGE(K8,AN8)*('Summary Page'!$C$3+1))*('Summary Page'!$C$3+1))*('Summary Page'!$C$3+1)</f>
        <v>64.697265625</v>
      </c>
      <c r="AQ8" s="7">
        <f>((AVERAGE(K8,AN8)*('Summary Page'!$C$4+1))*('Summary Page'!$C$4+1))*('Summary Page'!$C$4+1)</f>
        <v>57.239999999999995</v>
      </c>
      <c r="AR8" s="7">
        <v>80</v>
      </c>
      <c r="AS8" s="5">
        <f t="shared" si="3"/>
        <v>37</v>
      </c>
      <c r="AT8" s="13"/>
      <c r="AU8" s="13"/>
      <c r="AV8" s="7">
        <f>((AVERAGE(AS8,AU8)*('Summary Page'!$C$2+1))*('Summary Page'!$C$2+1))*('Summary Page'!$C$2+1)</f>
        <v>57.753151999999986</v>
      </c>
      <c r="AW8" s="7">
        <f>((AVERAGE(AS8,AU8)*('Summary Page'!$C$3+1))*('Summary Page'!$C$3+1))*('Summary Page'!$C$3+1)</f>
        <v>72.265625</v>
      </c>
      <c r="AX8" s="8">
        <f>((AVERAGE(AS8,AU8)*('Summary Page'!$C$4+1))*('Summary Page'!$C$4+1))*('Summary Page'!$C$4+1)</f>
        <v>63.935999999999993</v>
      </c>
      <c r="BA8" s="40"/>
      <c r="BB8" s="7">
        <f>((AVERAGE(B8,BA8)*('Summary Page'!$C$2+1))*('Summary Page'!$C$2+1))*('Summary Page'!$C$2+1)</f>
        <v>143.60243199999999</v>
      </c>
      <c r="BC8" s="7">
        <f>((AVERAGE(B8,BA8)*('Summary Page'!$C$3+1))*('Summary Page'!$C$3+1))*('Summary Page'!$C$3+1)</f>
        <v>179.6875</v>
      </c>
      <c r="BD8" s="7">
        <f>((AVERAGE(B8,BA8)*('Summary Page'!$C$4+1))*('Summary Page'!$C$4+1))*('Summary Page'!$C$4+1)</f>
        <v>158.97599999999997</v>
      </c>
      <c r="BE8" s="64">
        <v>36</v>
      </c>
      <c r="BF8" s="69"/>
      <c r="BG8" s="40"/>
      <c r="BH8" s="7">
        <f>((AVERAGE(BE8,BG8)*('Summary Page'!$C$2+1))*('Summary Page'!$C$2+1))*('Summary Page'!$C$2+1)</f>
        <v>56.192255999999986</v>
      </c>
      <c r="BI8" s="7">
        <f>((AVERAGE(BE8,BG8)*('Summary Page'!$C$3+1))*('Summary Page'!$C$3+1))*('Summary Page'!$C$3+1)</f>
        <v>70.3125</v>
      </c>
      <c r="BJ8" s="7">
        <f>((AVERAGE(BE8,BG8)*('Summary Page'!$C$4+1))*('Summary Page'!$C$4+1))*('Summary Page'!$C$4+1)</f>
        <v>62.207999999999991</v>
      </c>
      <c r="BK8" s="64">
        <v>31</v>
      </c>
      <c r="BL8" s="40"/>
      <c r="BM8" s="40"/>
      <c r="BN8" s="7">
        <f>((AVERAGE(BK8,BM8)*('Summary Page'!$C$2+1))*('Summary Page'!$C$2+1))*('Summary Page'!$C$2+1)</f>
        <v>48.387775999999995</v>
      </c>
      <c r="BO8" s="7">
        <f>((AVERAGE(BK8,BM8)*('Summary Page'!$C$3+1))*('Summary Page'!$C$3+1))*('Summary Page'!$C$3+1)</f>
        <v>60.546875</v>
      </c>
      <c r="BP8" s="7">
        <f>((AVERAGE(BK8,BM8)*('Summary Page'!$C$4+1))*('Summary Page'!$C$4+1))*('Summary Page'!$C$4+1)</f>
        <v>53.567999999999991</v>
      </c>
      <c r="BQ8" s="64">
        <v>55</v>
      </c>
      <c r="BR8" s="40"/>
      <c r="BS8" s="40"/>
      <c r="BT8" s="7">
        <f>((AVERAGE(BQ8,BS8)*('Summary Page'!$C$2+1))*('Summary Page'!$C$2+1))*('Summary Page'!$C$2+1)</f>
        <v>85.849279999999993</v>
      </c>
      <c r="BU8" s="7">
        <f>((AVERAGE(BQ8,BS8)*('Summary Page'!$C$3+1))*('Summary Page'!$C$3+1))*('Summary Page'!$C$3+1)</f>
        <v>107.421875</v>
      </c>
      <c r="BV8" s="8">
        <f>((AVERAGE(BQ8,BS8)*('Summary Page'!$C$4+1))*('Summary Page'!$C$4+1))*('Summary Page'!$C$4+1)</f>
        <v>95.04</v>
      </c>
      <c r="BW8" s="64">
        <v>42</v>
      </c>
      <c r="BX8" s="40"/>
      <c r="BY8" s="40"/>
      <c r="BZ8" s="7">
        <f>((AVERAGE(BW8,BY8)*('Summary Page'!$C$2+1))*('Summary Page'!$C$2+1))*('Summary Page'!$C$2+1)</f>
        <v>65.557631999999984</v>
      </c>
      <c r="CA8" s="7">
        <f>((AVERAGE(BW8,BY8)*('Summary Page'!$C$3+1))*('Summary Page'!$C$3+1))*('Summary Page'!$C$3+1)</f>
        <v>82.03125</v>
      </c>
      <c r="CB8" s="8">
        <f>((AVERAGE(BW8,BY8)*('Summary Page'!$C$4+1))*('Summary Page'!$C$4+1))*('Summary Page'!$C$4+1)</f>
        <v>72.575999999999993</v>
      </c>
      <c r="CC8" s="64">
        <v>28</v>
      </c>
      <c r="CD8" s="40"/>
      <c r="CE8" s="40"/>
      <c r="CF8" s="7">
        <f>((AVERAGE(CC8,CE8)*('Summary Page'!$C$2+1))*('Summary Page'!$C$2+1))*('Summary Page'!$C$2+1)</f>
        <v>43.705087999999989</v>
      </c>
      <c r="CG8" s="7">
        <f>((AVERAGE(CC8,CE8)*('Summary Page'!$C$3+1))*('Summary Page'!$C$3+1))*('Summary Page'!$C$3+1)</f>
        <v>54.6875</v>
      </c>
      <c r="CH8" s="8">
        <f>((AVERAGE(CC8,CE8)*('Summary Page'!$C$4+1))*('Summary Page'!$C$4+1))*('Summary Page'!$C$4+1)</f>
        <v>48.384</v>
      </c>
      <c r="CI8" s="64">
        <v>20</v>
      </c>
      <c r="CJ8" s="40"/>
      <c r="CK8" s="40"/>
      <c r="CL8" s="7">
        <f>((AVERAGE(CI8,CK8)*('Summary Page'!$C$2+1))*('Summary Page'!$C$2+1))*('Summary Page'!$C$2+1)</f>
        <v>31.217919999999996</v>
      </c>
      <c r="CM8" s="7">
        <f>((AVERAGE(CI8,CK8)*('Summary Page'!$C$3+1))*('Summary Page'!$C$3+1))*('Summary Page'!$C$3+1)</f>
        <v>39.0625</v>
      </c>
      <c r="CN8" s="8">
        <f>((AVERAGE(CI8,CK8)*('Summary Page'!$C$4+1))*('Summary Page'!$C$4+1))*('Summary Page'!$C$4+1)</f>
        <v>34.559999999999995</v>
      </c>
      <c r="CQ8" s="40"/>
      <c r="CR8" s="7">
        <f>((AVERAGE(C8,CQ8)*('Summary Page'!$C$2+1))*('Summary Page'!$C$2+1))*('Summary Page'!$C$2+1)</f>
        <v>65.557631999999984</v>
      </c>
      <c r="CS8" s="7">
        <f>((AVERAGE(C8,CQ8)*('Summary Page'!$C$3+1))*('Summary Page'!$C$3+1))*('Summary Page'!$C$3+1)</f>
        <v>82.03125</v>
      </c>
      <c r="CT8" s="8">
        <f>((AVERAGE(C8,CQ8)*('Summary Page'!$C$4+1))*('Summary Page'!$C$4+1))*('Summary Page'!$C$4+1)</f>
        <v>72.575999999999993</v>
      </c>
      <c r="CW8" s="40"/>
      <c r="CX8" s="7">
        <f>((AVERAGE(D8,CW8)*('Summary Page'!$C$2+1))*('Summary Page'!$C$2+1))*('Summary Page'!$C$2+1)</f>
        <v>54.631359999999987</v>
      </c>
      <c r="CY8" s="7">
        <f>((AVERAGE(D8,CW8)*('Summary Page'!$C$3+1))*('Summary Page'!$C$3+1))*('Summary Page'!$C$3+1)</f>
        <v>68.359375</v>
      </c>
      <c r="CZ8" s="8">
        <f>((AVERAGE(D8,CW8)*('Summary Page'!$C$4+1))*('Summary Page'!$C$4+1))*('Summary Page'!$C$4+1)</f>
        <v>60.48</v>
      </c>
      <c r="DA8" s="64">
        <v>25</v>
      </c>
      <c r="DB8" s="40"/>
      <c r="DC8" s="40"/>
      <c r="DD8" s="7">
        <f>((AVERAGE(DA8,DC8)*('Summary Page'!$C$2+1))*('Summary Page'!$C$2+1))*('Summary Page'!$C$2+1)</f>
        <v>39.02239999999999</v>
      </c>
      <c r="DE8" s="7">
        <f>((AVERAGE(DA8,DC8)*('Summary Page'!$C$3+1))*('Summary Page'!$C$3+1))*('Summary Page'!$C$3+1)</f>
        <v>48.828125</v>
      </c>
      <c r="DF8" s="8">
        <f>((AVERAGE(DA8,DC8)*('Summary Page'!$C$4+1))*('Summary Page'!$C$4+1))*('Summary Page'!$C$4+1)</f>
        <v>43.199999999999996</v>
      </c>
      <c r="DG8" s="64">
        <v>28</v>
      </c>
      <c r="DH8" s="40"/>
      <c r="DI8" s="40"/>
      <c r="DJ8" s="7">
        <f>((AVERAGE(DG8,DI8)*('Summary Page'!$C$2+1))*('Summary Page'!$C$2+1))*('Summary Page'!$C$2+1)</f>
        <v>43.705087999999989</v>
      </c>
      <c r="DK8" s="7">
        <f>((AVERAGE(DG8,DI8)*('Summary Page'!$C$3+1))*('Summary Page'!$C$3+1))*('Summary Page'!$C$3+1)</f>
        <v>54.6875</v>
      </c>
      <c r="DL8" s="8">
        <f>((AVERAGE(DG8,DI8)*('Summary Page'!$C$4+1))*('Summary Page'!$C$4+1))*('Summary Page'!$C$4+1)</f>
        <v>48.384</v>
      </c>
      <c r="DO8" s="40"/>
      <c r="DP8" s="7">
        <f>((AVERAGE(F8,DO8)*('Summary Page'!$C$2+1))*('Summary Page'!$C$2+1))*('Summary Page'!$C$2+1)</f>
        <v>1.5608959999999998</v>
      </c>
      <c r="DQ8" s="7">
        <f>((AVERAGE(F8,DO8)*('Summary Page'!$C$3+1))*('Summary Page'!$C$3+1))*('Summary Page'!$C$3+1)</f>
        <v>1.953125</v>
      </c>
      <c r="DR8" s="8">
        <f>((AVERAGE(F8,DO8)*('Summary Page'!$C$4+1))*('Summary Page'!$C$4+1))*('Summary Page'!$C$4+1)</f>
        <v>1.728</v>
      </c>
      <c r="DU8" s="40"/>
      <c r="DV8" s="7">
        <f>((AVERAGE(G8,DU8)*('Summary Page'!$C$2+1))*('Summary Page'!$C$2+1))*('Summary Page'!$C$2+1)</f>
        <v>31.217919999999996</v>
      </c>
      <c r="DW8" s="7">
        <f>((AVERAGE(G8,DU8)*('Summary Page'!$C$3+1))*('Summary Page'!$C$3+1))*('Summary Page'!$C$3+1)</f>
        <v>39.0625</v>
      </c>
      <c r="DX8" s="8">
        <f>((AVERAGE(G8,DU8)*('Summary Page'!$C$4+1))*('Summary Page'!$C$4+1))*('Summary Page'!$C$4+1)</f>
        <v>34.559999999999995</v>
      </c>
      <c r="EA8" s="40"/>
      <c r="EB8" s="7">
        <f>((AVERAGE(H8,EA8)*('Summary Page'!$C$2+1))*('Summary Page'!$C$2+1))*('Summary Page'!$C$2+1)</f>
        <v>24.974335999999997</v>
      </c>
      <c r="EC8" s="7">
        <f>((AVERAGE(H8,EA8)*('Summary Page'!$C$3+1))*('Summary Page'!$C$3+1))*('Summary Page'!$C$3+1)</f>
        <v>31.25</v>
      </c>
      <c r="ED8" s="8">
        <f>((AVERAGE(H8,EA8)*('Summary Page'!$C$4+1))*('Summary Page'!$C$4+1))*('Summary Page'!$C$4+1)</f>
        <v>27.648</v>
      </c>
      <c r="EG8" s="40"/>
      <c r="EH8" s="7">
        <f>((AVERAGE(I8,EG8)*('Summary Page'!$C$2+1))*('Summary Page'!$C$2+1))*('Summary Page'!$C$2+1)</f>
        <v>76.483903999999995</v>
      </c>
      <c r="EI8" s="7">
        <f>((AVERAGE(I8,EG8)*('Summary Page'!$C$3+1))*('Summary Page'!$C$3+1))*('Summary Page'!$C$3+1)</f>
        <v>95.703125</v>
      </c>
      <c r="EJ8" s="8">
        <f>((AVERAGE(I8,EG8)*('Summary Page'!$C$4+1))*('Summary Page'!$C$4+1))*('Summary Page'!$C$4+1)</f>
        <v>84.671999999999983</v>
      </c>
      <c r="EM8" s="40"/>
      <c r="EN8" s="7" t="e">
        <f>((AVERAGE(AD8,EM8)*('Summary Page'!$C$2+1))*('Summary Page'!$C$2+1))*('Summary Page'!$C$2+1)</f>
        <v>#DIV/0!</v>
      </c>
      <c r="EO8" s="7" t="e">
        <f>((AVERAGE(AD8,EM8)*('Summary Page'!$C$3+1))*('Summary Page'!$C$3+1))*('Summary Page'!$C$3+1)</f>
        <v>#DIV/0!</v>
      </c>
      <c r="EP8" s="7" t="e">
        <f>((AVERAGE(AD8,EM8)*('Summary Page'!$C$4+1))*('Summary Page'!$C$4+1))*('Summary Page'!$C$4+1)</f>
        <v>#DIV/0!</v>
      </c>
      <c r="EQ8" s="7">
        <v>100</v>
      </c>
      <c r="ER8" s="9"/>
    </row>
    <row r="9" spans="1:165" ht="15.75" x14ac:dyDescent="0.25">
      <c r="A9" s="1">
        <v>43423</v>
      </c>
      <c r="B9" s="40">
        <v>85</v>
      </c>
      <c r="C9" s="64">
        <v>36</v>
      </c>
      <c r="D9" s="64">
        <v>29</v>
      </c>
      <c r="E9" s="7">
        <f t="shared" si="1"/>
        <v>60.5</v>
      </c>
      <c r="F9" s="64">
        <v>2</v>
      </c>
      <c r="G9" s="64">
        <v>12</v>
      </c>
      <c r="H9" s="64">
        <v>13</v>
      </c>
      <c r="I9" s="64">
        <v>43</v>
      </c>
      <c r="J9" s="64"/>
      <c r="K9" s="5">
        <f t="shared" si="2"/>
        <v>30.25</v>
      </c>
      <c r="L9" s="99"/>
      <c r="M9" s="40"/>
      <c r="N9" s="40"/>
      <c r="O9" s="40"/>
      <c r="P9" s="40"/>
      <c r="Q9" s="40"/>
      <c r="R9" s="40"/>
      <c r="S9" s="40"/>
      <c r="T9" s="40"/>
      <c r="U9" s="100"/>
      <c r="V9" s="13"/>
      <c r="W9" s="13"/>
      <c r="X9" s="13"/>
      <c r="Y9" s="13"/>
      <c r="Z9" s="13"/>
      <c r="AA9" s="13"/>
      <c r="AB9" s="13"/>
      <c r="AC9" s="13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13"/>
      <c r="AO9" s="7">
        <f>((AVERAGE(K9,AN9)*('Summary Page'!$C$2+1))*('Summary Page'!$C$2+1))*('Summary Page'!$C$2+1)</f>
        <v>47.217103999999985</v>
      </c>
      <c r="AP9" s="7">
        <f>((AVERAGE(K9,AN9)*('Summary Page'!$C$3+1))*('Summary Page'!$C$3+1))*('Summary Page'!$C$3+1)</f>
        <v>59.08203125</v>
      </c>
      <c r="AQ9" s="7">
        <f>((AVERAGE(K9,AN9)*('Summary Page'!$C$4+1))*('Summary Page'!$C$4+1))*('Summary Page'!$C$4+1)</f>
        <v>52.271999999999991</v>
      </c>
      <c r="AR9" s="7">
        <v>80</v>
      </c>
      <c r="AS9" s="5">
        <f t="shared" si="3"/>
        <v>30.333333333333332</v>
      </c>
      <c r="AT9" s="13"/>
      <c r="AU9" s="13"/>
      <c r="AV9" s="7">
        <f>((AVERAGE(AS9,AU9)*('Summary Page'!$C$2+1))*('Summary Page'!$C$2+1))*('Summary Page'!$C$2+1)</f>
        <v>47.347178666666657</v>
      </c>
      <c r="AW9" s="7">
        <f>((AVERAGE(AS9,AU9)*('Summary Page'!$C$3+1))*('Summary Page'!$C$3+1))*('Summary Page'!$C$3+1)</f>
        <v>59.244791666666657</v>
      </c>
      <c r="AX9" s="8">
        <f>((AVERAGE(AS9,AU9)*('Summary Page'!$C$4+1))*('Summary Page'!$C$4+1))*('Summary Page'!$C$4+1)</f>
        <v>52.415999999999997</v>
      </c>
      <c r="BA9" s="40"/>
      <c r="BB9" s="7">
        <f>((AVERAGE(B9,BA9)*('Summary Page'!$C$2+1))*('Summary Page'!$C$2+1))*('Summary Page'!$C$2+1)</f>
        <v>132.67615999999998</v>
      </c>
      <c r="BC9" s="7">
        <f>((AVERAGE(B9,BA9)*('Summary Page'!$C$3+1))*('Summary Page'!$C$3+1))*('Summary Page'!$C$3+1)</f>
        <v>166.015625</v>
      </c>
      <c r="BD9" s="7">
        <f>((AVERAGE(B9,BA9)*('Summary Page'!$C$4+1))*('Summary Page'!$C$4+1))*('Summary Page'!$C$4+1)</f>
        <v>146.88</v>
      </c>
      <c r="BE9" s="64">
        <v>33</v>
      </c>
      <c r="BF9" s="69"/>
      <c r="BG9" s="40"/>
      <c r="BH9" s="7">
        <f>((AVERAGE(BE9,BG9)*('Summary Page'!$C$2+1))*('Summary Page'!$C$2+1))*('Summary Page'!$C$2+1)</f>
        <v>51.50956799999998</v>
      </c>
      <c r="BI9" s="7">
        <f>((AVERAGE(BE9,BG9)*('Summary Page'!$C$3+1))*('Summary Page'!$C$3+1))*('Summary Page'!$C$3+1)</f>
        <v>64.453125</v>
      </c>
      <c r="BJ9" s="7">
        <f>((AVERAGE(BE9,BG9)*('Summary Page'!$C$4+1))*('Summary Page'!$C$4+1))*('Summary Page'!$C$4+1)</f>
        <v>57.024000000000001</v>
      </c>
      <c r="BK9" s="64">
        <v>28</v>
      </c>
      <c r="BL9" s="40"/>
      <c r="BM9" s="40"/>
      <c r="BN9" s="7">
        <f>((AVERAGE(BK9,BM9)*('Summary Page'!$C$2+1))*('Summary Page'!$C$2+1))*('Summary Page'!$C$2+1)</f>
        <v>43.705087999999989</v>
      </c>
      <c r="BO9" s="7">
        <f>((AVERAGE(BK9,BM9)*('Summary Page'!$C$3+1))*('Summary Page'!$C$3+1))*('Summary Page'!$C$3+1)</f>
        <v>54.6875</v>
      </c>
      <c r="BP9" s="7">
        <f>((AVERAGE(BK9,BM9)*('Summary Page'!$C$4+1))*('Summary Page'!$C$4+1))*('Summary Page'!$C$4+1)</f>
        <v>48.384</v>
      </c>
      <c r="BQ9" s="64">
        <v>51</v>
      </c>
      <c r="BR9" s="40"/>
      <c r="BS9" s="40"/>
      <c r="BT9" s="7">
        <f>((AVERAGE(BQ9,BS9)*('Summary Page'!$C$2+1))*('Summary Page'!$C$2+1))*('Summary Page'!$C$2+1)</f>
        <v>79.60569599999998</v>
      </c>
      <c r="BU9" s="7">
        <f>((AVERAGE(BQ9,BS9)*('Summary Page'!$C$3+1))*('Summary Page'!$C$3+1))*('Summary Page'!$C$3+1)</f>
        <v>99.609375</v>
      </c>
      <c r="BV9" s="8">
        <f>((AVERAGE(BQ9,BS9)*('Summary Page'!$C$4+1))*('Summary Page'!$C$4+1))*('Summary Page'!$C$4+1)</f>
        <v>88.128</v>
      </c>
      <c r="BW9" s="64">
        <v>45</v>
      </c>
      <c r="BX9" s="40"/>
      <c r="BY9" s="40"/>
      <c r="BZ9" s="7">
        <f>((AVERAGE(BW9,BY9)*('Summary Page'!$C$2+1))*('Summary Page'!$C$2+1))*('Summary Page'!$C$2+1)</f>
        <v>70.240319999999983</v>
      </c>
      <c r="CA9" s="7">
        <f>((AVERAGE(BW9,BY9)*('Summary Page'!$C$3+1))*('Summary Page'!$C$3+1))*('Summary Page'!$C$3+1)</f>
        <v>87.890625</v>
      </c>
      <c r="CB9" s="8">
        <f>((AVERAGE(BW9,BY9)*('Summary Page'!$C$4+1))*('Summary Page'!$C$4+1))*('Summary Page'!$C$4+1)</f>
        <v>77.759999999999991</v>
      </c>
      <c r="CC9" s="64">
        <v>23</v>
      </c>
      <c r="CD9" s="40"/>
      <c r="CE9" s="40"/>
      <c r="CF9" s="7">
        <f>((AVERAGE(CC9,CE9)*('Summary Page'!$C$2+1))*('Summary Page'!$C$2+1))*('Summary Page'!$C$2+1)</f>
        <v>35.900607999999998</v>
      </c>
      <c r="CG9" s="7">
        <f>((AVERAGE(CC9,CE9)*('Summary Page'!$C$3+1))*('Summary Page'!$C$3+1))*('Summary Page'!$C$3+1)</f>
        <v>44.921875</v>
      </c>
      <c r="CH9" s="8">
        <f>((AVERAGE(CC9,CE9)*('Summary Page'!$C$4+1))*('Summary Page'!$C$4+1))*('Summary Page'!$C$4+1)</f>
        <v>39.743999999999993</v>
      </c>
      <c r="CI9" s="64">
        <v>17</v>
      </c>
      <c r="CJ9" s="40"/>
      <c r="CK9" s="40"/>
      <c r="CL9" s="7">
        <f>((AVERAGE(CI9,CK9)*('Summary Page'!$C$2+1))*('Summary Page'!$C$2+1))*('Summary Page'!$C$2+1)</f>
        <v>26.535231999999993</v>
      </c>
      <c r="CM9" s="7">
        <f>((AVERAGE(CI9,CK9)*('Summary Page'!$C$3+1))*('Summary Page'!$C$3+1))*('Summary Page'!$C$3+1)</f>
        <v>33.203125</v>
      </c>
      <c r="CN9" s="8">
        <f>((AVERAGE(CI9,CK9)*('Summary Page'!$C$4+1))*('Summary Page'!$C$4+1))*('Summary Page'!$C$4+1)</f>
        <v>29.375999999999994</v>
      </c>
      <c r="CQ9" s="40"/>
      <c r="CR9" s="7">
        <f>((AVERAGE(C9,CQ9)*('Summary Page'!$C$2+1))*('Summary Page'!$C$2+1))*('Summary Page'!$C$2+1)</f>
        <v>56.192255999999986</v>
      </c>
      <c r="CS9" s="7">
        <f>((AVERAGE(C9,CQ9)*('Summary Page'!$C$3+1))*('Summary Page'!$C$3+1))*('Summary Page'!$C$3+1)</f>
        <v>70.3125</v>
      </c>
      <c r="CT9" s="8">
        <f>((AVERAGE(C9,CQ9)*('Summary Page'!$C$4+1))*('Summary Page'!$C$4+1))*('Summary Page'!$C$4+1)</f>
        <v>62.207999999999991</v>
      </c>
      <c r="CW9" s="40"/>
      <c r="CX9" s="7">
        <f>((AVERAGE(D9,CW9)*('Summary Page'!$C$2+1))*('Summary Page'!$C$2+1))*('Summary Page'!$C$2+1)</f>
        <v>45.265983999999996</v>
      </c>
      <c r="CY9" s="7">
        <f>((AVERAGE(D9,CW9)*('Summary Page'!$C$3+1))*('Summary Page'!$C$3+1))*('Summary Page'!$C$3+1)</f>
        <v>56.640625</v>
      </c>
      <c r="CZ9" s="8">
        <f>((AVERAGE(D9,CW9)*('Summary Page'!$C$4+1))*('Summary Page'!$C$4+1))*('Summary Page'!$C$4+1)</f>
        <v>50.111999999999995</v>
      </c>
      <c r="DA9" s="64">
        <v>21</v>
      </c>
      <c r="DB9" s="40"/>
      <c r="DC9" s="40"/>
      <c r="DD9" s="7">
        <f>((AVERAGE(DA9,DC9)*('Summary Page'!$C$2+1))*('Summary Page'!$C$2+1))*('Summary Page'!$C$2+1)</f>
        <v>32.778815999999992</v>
      </c>
      <c r="DE9" s="7">
        <f>((AVERAGE(DA9,DC9)*('Summary Page'!$C$3+1))*('Summary Page'!$C$3+1))*('Summary Page'!$C$3+1)</f>
        <v>41.015625</v>
      </c>
      <c r="DF9" s="8">
        <f>((AVERAGE(DA9,DC9)*('Summary Page'!$C$4+1))*('Summary Page'!$C$4+1))*('Summary Page'!$C$4+1)</f>
        <v>36.287999999999997</v>
      </c>
      <c r="DG9" s="64">
        <v>24</v>
      </c>
      <c r="DH9" s="40"/>
      <c r="DI9" s="40"/>
      <c r="DJ9" s="7">
        <f>((AVERAGE(DG9,DI9)*('Summary Page'!$C$2+1))*('Summary Page'!$C$2+1))*('Summary Page'!$C$2+1)</f>
        <v>37.461503999999991</v>
      </c>
      <c r="DK9" s="7">
        <f>((AVERAGE(DG9,DI9)*('Summary Page'!$C$3+1))*('Summary Page'!$C$3+1))*('Summary Page'!$C$3+1)</f>
        <v>46.875</v>
      </c>
      <c r="DL9" s="8">
        <f>((AVERAGE(DG9,DI9)*('Summary Page'!$C$4+1))*('Summary Page'!$C$4+1))*('Summary Page'!$C$4+1)</f>
        <v>41.471999999999994</v>
      </c>
      <c r="DO9" s="40"/>
      <c r="DP9" s="7">
        <f>((AVERAGE(F9,DO9)*('Summary Page'!$C$2+1))*('Summary Page'!$C$2+1))*('Summary Page'!$C$2+1)</f>
        <v>3.1217919999999997</v>
      </c>
      <c r="DQ9" s="7">
        <f>((AVERAGE(F9,DO9)*('Summary Page'!$C$3+1))*('Summary Page'!$C$3+1))*('Summary Page'!$C$3+1)</f>
        <v>3.90625</v>
      </c>
      <c r="DR9" s="8">
        <f>((AVERAGE(F9,DO9)*('Summary Page'!$C$4+1))*('Summary Page'!$C$4+1))*('Summary Page'!$C$4+1)</f>
        <v>3.456</v>
      </c>
      <c r="DU9" s="40"/>
      <c r="DV9" s="7">
        <f>((AVERAGE(G9,DU9)*('Summary Page'!$C$2+1))*('Summary Page'!$C$2+1))*('Summary Page'!$C$2+1)</f>
        <v>18.730751999999995</v>
      </c>
      <c r="DW9" s="7">
        <f>((AVERAGE(G9,DU9)*('Summary Page'!$C$3+1))*('Summary Page'!$C$3+1))*('Summary Page'!$C$3+1)</f>
        <v>23.4375</v>
      </c>
      <c r="DX9" s="8">
        <f>((AVERAGE(G9,DU9)*('Summary Page'!$C$4+1))*('Summary Page'!$C$4+1))*('Summary Page'!$C$4+1)</f>
        <v>20.735999999999997</v>
      </c>
      <c r="EA9" s="40"/>
      <c r="EB9" s="7">
        <f>((AVERAGE(H9,EA9)*('Summary Page'!$C$2+1))*('Summary Page'!$C$2+1))*('Summary Page'!$C$2+1)</f>
        <v>20.291647999999995</v>
      </c>
      <c r="EC9" s="7">
        <f>((AVERAGE(H9,EA9)*('Summary Page'!$C$3+1))*('Summary Page'!$C$3+1))*('Summary Page'!$C$3+1)</f>
        <v>25.390625</v>
      </c>
      <c r="ED9" s="8">
        <f>((AVERAGE(H9,EA9)*('Summary Page'!$C$4+1))*('Summary Page'!$C$4+1))*('Summary Page'!$C$4+1)</f>
        <v>22.463999999999999</v>
      </c>
      <c r="EG9" s="40"/>
      <c r="EH9" s="7">
        <f>((AVERAGE(I9,EG9)*('Summary Page'!$C$2+1))*('Summary Page'!$C$2+1))*('Summary Page'!$C$2+1)</f>
        <v>67.118527999999984</v>
      </c>
      <c r="EI9" s="7">
        <f>((AVERAGE(I9,EG9)*('Summary Page'!$C$3+1))*('Summary Page'!$C$3+1))*('Summary Page'!$C$3+1)</f>
        <v>83.984375</v>
      </c>
      <c r="EJ9" s="8">
        <f>((AVERAGE(I9,EG9)*('Summary Page'!$C$4+1))*('Summary Page'!$C$4+1))*('Summary Page'!$C$4+1)</f>
        <v>74.304000000000002</v>
      </c>
      <c r="EM9" s="40"/>
      <c r="EN9" s="7" t="e">
        <f>((AVERAGE(AD9,EM9)*('Summary Page'!$C$2+1))*('Summary Page'!$C$2+1))*('Summary Page'!$C$2+1)</f>
        <v>#DIV/0!</v>
      </c>
      <c r="EO9" s="7" t="e">
        <f>((AVERAGE(AD9,EM9)*('Summary Page'!$C$3+1))*('Summary Page'!$C$3+1))*('Summary Page'!$C$3+1)</f>
        <v>#DIV/0!</v>
      </c>
      <c r="EP9" s="7" t="e">
        <f>((AVERAGE(AD9,EM9)*('Summary Page'!$C$4+1))*('Summary Page'!$C$4+1))*('Summary Page'!$C$4+1)</f>
        <v>#DIV/0!</v>
      </c>
      <c r="EQ9" s="7">
        <v>100</v>
      </c>
      <c r="ER9" s="9"/>
    </row>
    <row r="10" spans="1:165" ht="15.75" x14ac:dyDescent="0.25">
      <c r="A10" s="1">
        <v>43437</v>
      </c>
      <c r="B10" s="40">
        <v>85</v>
      </c>
      <c r="C10" s="64">
        <v>39</v>
      </c>
      <c r="D10" s="64">
        <v>32</v>
      </c>
      <c r="E10" s="7">
        <f t="shared" si="1"/>
        <v>62</v>
      </c>
      <c r="F10" s="64">
        <v>0</v>
      </c>
      <c r="G10" s="64">
        <v>9</v>
      </c>
      <c r="H10" s="64">
        <v>12</v>
      </c>
      <c r="I10" s="64">
        <v>53</v>
      </c>
      <c r="J10" s="64"/>
      <c r="K10" s="5">
        <f t="shared" si="2"/>
        <v>31</v>
      </c>
      <c r="L10" s="99"/>
      <c r="M10" s="40"/>
      <c r="N10" s="40"/>
      <c r="O10" s="40"/>
      <c r="P10" s="40"/>
      <c r="Q10" s="40"/>
      <c r="R10" s="40"/>
      <c r="S10" s="40"/>
      <c r="T10" s="40"/>
      <c r="U10" s="100"/>
      <c r="V10" s="13"/>
      <c r="W10" s="13"/>
      <c r="X10" s="13"/>
      <c r="Y10" s="13"/>
      <c r="Z10" s="13"/>
      <c r="AA10" s="13"/>
      <c r="AB10" s="13"/>
      <c r="AC10" s="13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13"/>
      <c r="AO10" s="7">
        <f>((AVERAGE(K10,AN10)*('Summary Page'!$C$2+1))*('Summary Page'!$C$2+1))*('Summary Page'!$C$2+1)</f>
        <v>48.387775999999995</v>
      </c>
      <c r="AP10" s="7">
        <f>((AVERAGE(K10,AN10)*('Summary Page'!$C$3+1))*('Summary Page'!$C$3+1))*('Summary Page'!$C$3+1)</f>
        <v>60.546875</v>
      </c>
      <c r="AQ10" s="7">
        <f>((AVERAGE(K10,AN10)*('Summary Page'!$C$4+1))*('Summary Page'!$C$4+1))*('Summary Page'!$C$4+1)</f>
        <v>53.567999999999991</v>
      </c>
      <c r="AR10" s="7">
        <v>80</v>
      </c>
      <c r="AS10" s="5">
        <f t="shared" si="3"/>
        <v>33.666666666666664</v>
      </c>
      <c r="AT10" s="13"/>
      <c r="AU10" s="13"/>
      <c r="AV10" s="7">
        <f>((AVERAGE(AS10,AU10)*('Summary Page'!$C$2+1))*('Summary Page'!$C$2+1))*('Summary Page'!$C$2+1)</f>
        <v>52.550165333333318</v>
      </c>
      <c r="AW10" s="7">
        <f>((AVERAGE(AS10,AU10)*('Summary Page'!$C$3+1))*('Summary Page'!$C$3+1))*('Summary Page'!$C$3+1)</f>
        <v>65.755208333333314</v>
      </c>
      <c r="AX10" s="8">
        <f>((AVERAGE(AS10,AU10)*('Summary Page'!$C$4+1))*('Summary Page'!$C$4+1))*('Summary Page'!$C$4+1)</f>
        <v>58.175999999999995</v>
      </c>
      <c r="BA10" s="40"/>
      <c r="BB10" s="7">
        <f>((AVERAGE(B10,BA10)*('Summary Page'!$C$2+1))*('Summary Page'!$C$2+1))*('Summary Page'!$C$2+1)</f>
        <v>132.67615999999998</v>
      </c>
      <c r="BC10" s="7">
        <f>((AVERAGE(B10,BA10)*('Summary Page'!$C$3+1))*('Summary Page'!$C$3+1))*('Summary Page'!$C$3+1)</f>
        <v>166.015625</v>
      </c>
      <c r="BD10" s="7">
        <f>((AVERAGE(B10,BA10)*('Summary Page'!$C$4+1))*('Summary Page'!$C$4+1))*('Summary Page'!$C$4+1)</f>
        <v>146.88</v>
      </c>
      <c r="BE10" s="64">
        <v>28</v>
      </c>
      <c r="BF10" s="69"/>
      <c r="BG10" s="40"/>
      <c r="BH10" s="7">
        <f>((AVERAGE(BE10,BG10)*('Summary Page'!$C$2+1))*('Summary Page'!$C$2+1))*('Summary Page'!$C$2+1)</f>
        <v>43.705087999999989</v>
      </c>
      <c r="BI10" s="7">
        <f>((AVERAGE(BE10,BG10)*('Summary Page'!$C$3+1))*('Summary Page'!$C$3+1))*('Summary Page'!$C$3+1)</f>
        <v>54.6875</v>
      </c>
      <c r="BJ10" s="7">
        <f>((AVERAGE(BE10,BG10)*('Summary Page'!$C$4+1))*('Summary Page'!$C$4+1))*('Summary Page'!$C$4+1)</f>
        <v>48.384</v>
      </c>
      <c r="BK10" s="64">
        <v>25</v>
      </c>
      <c r="BL10" s="40"/>
      <c r="BM10" s="40"/>
      <c r="BN10" s="7">
        <f>((AVERAGE(BK10,BM10)*('Summary Page'!$C$2+1))*('Summary Page'!$C$2+1))*('Summary Page'!$C$2+1)</f>
        <v>39.02239999999999</v>
      </c>
      <c r="BO10" s="7">
        <f>((AVERAGE(BK10,BM10)*('Summary Page'!$C$3+1))*('Summary Page'!$C$3+1))*('Summary Page'!$C$3+1)</f>
        <v>48.828125</v>
      </c>
      <c r="BP10" s="7">
        <f>((AVERAGE(BK10,BM10)*('Summary Page'!$C$4+1))*('Summary Page'!$C$4+1))*('Summary Page'!$C$4+1)</f>
        <v>43.199999999999996</v>
      </c>
      <c r="BQ10" s="64">
        <v>56</v>
      </c>
      <c r="BR10" s="40"/>
      <c r="BS10" s="40"/>
      <c r="BT10" s="7">
        <f>((AVERAGE(BQ10,BS10)*('Summary Page'!$C$2+1))*('Summary Page'!$C$2+1))*('Summary Page'!$C$2+1)</f>
        <v>87.410175999999979</v>
      </c>
      <c r="BU10" s="7">
        <f>((AVERAGE(BQ10,BS10)*('Summary Page'!$C$3+1))*('Summary Page'!$C$3+1))*('Summary Page'!$C$3+1)</f>
        <v>109.375</v>
      </c>
      <c r="BV10" s="8">
        <f>((AVERAGE(BQ10,BS10)*('Summary Page'!$C$4+1))*('Summary Page'!$C$4+1))*('Summary Page'!$C$4+1)</f>
        <v>96.768000000000001</v>
      </c>
      <c r="BW10" s="64">
        <v>51</v>
      </c>
      <c r="BX10" s="40"/>
      <c r="BY10" s="40"/>
      <c r="BZ10" s="7">
        <f>((AVERAGE(BW10,BY10)*('Summary Page'!$C$2+1))*('Summary Page'!$C$2+1))*('Summary Page'!$C$2+1)</f>
        <v>79.60569599999998</v>
      </c>
      <c r="CA10" s="7">
        <f>((AVERAGE(BW10,BY10)*('Summary Page'!$C$3+1))*('Summary Page'!$C$3+1))*('Summary Page'!$C$3+1)</f>
        <v>99.609375</v>
      </c>
      <c r="CB10" s="8">
        <f>((AVERAGE(BW10,BY10)*('Summary Page'!$C$4+1))*('Summary Page'!$C$4+1))*('Summary Page'!$C$4+1)</f>
        <v>88.128</v>
      </c>
      <c r="CC10" s="64">
        <v>28</v>
      </c>
      <c r="CD10" s="40"/>
      <c r="CE10" s="40"/>
      <c r="CF10" s="7">
        <f>((AVERAGE(CC10,CE10)*('Summary Page'!$C$2+1))*('Summary Page'!$C$2+1))*('Summary Page'!$C$2+1)</f>
        <v>43.705087999999989</v>
      </c>
      <c r="CG10" s="7">
        <f>((AVERAGE(CC10,CE10)*('Summary Page'!$C$3+1))*('Summary Page'!$C$3+1))*('Summary Page'!$C$3+1)</f>
        <v>54.6875</v>
      </c>
      <c r="CH10" s="8">
        <f>((AVERAGE(CC10,CE10)*('Summary Page'!$C$4+1))*('Summary Page'!$C$4+1))*('Summary Page'!$C$4+1)</f>
        <v>48.384</v>
      </c>
      <c r="CI10" s="64">
        <v>18</v>
      </c>
      <c r="CJ10" s="40"/>
      <c r="CK10" s="40"/>
      <c r="CL10" s="7">
        <f>((AVERAGE(CI10,CK10)*('Summary Page'!$C$2+1))*('Summary Page'!$C$2+1))*('Summary Page'!$C$2+1)</f>
        <v>28.096127999999993</v>
      </c>
      <c r="CM10" s="7">
        <f>((AVERAGE(CI10,CK10)*('Summary Page'!$C$3+1))*('Summary Page'!$C$3+1))*('Summary Page'!$C$3+1)</f>
        <v>35.15625</v>
      </c>
      <c r="CN10" s="8">
        <f>((AVERAGE(CI10,CK10)*('Summary Page'!$C$4+1))*('Summary Page'!$C$4+1))*('Summary Page'!$C$4+1)</f>
        <v>31.103999999999996</v>
      </c>
      <c r="CQ10" s="40"/>
      <c r="CR10" s="7">
        <f>((AVERAGE(C10,CQ10)*('Summary Page'!$C$2+1))*('Summary Page'!$C$2+1))*('Summary Page'!$C$2+1)</f>
        <v>60.874943999999985</v>
      </c>
      <c r="CS10" s="7">
        <f>((AVERAGE(C10,CQ10)*('Summary Page'!$C$3+1))*('Summary Page'!$C$3+1))*('Summary Page'!$C$3+1)</f>
        <v>76.171875</v>
      </c>
      <c r="CT10" s="8">
        <f>((AVERAGE(C10,CQ10)*('Summary Page'!$C$4+1))*('Summary Page'!$C$4+1))*('Summary Page'!$C$4+1)</f>
        <v>67.391999999999996</v>
      </c>
      <c r="CW10" s="40"/>
      <c r="CX10" s="7">
        <f>((AVERAGE(D10,CW10)*('Summary Page'!$C$2+1))*('Summary Page'!$C$2+1))*('Summary Page'!$C$2+1)</f>
        <v>49.948671999999995</v>
      </c>
      <c r="CY10" s="7">
        <f>((AVERAGE(D10,CW10)*('Summary Page'!$C$3+1))*('Summary Page'!$C$3+1))*('Summary Page'!$C$3+1)</f>
        <v>62.5</v>
      </c>
      <c r="CZ10" s="8">
        <f>((AVERAGE(D10,CW10)*('Summary Page'!$C$4+1))*('Summary Page'!$C$4+1))*('Summary Page'!$C$4+1)</f>
        <v>55.295999999999999</v>
      </c>
      <c r="DA10" s="64">
        <v>20</v>
      </c>
      <c r="DB10" s="40"/>
      <c r="DC10" s="40"/>
      <c r="DD10" s="7">
        <f>((AVERAGE(DA10,DC10)*('Summary Page'!$C$2+1))*('Summary Page'!$C$2+1))*('Summary Page'!$C$2+1)</f>
        <v>31.217919999999996</v>
      </c>
      <c r="DE10" s="7">
        <f>((AVERAGE(DA10,DC10)*('Summary Page'!$C$3+1))*('Summary Page'!$C$3+1))*('Summary Page'!$C$3+1)</f>
        <v>39.0625</v>
      </c>
      <c r="DF10" s="8">
        <f>((AVERAGE(DA10,DC10)*('Summary Page'!$C$4+1))*('Summary Page'!$C$4+1))*('Summary Page'!$C$4+1)</f>
        <v>34.559999999999995</v>
      </c>
      <c r="DG10" s="64">
        <v>22</v>
      </c>
      <c r="DH10" s="40"/>
      <c r="DI10" s="40"/>
      <c r="DJ10" s="7">
        <f>((AVERAGE(DG10,DI10)*('Summary Page'!$C$2+1))*('Summary Page'!$C$2+1))*('Summary Page'!$C$2+1)</f>
        <v>34.339711999999992</v>
      </c>
      <c r="DK10" s="7">
        <f>((AVERAGE(DG10,DI10)*('Summary Page'!$C$3+1))*('Summary Page'!$C$3+1))*('Summary Page'!$C$3+1)</f>
        <v>42.96875</v>
      </c>
      <c r="DL10" s="8">
        <f>((AVERAGE(DG10,DI10)*('Summary Page'!$C$4+1))*('Summary Page'!$C$4+1))*('Summary Page'!$C$4+1)</f>
        <v>38.015999999999991</v>
      </c>
      <c r="DO10" s="40"/>
      <c r="DP10" s="7">
        <f>((AVERAGE(F10,DO10)*('Summary Page'!$C$2+1))*('Summary Page'!$C$2+1))*('Summary Page'!$C$2+1)</f>
        <v>0</v>
      </c>
      <c r="DQ10" s="7">
        <f>((AVERAGE(F10,DO10)*('Summary Page'!$C$3+1))*('Summary Page'!$C$3+1))*('Summary Page'!$C$3+1)</f>
        <v>0</v>
      </c>
      <c r="DR10" s="8">
        <f>((AVERAGE(F10,DO10)*('Summary Page'!$C$4+1))*('Summary Page'!$C$4+1))*('Summary Page'!$C$4+1)</f>
        <v>0</v>
      </c>
      <c r="DU10" s="40"/>
      <c r="DV10" s="7">
        <f>((AVERAGE(G10,DU10)*('Summary Page'!$C$2+1))*('Summary Page'!$C$2+1))*('Summary Page'!$C$2+1)</f>
        <v>14.048063999999997</v>
      </c>
      <c r="DW10" s="7">
        <f>((AVERAGE(G10,DU10)*('Summary Page'!$C$3+1))*('Summary Page'!$C$3+1))*('Summary Page'!$C$3+1)</f>
        <v>17.578125</v>
      </c>
      <c r="DX10" s="8">
        <f>((AVERAGE(G10,DU10)*('Summary Page'!$C$4+1))*('Summary Page'!$C$4+1))*('Summary Page'!$C$4+1)</f>
        <v>15.551999999999998</v>
      </c>
      <c r="EA10" s="40"/>
      <c r="EB10" s="7">
        <f>((AVERAGE(H10,EA10)*('Summary Page'!$C$2+1))*('Summary Page'!$C$2+1))*('Summary Page'!$C$2+1)</f>
        <v>18.730751999999995</v>
      </c>
      <c r="EC10" s="7">
        <f>((AVERAGE(H10,EA10)*('Summary Page'!$C$3+1))*('Summary Page'!$C$3+1))*('Summary Page'!$C$3+1)</f>
        <v>23.4375</v>
      </c>
      <c r="ED10" s="8">
        <f>((AVERAGE(H10,EA10)*('Summary Page'!$C$4+1))*('Summary Page'!$C$4+1))*('Summary Page'!$C$4+1)</f>
        <v>20.735999999999997</v>
      </c>
      <c r="EG10" s="40"/>
      <c r="EH10" s="7">
        <f>((AVERAGE(I10,EG10)*('Summary Page'!$C$2+1))*('Summary Page'!$C$2+1))*('Summary Page'!$C$2+1)</f>
        <v>82.72748799999998</v>
      </c>
      <c r="EI10" s="7">
        <f>((AVERAGE(I10,EG10)*('Summary Page'!$C$3+1))*('Summary Page'!$C$3+1))*('Summary Page'!$C$3+1)</f>
        <v>103.515625</v>
      </c>
      <c r="EJ10" s="8">
        <f>((AVERAGE(I10,EG10)*('Summary Page'!$C$4+1))*('Summary Page'!$C$4+1))*('Summary Page'!$C$4+1)</f>
        <v>91.583999999999989</v>
      </c>
      <c r="EM10" s="40"/>
      <c r="EN10" s="7" t="e">
        <f>((AVERAGE(AD10,EM10)*('Summary Page'!$C$2+1))*('Summary Page'!$C$2+1))*('Summary Page'!$C$2+1)</f>
        <v>#DIV/0!</v>
      </c>
      <c r="EO10" s="7" t="e">
        <f>((AVERAGE(AD10,EM10)*('Summary Page'!$C$3+1))*('Summary Page'!$C$3+1))*('Summary Page'!$C$3+1)</f>
        <v>#DIV/0!</v>
      </c>
      <c r="EP10" s="7" t="e">
        <f>((AVERAGE(AD10,EM10)*('Summary Page'!$C$4+1))*('Summary Page'!$C$4+1))*('Summary Page'!$C$4+1)</f>
        <v>#DIV/0!</v>
      </c>
      <c r="EQ10" s="7">
        <v>100</v>
      </c>
      <c r="ER10" s="9"/>
    </row>
    <row r="11" spans="1:165" ht="15.75" x14ac:dyDescent="0.25">
      <c r="A11" s="1">
        <v>43451</v>
      </c>
      <c r="B11" s="40">
        <v>81</v>
      </c>
      <c r="C11" s="64">
        <v>40</v>
      </c>
      <c r="D11" s="64">
        <v>34</v>
      </c>
      <c r="E11" s="7">
        <f t="shared" si="1"/>
        <v>60.5</v>
      </c>
      <c r="F11" s="64">
        <v>0</v>
      </c>
      <c r="G11" s="64">
        <v>10</v>
      </c>
      <c r="H11" s="64">
        <v>10</v>
      </c>
      <c r="I11" s="64">
        <v>42</v>
      </c>
      <c r="J11" s="64"/>
      <c r="K11" s="5">
        <f t="shared" si="2"/>
        <v>30.125</v>
      </c>
      <c r="L11" s="99"/>
      <c r="M11" s="40"/>
      <c r="N11" s="40"/>
      <c r="O11" s="40"/>
      <c r="P11" s="40"/>
      <c r="Q11" s="40"/>
      <c r="R11" s="40"/>
      <c r="S11" s="40"/>
      <c r="T11" s="40"/>
      <c r="U11" s="100"/>
      <c r="V11" s="13"/>
      <c r="W11" s="13"/>
      <c r="X11" s="13"/>
      <c r="Y11" s="13"/>
      <c r="Z11" s="13"/>
      <c r="AA11" s="13"/>
      <c r="AB11" s="13"/>
      <c r="AC11" s="13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13"/>
      <c r="AO11" s="7">
        <f>((AVERAGE(K6:K11)*('Summary Page'!$C$2+1))*('Summary Page'!$C$2+1))*('Summary Page'!$C$2+1)</f>
        <v>47.932514666666656</v>
      </c>
      <c r="AP11" s="7">
        <f>((AVERAGE(K6:K11)*('Summary Page'!$C$3+1))*('Summary Page'!$C$3+1))*('Summary Page'!$C$3+1)</f>
        <v>59.977213541666657</v>
      </c>
      <c r="AQ11" s="7">
        <f>((AVERAGE(K6:K11)*('Summary Page'!$C$4+1))*('Summary Page'!$C$4+1))*('Summary Page'!$C$4+1)</f>
        <v>53.063999999999986</v>
      </c>
      <c r="AR11" s="7">
        <v>80</v>
      </c>
      <c r="AS11" s="5">
        <f t="shared" si="3"/>
        <v>30.666666666666668</v>
      </c>
      <c r="AT11" s="13"/>
      <c r="AU11" s="13"/>
      <c r="AV11" s="7">
        <f>((AVERAGE(AS11,AU11)*('Summary Page'!$C$2+1))*('Summary Page'!$C$2+1))*('Summary Page'!$C$2+1)</f>
        <v>47.867477333333326</v>
      </c>
      <c r="AW11" s="7">
        <f>((AVERAGE(AS11,AU11)*('Summary Page'!$C$3+1))*('Summary Page'!$C$3+1))*('Summary Page'!$C$3+1)</f>
        <v>59.895833333333343</v>
      </c>
      <c r="AX11" s="8">
        <f>((AVERAGE(AS11,AU11)*('Summary Page'!$C$4+1))*('Summary Page'!$C$4+1))*('Summary Page'!$C$4+1)</f>
        <v>52.991999999999997</v>
      </c>
      <c r="BA11" s="40"/>
      <c r="BB11" s="7">
        <f>((AVERAGE(B6:B11)*(+'Summary Page'!$C$2+1))*('Summary Page'!$C$2+1))*('Summary Page'!$C$2+1)</f>
        <v>132.41601066666664</v>
      </c>
      <c r="BC11" s="7">
        <f>((AVERAGE(B6:B11)*('Summary Page'!$C$3+1))*('Summary Page'!$C$3+1))*('Summary Page'!$C$3+1)</f>
        <v>165.69010416666663</v>
      </c>
      <c r="BD11" s="7">
        <f>((AVERAGE(B6:B11)*('Summary Page'!$C$4+1))*('Summary Page'!$C$4+1))*('Summary Page'!$C$4+1)</f>
        <v>146.59199999999998</v>
      </c>
      <c r="BE11" s="64">
        <v>25</v>
      </c>
      <c r="BF11" s="69"/>
      <c r="BG11" s="40"/>
      <c r="BH11" s="7">
        <f>((AVERAGE(BE11,BG11)*('Summary Page'!$C$2+1))*('Summary Page'!$C$2+1))*('Summary Page'!$C$2+1)</f>
        <v>39.02239999999999</v>
      </c>
      <c r="BI11" s="7">
        <f>((AVERAGE(BE11,BG11)*('Summary Page'!$C$3+1))*('Summary Page'!$C$3+1))*('Summary Page'!$C$3+1)</f>
        <v>48.828125</v>
      </c>
      <c r="BJ11" s="7">
        <f>((AVERAGE(BE11,BG11)*('Summary Page'!$C$4+1))*('Summary Page'!$C$4+1))*('Summary Page'!$C$4+1)</f>
        <v>43.199999999999996</v>
      </c>
      <c r="BK11" s="64">
        <v>23</v>
      </c>
      <c r="BL11" s="40"/>
      <c r="BM11" s="40"/>
      <c r="BN11" s="7">
        <f>((AVERAGE(BK11,BM11)*('Summary Page'!$C$2+1))*('Summary Page'!$C$2+1))*('Summary Page'!$C$2+1)</f>
        <v>35.900607999999998</v>
      </c>
      <c r="BO11" s="7">
        <f>((AVERAGE(BK11,BM11)*('Summary Page'!$C$3+1))*('Summary Page'!$C$3+1))*('Summary Page'!$C$3+1)</f>
        <v>44.921875</v>
      </c>
      <c r="BP11" s="7">
        <f>((AVERAGE(BK11,BM11)*('Summary Page'!$C$4+1))*('Summary Page'!$C$4+1))*('Summary Page'!$C$4+1)</f>
        <v>39.743999999999993</v>
      </c>
      <c r="BQ11" s="64">
        <v>60</v>
      </c>
      <c r="BR11" s="40"/>
      <c r="BS11" s="40"/>
      <c r="BT11" s="7">
        <f>((AVERAGE(BQ11,BS11)*('Summary Page'!$C$2+1))*('Summary Page'!$C$2+1))*('Summary Page'!$C$2+1)</f>
        <v>93.653759999999977</v>
      </c>
      <c r="BU11" s="7">
        <f>((AVERAGE(BQ11,BS11)*('Summary Page'!$C$3+1))*('Summary Page'!$C$3+1))*('Summary Page'!$C$3+1)</f>
        <v>117.1875</v>
      </c>
      <c r="BV11" s="8">
        <f>((AVERAGE(BQ11,BS11)*('Summary Page'!$C$4+1))*('Summary Page'!$C$4+1))*('Summary Page'!$C$4+1)</f>
        <v>103.67999999999999</v>
      </c>
      <c r="BW11" s="64">
        <v>42</v>
      </c>
      <c r="BX11" s="40"/>
      <c r="BY11" s="40"/>
      <c r="BZ11" s="7">
        <f>((AVERAGE(BW11,BY11)*('Summary Page'!$C$2+1))*('Summary Page'!$C$2+1))*('Summary Page'!$C$2+1)</f>
        <v>65.557631999999984</v>
      </c>
      <c r="CA11" s="7">
        <f>((AVERAGE(BW11,BY11)*('Summary Page'!$C$3+1))*('Summary Page'!$C$3+1))*('Summary Page'!$C$3+1)</f>
        <v>82.03125</v>
      </c>
      <c r="CB11" s="8">
        <f>((AVERAGE(BW11,BY11)*('Summary Page'!$C$4+1))*('Summary Page'!$C$4+1))*('Summary Page'!$C$4+1)</f>
        <v>72.575999999999993</v>
      </c>
      <c r="CC11" s="64">
        <v>25</v>
      </c>
      <c r="CD11" s="40"/>
      <c r="CE11" s="40"/>
      <c r="CF11" s="7">
        <f>((AVERAGE(CC11,CE11)*('Summary Page'!$C$2+1))*('Summary Page'!$C$2+1))*('Summary Page'!$C$2+1)</f>
        <v>39.02239999999999</v>
      </c>
      <c r="CG11" s="7">
        <f>((AVERAGE(CC11,CE11)*('Summary Page'!$C$3+1))*('Summary Page'!$C$3+1))*('Summary Page'!$C$3+1)</f>
        <v>48.828125</v>
      </c>
      <c r="CH11" s="8">
        <f>((AVERAGE(CC11,CE11)*('Summary Page'!$C$4+1))*('Summary Page'!$C$4+1))*('Summary Page'!$C$4+1)</f>
        <v>43.199999999999996</v>
      </c>
      <c r="CI11" s="64">
        <v>19</v>
      </c>
      <c r="CJ11" s="40"/>
      <c r="CK11" s="40"/>
      <c r="CL11" s="7">
        <f>((AVERAGE(CI11,CK11)*('Summary Page'!$C$2+1))*('Summary Page'!$C$2+1))*('Summary Page'!$C$2+1)</f>
        <v>29.657023999999996</v>
      </c>
      <c r="CM11" s="7">
        <f>((AVERAGE(CI11,CK11)*('Summary Page'!$C$3+1))*('Summary Page'!$C$3+1))*('Summary Page'!$C$3+1)</f>
        <v>37.109375</v>
      </c>
      <c r="CN11" s="8">
        <f>((AVERAGE(CI11,CK11)*('Summary Page'!$C$4+1))*('Summary Page'!$C$4+1))*('Summary Page'!$C$4+1)</f>
        <v>32.832000000000001</v>
      </c>
      <c r="CQ11" s="40"/>
      <c r="CR11" s="7">
        <f>((AVERAGE(C6:C11)*('Summary Page'!$C$2+1))*('Summary Page'!$C$2+1))*('Summary Page'!$C$2+1)</f>
        <v>62.956138666666668</v>
      </c>
      <c r="CS11" s="7">
        <f>((AVERAGE(C6:C11)*('Summary Page'!$C$3+1))*('Summary Page'!$C$3+1))*('Summary Page'!$C$3+1)</f>
        <v>78.776041666666686</v>
      </c>
      <c r="CT11" s="8">
        <f>((AVERAGE(C6:C11)*('Summary Page'!$C$4+1))*('Summary Page'!$C$4+1))*('Summary Page'!$C$4+1)</f>
        <v>69.695999999999998</v>
      </c>
      <c r="CW11" s="40"/>
      <c r="CX11" s="7">
        <f>((AVERAGE(D6:D11)*('Summary Page'!$C$2+1))*('Summary Page'!$C$2+1))*('Summary Page'!$C$2+1)</f>
        <v>50.989269333333318</v>
      </c>
      <c r="CY11" s="7">
        <f>((AVERAGE(D6:D11)*('Summary Page'!$C$3+1))*('Summary Page'!$C$3+1))*('Summary Page'!$C$3+1)</f>
        <v>63.802083333333321</v>
      </c>
      <c r="CZ11" s="8">
        <f>((AVERAGE(D6:D11)*('Summary Page'!$C$4+1))*('Summary Page'!$C$4+1))*('Summary Page'!$C$4+1)</f>
        <v>56.447999999999986</v>
      </c>
      <c r="DA11" s="64">
        <v>22</v>
      </c>
      <c r="DB11" s="40"/>
      <c r="DC11" s="40"/>
      <c r="DD11" s="7">
        <f>((AVERAGE(DA11,DC11)*('Summary Page'!$C$2+1))*('Summary Page'!$C$2+1))*('Summary Page'!$C$2+1)</f>
        <v>34.339711999999992</v>
      </c>
      <c r="DE11" s="7">
        <f>((AVERAGE(DA11,DC11)*('Summary Page'!$C$3+1))*('Summary Page'!$C$3+1))*('Summary Page'!$C$3+1)</f>
        <v>42.96875</v>
      </c>
      <c r="DF11" s="8">
        <f>((AVERAGE(DA11,DC11)*('Summary Page'!$C$4+1))*('Summary Page'!$C$4+1))*('Summary Page'!$C$4+1)</f>
        <v>38.015999999999991</v>
      </c>
      <c r="DG11" s="64">
        <v>25</v>
      </c>
      <c r="DH11" s="40"/>
      <c r="DI11" s="40"/>
      <c r="DJ11" s="7">
        <f>((AVERAGE(DG11,DI11)*('Summary Page'!$C$2+1))*('Summary Page'!$C$2+1))*('Summary Page'!$C$2+1)</f>
        <v>39.02239999999999</v>
      </c>
      <c r="DK11" s="7">
        <f>((AVERAGE(DG11,DI11)*('Summary Page'!$C$3+1))*('Summary Page'!$C$3+1))*('Summary Page'!$C$3+1)</f>
        <v>48.828125</v>
      </c>
      <c r="DL11" s="8">
        <f>((AVERAGE(DG11,DI11)*('Summary Page'!$C$4+1))*('Summary Page'!$C$4+1))*('Summary Page'!$C$4+1)</f>
        <v>43.199999999999996</v>
      </c>
      <c r="DO11" s="40"/>
      <c r="DP11" s="7">
        <f>((AVERAGE(F11,DO11)*('Summary Page'!$C$2+1))*('Summary Page'!$C$2+1))*('Summary Page'!$C$2+1)</f>
        <v>0</v>
      </c>
      <c r="DQ11" s="7">
        <f>((AVERAGE(F11,DO11)*('Summary Page'!$C$3+1))*('Summary Page'!$C$3+1))*('Summary Page'!$C$3+1)</f>
        <v>0</v>
      </c>
      <c r="DR11" s="8">
        <f>((AVERAGE(F11,DO11)*('Summary Page'!$C$4+1))*('Summary Page'!$C$4+1))*('Summary Page'!$C$4+1)</f>
        <v>0</v>
      </c>
      <c r="DU11" s="40"/>
      <c r="DV11" s="7">
        <f>((AVERAGE(G11,DU11)*('Summary Page'!$C$2+1))*('Summary Page'!$C$2+1))*('Summary Page'!$C$2+1)</f>
        <v>15.608959999999998</v>
      </c>
      <c r="DW11" s="7">
        <f>((AVERAGE(G11,DU11)*('Summary Page'!$C$3+1))*('Summary Page'!$C$3+1))*('Summary Page'!$C$3+1)</f>
        <v>19.53125</v>
      </c>
      <c r="DX11" s="8">
        <f>((AVERAGE(G11,DU11)*('Summary Page'!$C$4+1))*('Summary Page'!$C$4+1))*('Summary Page'!$C$4+1)</f>
        <v>17.279999999999998</v>
      </c>
      <c r="EA11" s="40"/>
      <c r="EB11" s="7">
        <f>((AVERAGE(H6:H11)*('Summary Page'!$C$2+1))*('Summary Page'!$C$2+1))*('Summary Page'!$C$2+1)</f>
        <v>23.413439999999994</v>
      </c>
      <c r="EC11" s="7">
        <f>((AVERAGE(H6:H11)*('Summary Page'!$C$3+1))*('Summary Page'!$C$3+1))*('Summary Page'!$C$3+1)</f>
        <v>29.296875</v>
      </c>
      <c r="ED11" s="8">
        <f>((AVERAGE(H6:H11)*('Summary Page'!$C$4+1))*('Summary Page'!$C$4+1))*('Summary Page'!$C$4+1)</f>
        <v>25.919999999999998</v>
      </c>
      <c r="EG11" s="40"/>
      <c r="EH11" s="7">
        <f>((AVERAGE(I6:I11)*('Summary Page'!$C$2+1))*('Summary Page'!$C$2+1))*('Summary Page'!$C$2+1)</f>
        <v>72.581663999999989</v>
      </c>
      <c r="EI11" s="7">
        <f>((AVERAGE(I6:I11)*('Summary Page'!$C$3+1))*('Summary Page'!$C$3+1))*('Summary Page'!$C$3+1)</f>
        <v>90.8203125</v>
      </c>
      <c r="EJ11" s="8">
        <f>((AVERAGE(I6:I11)*('Summary Page'!$C$4+1))*('Summary Page'!$C$4+1))*('Summary Page'!$C$4+1)</f>
        <v>80.35199999999999</v>
      </c>
      <c r="EM11" s="40"/>
      <c r="EN11" s="7" t="e">
        <f>((AVERAGE(AD6:AD11)*('Summary Page'!$C$2+1))*('Summary Page'!$C$2+1))*('Summary Page'!$C$2+1)</f>
        <v>#DIV/0!</v>
      </c>
      <c r="EO11" s="7" t="e">
        <f>((AVERAGE(AD6:AD11)*('Summary Page'!$C$3+1))*('Summary Page'!$C$3+1))*('Summary Page'!$C$3+1)</f>
        <v>#DIV/0!</v>
      </c>
      <c r="EP11" s="7" t="e">
        <f>((AVERAGE(AD6:AD11)*('Summary Page'!$C$4+1))*('Summary Page'!$C$4+1))*('Summary Page'!$C$4+1)</f>
        <v>#DIV/0!</v>
      </c>
      <c r="EQ11" s="7">
        <v>100</v>
      </c>
      <c r="ER11" s="9"/>
    </row>
    <row r="12" spans="1:165" ht="15.75" x14ac:dyDescent="0.25">
      <c r="A12" s="1">
        <v>43465</v>
      </c>
      <c r="B12" s="40">
        <v>81</v>
      </c>
      <c r="C12" s="64">
        <v>40</v>
      </c>
      <c r="D12" s="64">
        <v>34</v>
      </c>
      <c r="E12" s="7">
        <f t="shared" si="1"/>
        <v>60.5</v>
      </c>
      <c r="F12" s="64">
        <v>0</v>
      </c>
      <c r="G12" s="64">
        <v>10</v>
      </c>
      <c r="H12" s="64">
        <v>10</v>
      </c>
      <c r="I12" s="64">
        <v>42</v>
      </c>
      <c r="J12" s="64"/>
      <c r="K12" s="5">
        <f t="shared" si="2"/>
        <v>30.125</v>
      </c>
      <c r="L12" s="99"/>
      <c r="M12" s="40"/>
      <c r="N12" s="40"/>
      <c r="O12" s="40"/>
      <c r="P12" s="40"/>
      <c r="Q12" s="40"/>
      <c r="R12" s="40"/>
      <c r="S12" s="40"/>
      <c r="T12" s="40"/>
      <c r="U12" s="100"/>
      <c r="V12" s="13"/>
      <c r="W12" s="13"/>
      <c r="X12" s="13"/>
      <c r="Y12" s="13"/>
      <c r="Z12" s="13"/>
      <c r="AA12" s="13"/>
      <c r="AB12" s="13"/>
      <c r="AC12" s="13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13"/>
      <c r="AO12" s="7">
        <f>((AVERAGE(K7:K12)*('Summary Page'!$C$2+1))*('Summary Page'!$C$2+1))*('Summary Page'!$C$2+1)</f>
        <v>48.030070666666646</v>
      </c>
      <c r="AP12" s="7">
        <f>((AVERAGE(K7:K12)*('Summary Page'!$C$3+1))*('Summary Page'!$C$3+1))*('Summary Page'!$C$3+1)</f>
        <v>60.099283854166657</v>
      </c>
      <c r="AQ12" s="7">
        <f>((AVERAGE(K7:K12)*('Summary Page'!$C$4+1))*('Summary Page'!$C$4+1))*('Summary Page'!$C$4+1)</f>
        <v>53.17199999999999</v>
      </c>
      <c r="AR12" s="7">
        <v>80</v>
      </c>
      <c r="AS12" s="5">
        <f t="shared" si="3"/>
        <v>30.666666666666668</v>
      </c>
      <c r="AT12" s="13"/>
      <c r="AU12" s="13"/>
      <c r="AV12" s="7">
        <f>((AVERAGE(AS12,AU12)*('Summary Page'!$C$2+1))*('Summary Page'!$C$2+1))*('Summary Page'!$C$2+1)</f>
        <v>47.867477333333326</v>
      </c>
      <c r="AW12" s="7">
        <f>((AVERAGE(AS12,AU12)*('Summary Page'!$C$3+1))*('Summary Page'!$C$3+1))*('Summary Page'!$C$3+1)</f>
        <v>59.895833333333343</v>
      </c>
      <c r="AX12" s="8">
        <f>((AVERAGE(AS12,AU12)*('Summary Page'!$C$4+1))*('Summary Page'!$C$4+1))*('Summary Page'!$C$4+1)</f>
        <v>52.991999999999997</v>
      </c>
      <c r="BA12" s="40"/>
      <c r="BB12" s="7">
        <f>((AVERAGE(B7:B12)*(+'Summary Page'!$C$2+1))*('Summary Page'!$C$2+1))*('Summary Page'!$C$2+1)</f>
        <v>132.9363093333333</v>
      </c>
      <c r="BC12" s="7">
        <f>((AVERAGE(B7:B12)*('Summary Page'!$C$3+1))*('Summary Page'!$C$3+1))*('Summary Page'!$C$3+1)</f>
        <v>166.34114583333337</v>
      </c>
      <c r="BD12" s="7">
        <f>((AVERAGE(B7:B12)*('Summary Page'!$C$4+1))*('Summary Page'!$C$4+1))*('Summary Page'!$C$4+1)</f>
        <v>147.16800000000001</v>
      </c>
      <c r="BE12" s="64">
        <v>25</v>
      </c>
      <c r="BF12" s="69"/>
      <c r="BG12" s="40"/>
      <c r="BH12" s="7">
        <f>((AVERAGE(BE12,BG12)*('Summary Page'!$C$2+1))*('Summary Page'!$C$2+1))*('Summary Page'!$C$2+1)</f>
        <v>39.02239999999999</v>
      </c>
      <c r="BI12" s="7">
        <f>((AVERAGE(BE12,BG12)*('Summary Page'!$C$3+1))*('Summary Page'!$C$3+1))*('Summary Page'!$C$3+1)</f>
        <v>48.828125</v>
      </c>
      <c r="BJ12" s="7">
        <f>((AVERAGE(BE12,BG12)*('Summary Page'!$C$4+1))*('Summary Page'!$C$4+1))*('Summary Page'!$C$4+1)</f>
        <v>43.199999999999996</v>
      </c>
      <c r="BK12" s="64">
        <v>23</v>
      </c>
      <c r="BL12" s="40"/>
      <c r="BM12" s="40"/>
      <c r="BN12" s="7">
        <f>((AVERAGE(BK12,BM12)*('Summary Page'!$C$2+1))*('Summary Page'!$C$2+1))*('Summary Page'!$C$2+1)</f>
        <v>35.900607999999998</v>
      </c>
      <c r="BO12" s="7">
        <f>((AVERAGE(BK12,BM12)*('Summary Page'!$C$3+1))*('Summary Page'!$C$3+1))*('Summary Page'!$C$3+1)</f>
        <v>44.921875</v>
      </c>
      <c r="BP12" s="7">
        <f>((AVERAGE(BK12,BM12)*('Summary Page'!$C$4+1))*('Summary Page'!$C$4+1))*('Summary Page'!$C$4+1)</f>
        <v>39.743999999999993</v>
      </c>
      <c r="BQ12" s="64">
        <v>60</v>
      </c>
      <c r="BR12" s="40"/>
      <c r="BS12" s="40"/>
      <c r="BT12" s="7">
        <f>((AVERAGE(BQ12,BS12)*('Summary Page'!$C$2+1))*('Summary Page'!$C$2+1))*('Summary Page'!$C$2+1)</f>
        <v>93.653759999999977</v>
      </c>
      <c r="BU12" s="7">
        <f>((AVERAGE(BQ12,BS12)*('Summary Page'!$C$3+1))*('Summary Page'!$C$3+1))*('Summary Page'!$C$3+1)</f>
        <v>117.1875</v>
      </c>
      <c r="BV12" s="8">
        <f>((AVERAGE(BQ12,BS12)*('Summary Page'!$C$4+1))*('Summary Page'!$C$4+1))*('Summary Page'!$C$4+1)</f>
        <v>103.67999999999999</v>
      </c>
      <c r="BW12" s="64">
        <v>42</v>
      </c>
      <c r="BX12" s="40"/>
      <c r="BY12" s="40"/>
      <c r="BZ12" s="7">
        <f>((AVERAGE(BW12,BY12)*('Summary Page'!$C$2+1))*('Summary Page'!$C$2+1))*('Summary Page'!$C$2+1)</f>
        <v>65.557631999999984</v>
      </c>
      <c r="CA12" s="7">
        <f>((AVERAGE(BW12,BY12)*('Summary Page'!$C$3+1))*('Summary Page'!$C$3+1))*('Summary Page'!$C$3+1)</f>
        <v>82.03125</v>
      </c>
      <c r="CB12" s="8">
        <f>((AVERAGE(BW12,BY12)*('Summary Page'!$C$4+1))*('Summary Page'!$C$4+1))*('Summary Page'!$C$4+1)</f>
        <v>72.575999999999993</v>
      </c>
      <c r="CC12" s="64">
        <v>25</v>
      </c>
      <c r="CD12" s="40"/>
      <c r="CE12" s="40"/>
      <c r="CF12" s="7">
        <f>((AVERAGE(CC12,CE12)*('Summary Page'!$C$2+1))*('Summary Page'!$C$2+1))*('Summary Page'!$C$2+1)</f>
        <v>39.02239999999999</v>
      </c>
      <c r="CG12" s="7">
        <f>((AVERAGE(CC12,CE12)*('Summary Page'!$C$3+1))*('Summary Page'!$C$3+1))*('Summary Page'!$C$3+1)</f>
        <v>48.828125</v>
      </c>
      <c r="CH12" s="8">
        <f>((AVERAGE(CC12,CE12)*('Summary Page'!$C$4+1))*('Summary Page'!$C$4+1))*('Summary Page'!$C$4+1)</f>
        <v>43.199999999999996</v>
      </c>
      <c r="CI12" s="64">
        <v>19</v>
      </c>
      <c r="CJ12" s="40"/>
      <c r="CK12" s="40"/>
      <c r="CL12" s="7">
        <f>((AVERAGE(CI12,CK12)*('Summary Page'!$C$2+1))*('Summary Page'!$C$2+1))*('Summary Page'!$C$2+1)</f>
        <v>29.657023999999996</v>
      </c>
      <c r="CM12" s="7">
        <f>((AVERAGE(CI12,CK12)*('Summary Page'!$C$3+1))*('Summary Page'!$C$3+1))*('Summary Page'!$C$3+1)</f>
        <v>37.109375</v>
      </c>
      <c r="CN12" s="8">
        <f>((AVERAGE(CI12,CK12)*('Summary Page'!$C$4+1))*('Summary Page'!$C$4+1))*('Summary Page'!$C$4+1)</f>
        <v>32.832000000000001</v>
      </c>
      <c r="CQ12" s="40"/>
      <c r="CR12" s="7">
        <f>((AVERAGE(C7:C12)*('Summary Page'!$C$2+1))*('Summary Page'!$C$2+1))*('Summary Page'!$C$2+1)</f>
        <v>61.915541333333316</v>
      </c>
      <c r="CS12" s="7">
        <f>((AVERAGE(C7:C12)*('Summary Page'!$C$3+1))*('Summary Page'!$C$3+1))*('Summary Page'!$C$3+1)</f>
        <v>77.473958333333314</v>
      </c>
      <c r="CT12" s="8">
        <f>((AVERAGE(C7:C12)*('Summary Page'!$C$4+1))*('Summary Page'!$C$4+1))*('Summary Page'!$C$4+1)</f>
        <v>68.543999999999983</v>
      </c>
      <c r="CW12" s="40"/>
      <c r="CX12" s="7">
        <f>((AVERAGE(D7:D12)*('Summary Page'!$C$2+1))*('Summary Page'!$C$2+1))*('Summary Page'!$C$2+1)</f>
        <v>51.249418666666656</v>
      </c>
      <c r="CY12" s="7">
        <f>((AVERAGE(D7:D12)*('Summary Page'!$C$3+1))*('Summary Page'!$C$3+1))*('Summary Page'!$C$3+1)</f>
        <v>64.127604166666686</v>
      </c>
      <c r="CZ12" s="8">
        <f>((AVERAGE(D7:D12)*('Summary Page'!$C$4+1))*('Summary Page'!$C$4+1))*('Summary Page'!$C$4+1)</f>
        <v>56.73599999999999</v>
      </c>
      <c r="DA12" s="64">
        <v>22</v>
      </c>
      <c r="DB12" s="40"/>
      <c r="DC12" s="40"/>
      <c r="DD12" s="7">
        <f>((AVERAGE(DA12,DC12)*('Summary Page'!$C$2+1))*('Summary Page'!$C$2+1))*('Summary Page'!$C$2+1)</f>
        <v>34.339711999999992</v>
      </c>
      <c r="DE12" s="7">
        <f>((AVERAGE(DA12,DC12)*('Summary Page'!$C$3+1))*('Summary Page'!$C$3+1))*('Summary Page'!$C$3+1)</f>
        <v>42.96875</v>
      </c>
      <c r="DF12" s="8">
        <f>((AVERAGE(DA12,DC12)*('Summary Page'!$C$4+1))*('Summary Page'!$C$4+1))*('Summary Page'!$C$4+1)</f>
        <v>38.015999999999991</v>
      </c>
      <c r="DG12" s="64">
        <v>25</v>
      </c>
      <c r="DH12" s="40"/>
      <c r="DI12" s="40"/>
      <c r="DJ12" s="7">
        <f>((AVERAGE(DG12,DI12)*('Summary Page'!$C$2+1))*('Summary Page'!$C$2+1))*('Summary Page'!$C$2+1)</f>
        <v>39.02239999999999</v>
      </c>
      <c r="DK12" s="7">
        <f>((AVERAGE(DG12,DI12)*('Summary Page'!$C$3+1))*('Summary Page'!$C$3+1))*('Summary Page'!$C$3+1)</f>
        <v>48.828125</v>
      </c>
      <c r="DL12" s="8">
        <f>((AVERAGE(DG12,DI12)*('Summary Page'!$C$4+1))*('Summary Page'!$C$4+1))*('Summary Page'!$C$4+1)</f>
        <v>43.199999999999996</v>
      </c>
      <c r="DO12" s="40"/>
      <c r="DP12" s="7">
        <f>((AVERAGE(F12,DO12)*('Summary Page'!$C$2+1))*('Summary Page'!$C$2+1))*('Summary Page'!$C$2+1)</f>
        <v>0</v>
      </c>
      <c r="DQ12" s="7">
        <f>((AVERAGE(F12,DO12)*('Summary Page'!$C$3+1))*('Summary Page'!$C$3+1))*('Summary Page'!$C$3+1)</f>
        <v>0</v>
      </c>
      <c r="DR12" s="8">
        <f>((AVERAGE(F12,DO12)*('Summary Page'!$C$4+1))*('Summary Page'!$C$4+1))*('Summary Page'!$C$4+1)</f>
        <v>0</v>
      </c>
      <c r="DU12" s="40"/>
      <c r="DV12" s="7">
        <f>((AVERAGE(G12,DU12)*('Summary Page'!$C$2+1))*('Summary Page'!$C$2+1))*('Summary Page'!$C$2+1)</f>
        <v>15.608959999999998</v>
      </c>
      <c r="DW12" s="7">
        <f>((AVERAGE(G12,DU12)*('Summary Page'!$C$3+1))*('Summary Page'!$C$3+1))*('Summary Page'!$C$3+1)</f>
        <v>19.53125</v>
      </c>
      <c r="DX12" s="8">
        <f>((AVERAGE(G12,DU12)*('Summary Page'!$C$4+1))*('Summary Page'!$C$4+1))*('Summary Page'!$C$4+1)</f>
        <v>17.279999999999998</v>
      </c>
      <c r="EA12" s="40"/>
      <c r="EB12" s="7">
        <f>((AVERAGE(H7:H12)*('Summary Page'!$C$2+1))*('Summary Page'!$C$2+1))*('Summary Page'!$C$2+1)</f>
        <v>20.551797333333329</v>
      </c>
      <c r="EC12" s="7">
        <f>((AVERAGE(H7:H12)*('Summary Page'!$C$3+1))*('Summary Page'!$C$3+1))*('Summary Page'!$C$3+1)</f>
        <v>25.716145833333329</v>
      </c>
      <c r="ED12" s="8">
        <f>((AVERAGE(H7:H12)*('Summary Page'!$C$4+1))*('Summary Page'!$C$4+1))*('Summary Page'!$C$4+1)</f>
        <v>22.751999999999995</v>
      </c>
      <c r="EG12" s="40"/>
      <c r="EH12" s="7">
        <f>((AVERAGE(I7:I12)*('Summary Page'!$C$2+1))*('Summary Page'!$C$2+1))*('Summary Page'!$C$2+1)</f>
        <v>71.801215999999997</v>
      </c>
      <c r="EI12" s="7">
        <f>((AVERAGE(I7:I12)*('Summary Page'!$C$3+1))*('Summary Page'!$C$3+1))*('Summary Page'!$C$3+1)</f>
        <v>89.84375</v>
      </c>
      <c r="EJ12" s="8">
        <f>((AVERAGE(I7:I12)*('Summary Page'!$C$4+1))*('Summary Page'!$C$4+1))*('Summary Page'!$C$4+1)</f>
        <v>79.487999999999985</v>
      </c>
      <c r="EM12" s="40"/>
      <c r="EN12" s="7" t="e">
        <f>((AVERAGE(AD7:AD12)*('Summary Page'!$C$2+1))*('Summary Page'!$C$2+1))*('Summary Page'!$C$2+1)</f>
        <v>#DIV/0!</v>
      </c>
      <c r="EO12" s="7" t="e">
        <f>((AVERAGE(AD7:AD12)*('Summary Page'!$C$3+1))*('Summary Page'!$C$3+1))*('Summary Page'!$C$3+1)</f>
        <v>#DIV/0!</v>
      </c>
      <c r="EP12" s="7" t="e">
        <f>((AVERAGE(AD7:AD12)*('Summary Page'!$C$4+1))*('Summary Page'!$C$4+1))*('Summary Page'!$C$4+1)</f>
        <v>#DIV/0!</v>
      </c>
      <c r="EQ12" s="7">
        <v>100</v>
      </c>
      <c r="ER12" s="9"/>
    </row>
    <row r="13" spans="1:165" ht="15.75" x14ac:dyDescent="0.25">
      <c r="A13" s="1">
        <v>43479</v>
      </c>
      <c r="B13" s="40">
        <v>77</v>
      </c>
      <c r="C13" s="64">
        <v>42</v>
      </c>
      <c r="D13" s="64">
        <v>36</v>
      </c>
      <c r="E13" s="7">
        <f t="shared" si="1"/>
        <v>59.5</v>
      </c>
      <c r="F13" s="64">
        <v>0</v>
      </c>
      <c r="G13" s="64">
        <v>19</v>
      </c>
      <c r="H13" s="64">
        <v>10</v>
      </c>
      <c r="I13" s="64">
        <v>43</v>
      </c>
      <c r="J13" s="64"/>
      <c r="K13" s="5">
        <f t="shared" si="2"/>
        <v>30.375</v>
      </c>
      <c r="L13" s="99"/>
      <c r="M13" s="40"/>
      <c r="N13" s="40"/>
      <c r="O13" s="40"/>
      <c r="P13" s="40"/>
      <c r="Q13" s="40"/>
      <c r="R13" s="40"/>
      <c r="S13" s="40"/>
      <c r="T13" s="40"/>
      <c r="U13" s="100"/>
      <c r="V13" s="13"/>
      <c r="W13" s="13"/>
      <c r="X13" s="13"/>
      <c r="Y13" s="13"/>
      <c r="Z13" s="13"/>
      <c r="AA13" s="13"/>
      <c r="AB13" s="13"/>
      <c r="AC13" s="13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13"/>
      <c r="AO13" s="7">
        <f>((AVERAGE(K8:K13)*('Summary Page'!$C$2+1))*('Summary Page'!$C$2+1))*('Summary Page'!$C$2+1)</f>
        <v>48.127626666666657</v>
      </c>
      <c r="AP13" s="7">
        <f>((AVERAGE(K8:K13)*('Summary Page'!$C$3+1))*('Summary Page'!$C$3+1))*('Summary Page'!$C$3+1)</f>
        <v>60.221354166666657</v>
      </c>
      <c r="AQ13" s="7">
        <f>((AVERAGE(K8:K13)*('Summary Page'!$C$4+1))*('Summary Page'!$C$4+1))*('Summary Page'!$C$4+1)</f>
        <v>53.279999999999994</v>
      </c>
      <c r="AR13" s="7">
        <v>80</v>
      </c>
      <c r="AS13" s="5">
        <f t="shared" si="3"/>
        <v>34.666666666666664</v>
      </c>
      <c r="AT13" s="13"/>
      <c r="AU13" s="13"/>
      <c r="AV13" s="7">
        <f>((AVERAGE(AS13,AU13)*('Summary Page'!$C$2+1))*('Summary Page'!$C$2+1))*('Summary Page'!$C$2+1)</f>
        <v>54.111061333333318</v>
      </c>
      <c r="AW13" s="7">
        <f>((AVERAGE(AS13,AU13)*('Summary Page'!$C$3+1))*('Summary Page'!$C$3+1))*('Summary Page'!$C$3+1)</f>
        <v>67.708333333333314</v>
      </c>
      <c r="AX13" s="8">
        <f>((AVERAGE(AS13,AU13)*('Summary Page'!$C$4+1))*('Summary Page'!$C$4+1))*('Summary Page'!$C$4+1)</f>
        <v>59.903999999999989</v>
      </c>
      <c r="BA13" s="40"/>
      <c r="BB13" s="7">
        <f>((AVERAGE(B8:B13)*(+'Summary Page'!$C$2+1))*('Summary Page'!$C$2+1))*('Summary Page'!$C$2+1)</f>
        <v>130.33481599999999</v>
      </c>
      <c r="BC13" s="7">
        <f>((AVERAGE(B8:B13)*('Summary Page'!$C$3+1))*('Summary Page'!$C$3+1))*('Summary Page'!$C$3+1)</f>
        <v>163.0859375</v>
      </c>
      <c r="BD13" s="7">
        <f>((AVERAGE(B8:B13)*('Summary Page'!$C$4+1))*('Summary Page'!$C$4+1))*('Summary Page'!$C$4+1)</f>
        <v>144.28799999999998</v>
      </c>
      <c r="BE13" s="64">
        <v>25</v>
      </c>
      <c r="BF13" s="69"/>
      <c r="BG13" s="40"/>
      <c r="BH13" s="7">
        <f>((AVERAGE(BE13,BG13)*('Summary Page'!$C$2+1))*('Summary Page'!$C$2+1))*('Summary Page'!$C$2+1)</f>
        <v>39.02239999999999</v>
      </c>
      <c r="BI13" s="7">
        <f>((AVERAGE(BE13,BG13)*('Summary Page'!$C$3+1))*('Summary Page'!$C$3+1))*('Summary Page'!$C$3+1)</f>
        <v>48.828125</v>
      </c>
      <c r="BJ13" s="7">
        <f>((AVERAGE(BE13,BG13)*('Summary Page'!$C$4+1))*('Summary Page'!$C$4+1))*('Summary Page'!$C$4+1)</f>
        <v>43.199999999999996</v>
      </c>
      <c r="BK13" s="64">
        <v>22</v>
      </c>
      <c r="BL13" s="40"/>
      <c r="BM13" s="40"/>
      <c r="BN13" s="7">
        <f>((AVERAGE(BK13,BM13)*('Summary Page'!$C$2+1))*('Summary Page'!$C$2+1))*('Summary Page'!$C$2+1)</f>
        <v>34.339711999999992</v>
      </c>
      <c r="BO13" s="7">
        <f>((AVERAGE(BK13,BM13)*('Summary Page'!$C$3+1))*('Summary Page'!$C$3+1))*('Summary Page'!$C$3+1)</f>
        <v>42.96875</v>
      </c>
      <c r="BP13" s="7">
        <f>((AVERAGE(BK13,BM13)*('Summary Page'!$C$4+1))*('Summary Page'!$C$4+1))*('Summary Page'!$C$4+1)</f>
        <v>38.015999999999991</v>
      </c>
      <c r="BQ13" s="64">
        <v>73</v>
      </c>
      <c r="BR13" s="40"/>
      <c r="BS13" s="40"/>
      <c r="BT13" s="7">
        <f>((AVERAGE(BQ13,BS13)*('Summary Page'!$C$2+1))*('Summary Page'!$C$2+1))*('Summary Page'!$C$2+1)</f>
        <v>113.94540799999997</v>
      </c>
      <c r="BU13" s="7">
        <f>((AVERAGE(BQ13,BS13)*('Summary Page'!$C$3+1))*('Summary Page'!$C$3+1))*('Summary Page'!$C$3+1)</f>
        <v>142.578125</v>
      </c>
      <c r="BV13" s="8">
        <f>((AVERAGE(BQ13,BS13)*('Summary Page'!$C$4+1))*('Summary Page'!$C$4+1))*('Summary Page'!$C$4+1)</f>
        <v>126.14399999999998</v>
      </c>
      <c r="BW13" s="64">
        <v>43</v>
      </c>
      <c r="BX13" s="40"/>
      <c r="BY13" s="40"/>
      <c r="BZ13" s="7">
        <f>((AVERAGE(BW13,BY13)*('Summary Page'!$C$2+1))*('Summary Page'!$C$2+1))*('Summary Page'!$C$2+1)</f>
        <v>67.118527999999984</v>
      </c>
      <c r="CA13" s="7">
        <f>((AVERAGE(BW13,BY13)*('Summary Page'!$C$3+1))*('Summary Page'!$C$3+1))*('Summary Page'!$C$3+1)</f>
        <v>83.984375</v>
      </c>
      <c r="CB13" s="8">
        <f>((AVERAGE(BW13,BY13)*('Summary Page'!$C$4+1))*('Summary Page'!$C$4+1))*('Summary Page'!$C$4+1)</f>
        <v>74.304000000000002</v>
      </c>
      <c r="CC13" s="64">
        <v>23</v>
      </c>
      <c r="CD13" s="40"/>
      <c r="CE13" s="40"/>
      <c r="CF13" s="7">
        <f>((AVERAGE(CC13,CE13)*('Summary Page'!$C$2+1))*('Summary Page'!$C$2+1))*('Summary Page'!$C$2+1)</f>
        <v>35.900607999999998</v>
      </c>
      <c r="CG13" s="7">
        <f>((AVERAGE(CC13,CE13)*('Summary Page'!$C$3+1))*('Summary Page'!$C$3+1))*('Summary Page'!$C$3+1)</f>
        <v>44.921875</v>
      </c>
      <c r="CH13" s="8">
        <f>((AVERAGE(CC13,CE13)*('Summary Page'!$C$4+1))*('Summary Page'!$C$4+1))*('Summary Page'!$C$4+1)</f>
        <v>39.743999999999993</v>
      </c>
      <c r="CI13" s="64">
        <v>18</v>
      </c>
      <c r="CJ13" s="40"/>
      <c r="CK13" s="40"/>
      <c r="CL13" s="7">
        <f>((AVERAGE(CI13,CK13)*('Summary Page'!$C$2+1))*('Summary Page'!$C$2+1))*('Summary Page'!$C$2+1)</f>
        <v>28.096127999999993</v>
      </c>
      <c r="CM13" s="7">
        <f>((AVERAGE(CI13,CK13)*('Summary Page'!$C$3+1))*('Summary Page'!$C$3+1))*('Summary Page'!$C$3+1)</f>
        <v>35.15625</v>
      </c>
      <c r="CN13" s="8">
        <f>((AVERAGE(CI13,CK13)*('Summary Page'!$C$4+1))*('Summary Page'!$C$4+1))*('Summary Page'!$C$4+1)</f>
        <v>31.103999999999996</v>
      </c>
      <c r="CQ13" s="40"/>
      <c r="CR13" s="7">
        <f>((AVERAGE(C8:C13)*('Summary Page'!$C$2+1))*('Summary Page'!$C$2+1))*('Summary Page'!$C$2+1)</f>
        <v>62.175690666666654</v>
      </c>
      <c r="CS13" s="7">
        <f>((AVERAGE(C8:C13)*('Summary Page'!$C$3+1))*('Summary Page'!$C$3+1))*('Summary Page'!$C$3+1)</f>
        <v>77.799479166666686</v>
      </c>
      <c r="CT13" s="8">
        <f>((AVERAGE(C8:C13)*('Summary Page'!$C$4+1))*('Summary Page'!$C$4+1))*('Summary Page'!$C$4+1)</f>
        <v>68.832000000000008</v>
      </c>
      <c r="CW13" s="40"/>
      <c r="CX13" s="7">
        <f>((AVERAGE(D8:D13)*('Summary Page'!$C$2+1))*('Summary Page'!$C$2+1))*('Summary Page'!$C$2+1)</f>
        <v>52.029866666666656</v>
      </c>
      <c r="CY13" s="7">
        <f>((AVERAGE(D8:D13)*('Summary Page'!$C$3+1))*('Summary Page'!$C$3+1))*('Summary Page'!$C$3+1)</f>
        <v>65.104166666666686</v>
      </c>
      <c r="CZ13" s="8">
        <f>((AVERAGE(D8:D13)*('Summary Page'!$C$4+1))*('Summary Page'!$C$4+1))*('Summary Page'!$C$4+1)</f>
        <v>57.599999999999994</v>
      </c>
      <c r="DA13" s="64">
        <v>18</v>
      </c>
      <c r="DB13" s="40"/>
      <c r="DC13" s="40"/>
      <c r="DD13" s="7">
        <f>((AVERAGE(DA13,DC13)*('Summary Page'!$C$2+1))*('Summary Page'!$C$2+1))*('Summary Page'!$C$2+1)</f>
        <v>28.096127999999993</v>
      </c>
      <c r="DE13" s="7">
        <f>((AVERAGE(DA13,DC13)*('Summary Page'!$C$3+1))*('Summary Page'!$C$3+1))*('Summary Page'!$C$3+1)</f>
        <v>35.15625</v>
      </c>
      <c r="DF13" s="8">
        <f>((AVERAGE(DA13,DC13)*('Summary Page'!$C$4+1))*('Summary Page'!$C$4+1))*('Summary Page'!$C$4+1)</f>
        <v>31.103999999999996</v>
      </c>
      <c r="DG13" s="64">
        <v>21</v>
      </c>
      <c r="DH13" s="40"/>
      <c r="DI13" s="40"/>
      <c r="DJ13" s="7">
        <f>((AVERAGE(DG13,DI13)*('Summary Page'!$C$2+1))*('Summary Page'!$C$2+1))*('Summary Page'!$C$2+1)</f>
        <v>32.778815999999992</v>
      </c>
      <c r="DK13" s="7">
        <f>((AVERAGE(DG13,DI13)*('Summary Page'!$C$3+1))*('Summary Page'!$C$3+1))*('Summary Page'!$C$3+1)</f>
        <v>41.015625</v>
      </c>
      <c r="DL13" s="8">
        <f>((AVERAGE(DG13,DI13)*('Summary Page'!$C$4+1))*('Summary Page'!$C$4+1))*('Summary Page'!$C$4+1)</f>
        <v>36.287999999999997</v>
      </c>
      <c r="DO13" s="40"/>
      <c r="DP13" s="7">
        <f>((AVERAGE(F13,DO13)*('Summary Page'!$C$2+1))*('Summary Page'!$C$2+1))*('Summary Page'!$C$2+1)</f>
        <v>0</v>
      </c>
      <c r="DQ13" s="7">
        <f>((AVERAGE(F13,DO13)*('Summary Page'!$C$3+1))*('Summary Page'!$C$3+1))*('Summary Page'!$C$3+1)</f>
        <v>0</v>
      </c>
      <c r="DR13" s="8">
        <f>((AVERAGE(F13,DO13)*('Summary Page'!$C$4+1))*('Summary Page'!$C$4+1))*('Summary Page'!$C$4+1)</f>
        <v>0</v>
      </c>
      <c r="DU13" s="40"/>
      <c r="DV13" s="7">
        <f>((AVERAGE(G13,DU13)*('Summary Page'!$C$2+1))*('Summary Page'!$C$2+1))*('Summary Page'!$C$2+1)</f>
        <v>29.657023999999996</v>
      </c>
      <c r="DW13" s="7">
        <f>((AVERAGE(G13,DU13)*('Summary Page'!$C$3+1))*('Summary Page'!$C$3+1))*('Summary Page'!$C$3+1)</f>
        <v>37.109375</v>
      </c>
      <c r="DX13" s="8">
        <f>((AVERAGE(G13,DU13)*('Summary Page'!$C$4+1))*('Summary Page'!$C$4+1))*('Summary Page'!$C$4+1)</f>
        <v>32.832000000000001</v>
      </c>
      <c r="EA13" s="40"/>
      <c r="EB13" s="7">
        <f>((AVERAGE(H8:H13)*('Summary Page'!$C$2+1))*('Summary Page'!$C$2+1))*('Summary Page'!$C$2+1)</f>
        <v>18.470602666666665</v>
      </c>
      <c r="EC13" s="7">
        <f>((AVERAGE(H8:H13)*('Summary Page'!$C$3+1))*('Summary Page'!$C$3+1))*('Summary Page'!$C$3+1)</f>
        <v>23.111979166666671</v>
      </c>
      <c r="ED13" s="8">
        <f>((AVERAGE(H8:H13)*('Summary Page'!$C$4+1))*('Summary Page'!$C$4+1))*('Summary Page'!$C$4+1)</f>
        <v>20.447999999999997</v>
      </c>
      <c r="EG13" s="40"/>
      <c r="EH13" s="7">
        <f>((AVERAGE(I8:I13)*('Summary Page'!$C$2+1))*('Summary Page'!$C$2+1))*('Summary Page'!$C$2+1)</f>
        <v>70.760618666666659</v>
      </c>
      <c r="EI13" s="7">
        <f>((AVERAGE(I8:I13)*('Summary Page'!$C$3+1))*('Summary Page'!$C$3+1))*('Summary Page'!$C$3+1)</f>
        <v>88.541666666666686</v>
      </c>
      <c r="EJ13" s="8">
        <f>((AVERAGE(I8:I13)*('Summary Page'!$C$4+1))*('Summary Page'!$C$4+1))*('Summary Page'!$C$4+1)</f>
        <v>78.335999999999999</v>
      </c>
      <c r="EM13" s="40"/>
      <c r="EN13" s="7" t="e">
        <f>((AVERAGE(AD8:AD13)*('Summary Page'!$C$2+1))*('Summary Page'!$C$2+1))*('Summary Page'!$C$2+1)</f>
        <v>#DIV/0!</v>
      </c>
      <c r="EO13" s="7" t="e">
        <f>((AVERAGE(AD8:AD13)*('Summary Page'!$C$3+1))*('Summary Page'!$C$3+1))*('Summary Page'!$C$3+1)</f>
        <v>#DIV/0!</v>
      </c>
      <c r="EP13" s="7" t="e">
        <f>((AVERAGE(AD8:AD13)*('Summary Page'!$C$4+1))*('Summary Page'!$C$4+1))*('Summary Page'!$C$4+1)</f>
        <v>#DIV/0!</v>
      </c>
      <c r="EQ13" s="7">
        <v>100</v>
      </c>
      <c r="ER13" s="9"/>
    </row>
    <row r="14" spans="1:165" ht="15.75" x14ac:dyDescent="0.25">
      <c r="A14" s="1">
        <v>43493</v>
      </c>
      <c r="B14" s="40">
        <v>76</v>
      </c>
      <c r="C14" s="64">
        <v>42</v>
      </c>
      <c r="D14" s="64">
        <v>36</v>
      </c>
      <c r="E14" s="7">
        <f t="shared" si="1"/>
        <v>59</v>
      </c>
      <c r="F14" s="64">
        <v>0</v>
      </c>
      <c r="G14" s="64">
        <v>17</v>
      </c>
      <c r="H14" s="64">
        <v>10</v>
      </c>
      <c r="I14" s="64">
        <v>59</v>
      </c>
      <c r="J14" s="64"/>
      <c r="K14" s="5">
        <f t="shared" si="2"/>
        <v>32.375</v>
      </c>
      <c r="L14" s="99"/>
      <c r="M14" s="40"/>
      <c r="N14" s="40"/>
      <c r="O14" s="40"/>
      <c r="P14" s="40"/>
      <c r="Q14" s="40"/>
      <c r="R14" s="40"/>
      <c r="S14" s="40"/>
      <c r="T14" s="40"/>
      <c r="U14" s="100"/>
      <c r="V14" s="13"/>
      <c r="W14" s="13"/>
      <c r="X14" s="13"/>
      <c r="Y14" s="13"/>
      <c r="Z14" s="13"/>
      <c r="AA14" s="13"/>
      <c r="AB14" s="13"/>
      <c r="AC14" s="13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13"/>
      <c r="AO14" s="7">
        <f>((AVERAGE(K9:K14)*('Summary Page'!$C$2+1))*('Summary Page'!$C$2+1))*('Summary Page'!$C$2+1)</f>
        <v>47.932514666666656</v>
      </c>
      <c r="AP14" s="7">
        <f>((AVERAGE(K9:K14)*('Summary Page'!$C$3+1))*('Summary Page'!$C$3+1))*('Summary Page'!$C$3+1)</f>
        <v>59.977213541666657</v>
      </c>
      <c r="AQ14" s="7">
        <f>((AVERAGE(K9:K14)*('Summary Page'!$C$4+1))*('Summary Page'!$C$4+1))*('Summary Page'!$C$4+1)</f>
        <v>53.063999999999986</v>
      </c>
      <c r="AR14" s="7">
        <v>80</v>
      </c>
      <c r="AS14" s="5">
        <f t="shared" si="3"/>
        <v>39.333333333333336</v>
      </c>
      <c r="AT14" s="13"/>
      <c r="AU14" s="13"/>
      <c r="AV14" s="7">
        <f>((AVERAGE(AS14,AU14)*('Summary Page'!$C$2+1))*('Summary Page'!$C$2+1))*('Summary Page'!$C$2+1)</f>
        <v>61.395242666666661</v>
      </c>
      <c r="AW14" s="7">
        <f>((AVERAGE(AS14,AU14)*('Summary Page'!$C$3+1))*('Summary Page'!$C$3+1))*('Summary Page'!$C$3+1)</f>
        <v>76.822916666666686</v>
      </c>
      <c r="AX14" s="8">
        <f>((AVERAGE(AS14,AU14)*('Summary Page'!$C$4+1))*('Summary Page'!$C$4+1))*('Summary Page'!$C$4+1)</f>
        <v>67.968000000000004</v>
      </c>
      <c r="BA14" s="40"/>
      <c r="BB14" s="7">
        <f>((AVERAGE(B9:B14)*(+'Summary Page'!$C$2+1))*('Summary Page'!$C$2+1))*('Summary Page'!$C$2+1)</f>
        <v>126.17242666666662</v>
      </c>
      <c r="BC14" s="7">
        <f>((AVERAGE(B9:B14)*('Summary Page'!$C$3+1))*('Summary Page'!$C$3+1))*('Summary Page'!$C$3+1)</f>
        <v>157.87760416666663</v>
      </c>
      <c r="BD14" s="7">
        <f>((AVERAGE(B9:B14)*('Summary Page'!$C$4+1))*('Summary Page'!$C$4+1))*('Summary Page'!$C$4+1)</f>
        <v>139.67999999999998</v>
      </c>
      <c r="BE14" s="64">
        <v>26</v>
      </c>
      <c r="BF14" s="69"/>
      <c r="BG14" s="40"/>
      <c r="BH14" s="7">
        <f>((AVERAGE(BE14,BG14)*('Summary Page'!$C$2+1))*('Summary Page'!$C$2+1))*('Summary Page'!$C$2+1)</f>
        <v>40.58329599999999</v>
      </c>
      <c r="BI14" s="7">
        <f>((AVERAGE(BE14,BG14)*('Summary Page'!$C$3+1))*('Summary Page'!$C$3+1))*('Summary Page'!$C$3+1)</f>
        <v>50.78125</v>
      </c>
      <c r="BJ14" s="7">
        <f>((AVERAGE(BE14,BG14)*('Summary Page'!$C$4+1))*('Summary Page'!$C$4+1))*('Summary Page'!$C$4+1)</f>
        <v>44.927999999999997</v>
      </c>
      <c r="BK14" s="64">
        <v>22</v>
      </c>
      <c r="BL14" s="40"/>
      <c r="BM14" s="40"/>
      <c r="BN14" s="7">
        <f>((AVERAGE(BK14,BM14)*('Summary Page'!$C$2+1))*('Summary Page'!$C$2+1))*('Summary Page'!$C$2+1)</f>
        <v>34.339711999999992</v>
      </c>
      <c r="BO14" s="7">
        <f>((AVERAGE(BK14,BM14)*('Summary Page'!$C$3+1))*('Summary Page'!$C$3+1))*('Summary Page'!$C$3+1)</f>
        <v>42.96875</v>
      </c>
      <c r="BP14" s="7">
        <f>((AVERAGE(BK14,BM14)*('Summary Page'!$C$4+1))*('Summary Page'!$C$4+1))*('Summary Page'!$C$4+1)</f>
        <v>38.015999999999991</v>
      </c>
      <c r="BQ14" s="64">
        <v>69</v>
      </c>
      <c r="BR14" s="40"/>
      <c r="BS14" s="40"/>
      <c r="BT14" s="7">
        <f>((AVERAGE(BQ14,BS14)*('Summary Page'!$C$2+1))*('Summary Page'!$C$2+1))*('Summary Page'!$C$2+1)</f>
        <v>107.70182399999997</v>
      </c>
      <c r="BU14" s="7">
        <f>((AVERAGE(BQ14,BS14)*('Summary Page'!$C$3+1))*('Summary Page'!$C$3+1))*('Summary Page'!$C$3+1)</f>
        <v>134.765625</v>
      </c>
      <c r="BV14" s="8">
        <f>((AVERAGE(BQ14,BS14)*('Summary Page'!$C$4+1))*('Summary Page'!$C$4+1))*('Summary Page'!$C$4+1)</f>
        <v>119.232</v>
      </c>
      <c r="BW14" s="64">
        <v>41</v>
      </c>
      <c r="BX14" s="40"/>
      <c r="BY14" s="40"/>
      <c r="BZ14" s="7">
        <f>((AVERAGE(BW14,BY14)*('Summary Page'!$C$2+1))*('Summary Page'!$C$2+1))*('Summary Page'!$C$2+1)</f>
        <v>63.996735999999984</v>
      </c>
      <c r="CA14" s="7">
        <f>((AVERAGE(BW14,BY14)*('Summary Page'!$C$3+1))*('Summary Page'!$C$3+1))*('Summary Page'!$C$3+1)</f>
        <v>80.078125</v>
      </c>
      <c r="CB14" s="8">
        <f>((AVERAGE(BW14,BY14)*('Summary Page'!$C$4+1))*('Summary Page'!$C$4+1))*('Summary Page'!$C$4+1)</f>
        <v>70.847999999999985</v>
      </c>
      <c r="CC14" s="64">
        <v>31</v>
      </c>
      <c r="CD14" s="40"/>
      <c r="CE14" s="40"/>
      <c r="CF14" s="7">
        <f>((AVERAGE(CC14,CE14)*('Summary Page'!$C$2+1))*('Summary Page'!$C$2+1))*('Summary Page'!$C$2+1)</f>
        <v>48.387775999999995</v>
      </c>
      <c r="CG14" s="7">
        <f>((AVERAGE(CC14,CE14)*('Summary Page'!$C$3+1))*('Summary Page'!$C$3+1))*('Summary Page'!$C$3+1)</f>
        <v>60.546875</v>
      </c>
      <c r="CH14" s="8">
        <f>((AVERAGE(CC14,CE14)*('Summary Page'!$C$4+1))*('Summary Page'!$C$4+1))*('Summary Page'!$C$4+1)</f>
        <v>53.567999999999991</v>
      </c>
      <c r="CI14" s="64">
        <v>23</v>
      </c>
      <c r="CJ14" s="40"/>
      <c r="CK14" s="40"/>
      <c r="CL14" s="7">
        <f>((AVERAGE(CI14,CK14)*('Summary Page'!$C$2+1))*('Summary Page'!$C$2+1))*('Summary Page'!$C$2+1)</f>
        <v>35.900607999999998</v>
      </c>
      <c r="CM14" s="7">
        <f>((AVERAGE(CI14,CK14)*('Summary Page'!$C$3+1))*('Summary Page'!$C$3+1))*('Summary Page'!$C$3+1)</f>
        <v>44.921875</v>
      </c>
      <c r="CN14" s="8">
        <f>((AVERAGE(CI14,CK14)*('Summary Page'!$C$4+1))*('Summary Page'!$C$4+1))*('Summary Page'!$C$4+1)</f>
        <v>39.743999999999993</v>
      </c>
      <c r="CQ14" s="40"/>
      <c r="CR14" s="7">
        <f>((AVERAGE(C9:C14)*('Summary Page'!$C$2+1))*('Summary Page'!$C$2+1))*('Summary Page'!$C$2+1)</f>
        <v>62.175690666666654</v>
      </c>
      <c r="CS14" s="7">
        <f>((AVERAGE(C9:C14)*('Summary Page'!$C$3+1))*('Summary Page'!$C$3+1))*('Summary Page'!$C$3+1)</f>
        <v>77.799479166666686</v>
      </c>
      <c r="CT14" s="8">
        <f>((AVERAGE(C9:C14)*('Summary Page'!$C$4+1))*('Summary Page'!$C$4+1))*('Summary Page'!$C$4+1)</f>
        <v>68.832000000000008</v>
      </c>
      <c r="CW14" s="40"/>
      <c r="CX14" s="7">
        <f>((AVERAGE(D9:D14)*('Summary Page'!$C$2+1))*('Summary Page'!$C$2+1))*('Summary Page'!$C$2+1)</f>
        <v>52.290015999999994</v>
      </c>
      <c r="CY14" s="7">
        <f>((AVERAGE(D9:D14)*('Summary Page'!$C$3+1))*('Summary Page'!$C$3+1))*('Summary Page'!$C$3+1)</f>
        <v>65.4296875</v>
      </c>
      <c r="CZ14" s="8">
        <f>((AVERAGE(D9:D14)*('Summary Page'!$C$4+1))*('Summary Page'!$C$4+1))*('Summary Page'!$C$4+1)</f>
        <v>57.887999999999991</v>
      </c>
      <c r="DA14" s="64">
        <v>21</v>
      </c>
      <c r="DB14" s="40"/>
      <c r="DC14" s="40"/>
      <c r="DD14" s="7">
        <f>((AVERAGE(DA14,DC14)*('Summary Page'!$C$2+1))*('Summary Page'!$C$2+1))*('Summary Page'!$C$2+1)</f>
        <v>32.778815999999992</v>
      </c>
      <c r="DE14" s="7">
        <f>((AVERAGE(DA14,DC14)*('Summary Page'!$C$3+1))*('Summary Page'!$C$3+1))*('Summary Page'!$C$3+1)</f>
        <v>41.015625</v>
      </c>
      <c r="DF14" s="8">
        <f>((AVERAGE(DA14,DC14)*('Summary Page'!$C$4+1))*('Summary Page'!$C$4+1))*('Summary Page'!$C$4+1)</f>
        <v>36.287999999999997</v>
      </c>
      <c r="DG14" s="64">
        <v>26</v>
      </c>
      <c r="DH14" s="40"/>
      <c r="DI14" s="40"/>
      <c r="DJ14" s="7">
        <f>((AVERAGE(DG14,DI14)*('Summary Page'!$C$2+1))*('Summary Page'!$C$2+1))*('Summary Page'!$C$2+1)</f>
        <v>40.58329599999999</v>
      </c>
      <c r="DK14" s="7">
        <f>((AVERAGE(DG14,DI14)*('Summary Page'!$C$3+1))*('Summary Page'!$C$3+1))*('Summary Page'!$C$3+1)</f>
        <v>50.78125</v>
      </c>
      <c r="DL14" s="8">
        <f>((AVERAGE(DG14,DI14)*('Summary Page'!$C$4+1))*('Summary Page'!$C$4+1))*('Summary Page'!$C$4+1)</f>
        <v>44.927999999999997</v>
      </c>
      <c r="DO14" s="40"/>
      <c r="DP14" s="7">
        <f>((AVERAGE(F14,DO14)*('Summary Page'!$C$2+1))*('Summary Page'!$C$2+1))*('Summary Page'!$C$2+1)</f>
        <v>0</v>
      </c>
      <c r="DQ14" s="7">
        <f>((AVERAGE(F14,DO14)*('Summary Page'!$C$3+1))*('Summary Page'!$C$3+1))*('Summary Page'!$C$3+1)</f>
        <v>0</v>
      </c>
      <c r="DR14" s="8">
        <f>((AVERAGE(F14,DO14)*('Summary Page'!$C$4+1))*('Summary Page'!$C$4+1))*('Summary Page'!$C$4+1)</f>
        <v>0</v>
      </c>
      <c r="DU14" s="40"/>
      <c r="DV14" s="7">
        <f>((AVERAGE(G14,DU14)*('Summary Page'!$C$2+1))*('Summary Page'!$C$2+1))*('Summary Page'!$C$2+1)</f>
        <v>26.535231999999993</v>
      </c>
      <c r="DW14" s="7">
        <f>((AVERAGE(G14,DU14)*('Summary Page'!$C$3+1))*('Summary Page'!$C$3+1))*('Summary Page'!$C$3+1)</f>
        <v>33.203125</v>
      </c>
      <c r="DX14" s="8">
        <f>((AVERAGE(G14,DU14)*('Summary Page'!$C$4+1))*('Summary Page'!$C$4+1))*('Summary Page'!$C$4+1)</f>
        <v>29.375999999999994</v>
      </c>
      <c r="EA14" s="40"/>
      <c r="EB14" s="7">
        <f>((AVERAGE(H9:H14)*('Summary Page'!$C$2+1))*('Summary Page'!$C$2+1))*('Summary Page'!$C$2+1)</f>
        <v>16.909706666666665</v>
      </c>
      <c r="EC14" s="7">
        <f>((AVERAGE(H9:H14)*('Summary Page'!$C$3+1))*('Summary Page'!$C$3+1))*('Summary Page'!$C$3+1)</f>
        <v>21.158854166666671</v>
      </c>
      <c r="ED14" s="8">
        <f>((AVERAGE(H9:H14)*('Summary Page'!$C$4+1))*('Summary Page'!$C$4+1))*('Summary Page'!$C$4+1)</f>
        <v>18.72</v>
      </c>
      <c r="EG14" s="40"/>
      <c r="EH14" s="7">
        <f>((AVERAGE(I9:I14)*('Summary Page'!$C$2+1))*('Summary Page'!$C$2+1))*('Summary Page'!$C$2+1)</f>
        <v>73.362111999999982</v>
      </c>
      <c r="EI14" s="7">
        <f>((AVERAGE(I9:I14)*('Summary Page'!$C$3+1))*('Summary Page'!$C$3+1))*('Summary Page'!$C$3+1)</f>
        <v>91.796875</v>
      </c>
      <c r="EJ14" s="8">
        <f>((AVERAGE(I9:I14)*('Summary Page'!$C$4+1))*('Summary Page'!$C$4+1))*('Summary Page'!$C$4+1)</f>
        <v>81.215999999999994</v>
      </c>
      <c r="EM14" s="40"/>
      <c r="EN14" s="7" t="e">
        <f>((AVERAGE(AD9:AD14)*('Summary Page'!$C$2+1))*('Summary Page'!$C$2+1))*('Summary Page'!$C$2+1)</f>
        <v>#DIV/0!</v>
      </c>
      <c r="EO14" s="7" t="e">
        <f>((AVERAGE(AD9:AD14)*('Summary Page'!$C$3+1))*('Summary Page'!$C$3+1))*('Summary Page'!$C$3+1)</f>
        <v>#DIV/0!</v>
      </c>
      <c r="EP14" s="7" t="e">
        <f>((AVERAGE(AD9:AD14)*('Summary Page'!$C$4+1))*('Summary Page'!$C$4+1))*('Summary Page'!$C$4+1)</f>
        <v>#DIV/0!</v>
      </c>
      <c r="EQ14" s="7">
        <v>100</v>
      </c>
      <c r="ER14" s="9"/>
    </row>
    <row r="15" spans="1:165" ht="15.75" x14ac:dyDescent="0.25">
      <c r="A15" s="1">
        <v>43510</v>
      </c>
      <c r="B15" s="40">
        <v>78</v>
      </c>
      <c r="C15" s="64">
        <v>42</v>
      </c>
      <c r="D15" s="64">
        <v>33</v>
      </c>
      <c r="E15" s="7">
        <f t="shared" si="1"/>
        <v>60</v>
      </c>
      <c r="F15" s="64">
        <v>0</v>
      </c>
      <c r="G15" s="64">
        <v>22</v>
      </c>
      <c r="H15" s="64">
        <v>13</v>
      </c>
      <c r="I15" s="64">
        <v>56</v>
      </c>
      <c r="J15" s="64"/>
      <c r="K15" s="5">
        <f t="shared" si="2"/>
        <v>33</v>
      </c>
      <c r="L15" s="99"/>
      <c r="M15" s="40"/>
      <c r="N15" s="40"/>
      <c r="O15" s="40"/>
      <c r="P15" s="40"/>
      <c r="Q15" s="40"/>
      <c r="R15" s="40"/>
      <c r="S15" s="40"/>
      <c r="T15" s="40"/>
      <c r="U15" s="100"/>
      <c r="V15" s="13"/>
      <c r="W15" s="13"/>
      <c r="X15" s="13"/>
      <c r="Y15" s="13"/>
      <c r="Z15" s="13"/>
      <c r="AA15" s="13"/>
      <c r="AB15" s="13"/>
      <c r="AC15" s="13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13"/>
      <c r="AO15" s="7">
        <f>((AVERAGE(K10:K15)*('Summary Page'!$C$2+1))*('Summary Page'!$C$2+1))*('Summary Page'!$C$2+1)</f>
        <v>48.647925333333319</v>
      </c>
      <c r="AP15" s="7">
        <f>((AVERAGE(K10:K15)*('Summary Page'!$C$3+1))*('Summary Page'!$C$3+1))*('Summary Page'!$C$3+1)</f>
        <v>60.872395833333343</v>
      </c>
      <c r="AQ15" s="7">
        <f>((AVERAGE(K10:K15)*('Summary Page'!$C$4+1))*('Summary Page'!$C$4+1))*('Summary Page'!$C$4+1)</f>
        <v>53.855999999999995</v>
      </c>
      <c r="AR15" s="7">
        <v>80</v>
      </c>
      <c r="AS15" s="5">
        <f t="shared" si="3"/>
        <v>40</v>
      </c>
      <c r="AT15" s="13"/>
      <c r="AU15" s="13"/>
      <c r="AV15" s="7">
        <f>((AVERAGE(AS15,AU15)*('Summary Page'!$C$2+1))*('Summary Page'!$C$2+1))*('Summary Page'!$C$2+1)</f>
        <v>62.435839999999992</v>
      </c>
      <c r="AW15" s="7">
        <f>((AVERAGE(AS15,AU15)*('Summary Page'!$C$3+1))*('Summary Page'!$C$3+1))*('Summary Page'!$C$3+1)</f>
        <v>78.125</v>
      </c>
      <c r="AX15" s="8">
        <f>((AVERAGE(AS15,AU15)*('Summary Page'!$C$4+1))*('Summary Page'!$C$4+1))*('Summary Page'!$C$4+1)</f>
        <v>69.11999999999999</v>
      </c>
      <c r="BA15" s="40"/>
      <c r="BB15" s="7">
        <f>((AVERAGE(B10:B15)*(+'Summary Page'!$C$2+1))*('Summary Page'!$C$2+1))*('Summary Page'!$C$2+1)</f>
        <v>124.35138133333331</v>
      </c>
      <c r="BC15" s="7">
        <f>((AVERAGE(B10:B15)*('Summary Page'!$C$3+1))*('Summary Page'!$C$3+1))*('Summary Page'!$C$3+1)</f>
        <v>155.59895833333337</v>
      </c>
      <c r="BD15" s="7">
        <f>((AVERAGE(B10:B15)*('Summary Page'!$C$4+1))*('Summary Page'!$C$4+1))*('Summary Page'!$C$4+1)</f>
        <v>137.66400000000002</v>
      </c>
      <c r="BE15" s="64">
        <v>28</v>
      </c>
      <c r="BF15" s="69"/>
      <c r="BG15" s="40"/>
      <c r="BH15" s="7">
        <f>((AVERAGE(BE15,BG15)*('Summary Page'!$C$2+1))*('Summary Page'!$C$2+1))*('Summary Page'!$C$2+1)</f>
        <v>43.705087999999989</v>
      </c>
      <c r="BI15" s="7">
        <f>((AVERAGE(BE15,BG15)*('Summary Page'!$C$3+1))*('Summary Page'!$C$3+1))*('Summary Page'!$C$3+1)</f>
        <v>54.6875</v>
      </c>
      <c r="BJ15" s="7">
        <f>((AVERAGE(BE15,BG15)*('Summary Page'!$C$4+1))*('Summary Page'!$C$4+1))*('Summary Page'!$C$4+1)</f>
        <v>48.384</v>
      </c>
      <c r="BK15" s="40">
        <v>24</v>
      </c>
      <c r="BL15" s="40"/>
      <c r="BM15" s="40"/>
      <c r="BN15" s="7">
        <f>((AVERAGE(BK15,BM15)*('Summary Page'!$C$2+1))*('Summary Page'!$C$2+1))*('Summary Page'!$C$2+1)</f>
        <v>37.461503999999991</v>
      </c>
      <c r="BO15" s="7">
        <f>((AVERAGE(BK15,BM15)*('Summary Page'!$C$3+1))*('Summary Page'!$C$3+1))*('Summary Page'!$C$3+1)</f>
        <v>46.875</v>
      </c>
      <c r="BP15" s="7">
        <f>((AVERAGE(BK15,BM15)*('Summary Page'!$C$4+1))*('Summary Page'!$C$4+1))*('Summary Page'!$C$4+1)</f>
        <v>41.471999999999994</v>
      </c>
      <c r="BQ15" s="64">
        <v>64</v>
      </c>
      <c r="BR15" s="40"/>
      <c r="BS15" s="40"/>
      <c r="BT15" s="7">
        <f>((AVERAGE(BQ15,BS15)*('Summary Page'!$C$2+1))*('Summary Page'!$C$2+1))*('Summary Page'!$C$2+1)</f>
        <v>99.89734399999999</v>
      </c>
      <c r="BU15" s="7">
        <f>((AVERAGE(BQ15,BS15)*('Summary Page'!$C$3+1))*('Summary Page'!$C$3+1))*('Summary Page'!$C$3+1)</f>
        <v>125</v>
      </c>
      <c r="BV15" s="8">
        <f>((AVERAGE(BQ15,BS15)*('Summary Page'!$C$4+1))*('Summary Page'!$C$4+1))*('Summary Page'!$C$4+1)</f>
        <v>110.592</v>
      </c>
      <c r="BW15" s="64">
        <v>34</v>
      </c>
      <c r="BX15" s="40"/>
      <c r="BY15" s="40"/>
      <c r="BZ15" s="7">
        <f>((AVERAGE(BW15,BY15)*('Summary Page'!$C$2+1))*('Summary Page'!$C$2+1))*('Summary Page'!$C$2+1)</f>
        <v>53.070463999999987</v>
      </c>
      <c r="CA15" s="7">
        <f>((AVERAGE(BW15,BY15)*('Summary Page'!$C$3+1))*('Summary Page'!$C$3+1))*('Summary Page'!$C$3+1)</f>
        <v>66.40625</v>
      </c>
      <c r="CB15" s="8">
        <f>((AVERAGE(BW15,BY15)*('Summary Page'!$C$4+1))*('Summary Page'!$C$4+1))*('Summary Page'!$C$4+1)</f>
        <v>58.751999999999988</v>
      </c>
      <c r="CC15" s="64">
        <v>32</v>
      </c>
      <c r="CD15" s="40"/>
      <c r="CE15" s="40"/>
      <c r="CF15" s="7">
        <f>((AVERAGE(CC15,CE15)*('Summary Page'!$C$2+1))*('Summary Page'!$C$2+1))*('Summary Page'!$C$2+1)</f>
        <v>49.948671999999995</v>
      </c>
      <c r="CG15" s="7">
        <f>((AVERAGE(CC15,CE15)*('Summary Page'!$C$3+1))*('Summary Page'!$C$3+1))*('Summary Page'!$C$3+1)</f>
        <v>62.5</v>
      </c>
      <c r="CH15" s="8">
        <f>((AVERAGE(CC15,CE15)*('Summary Page'!$C$4+1))*('Summary Page'!$C$4+1))*('Summary Page'!$C$4+1)</f>
        <v>55.295999999999999</v>
      </c>
      <c r="CI15" s="64">
        <v>25</v>
      </c>
      <c r="CJ15" s="40"/>
      <c r="CK15" s="40"/>
      <c r="CL15" s="7">
        <f>((AVERAGE(CI15,CK15)*('Summary Page'!$C$2+1))*('Summary Page'!$C$2+1))*('Summary Page'!$C$2+1)</f>
        <v>39.02239999999999</v>
      </c>
      <c r="CM15" s="7">
        <f>((AVERAGE(CI15,CK15)*('Summary Page'!$C$3+1))*('Summary Page'!$C$3+1))*('Summary Page'!$C$3+1)</f>
        <v>48.828125</v>
      </c>
      <c r="CN15" s="8">
        <f>((AVERAGE(CI15,CK15)*('Summary Page'!$C$4+1))*('Summary Page'!$C$4+1))*('Summary Page'!$C$4+1)</f>
        <v>43.199999999999996</v>
      </c>
      <c r="CQ15" s="40"/>
      <c r="CR15" s="7">
        <f>((AVERAGE(C10:C15)*('Summary Page'!$C$2+1))*('Summary Page'!$C$2+1))*('Summary Page'!$C$2+1)</f>
        <v>63.736586666666661</v>
      </c>
      <c r="CS15" s="7">
        <f>((AVERAGE(C10:C15)*('Summary Page'!$C$3+1))*('Summary Page'!$C$3+1))*('Summary Page'!$C$3+1)</f>
        <v>79.752604166666686</v>
      </c>
      <c r="CT15" s="8">
        <f>((AVERAGE(C10:C15)*('Summary Page'!$C$4+1))*('Summary Page'!$C$4+1))*('Summary Page'!$C$4+1)</f>
        <v>70.559999999999988</v>
      </c>
      <c r="CW15" s="40"/>
      <c r="CX15" s="7">
        <f>((AVERAGE(D10:D15)*('Summary Page'!$C$2+1))*('Summary Page'!$C$2+1))*('Summary Page'!$C$2+1)</f>
        <v>53.330613333333318</v>
      </c>
      <c r="CY15" s="7">
        <f>((AVERAGE(D10:D15)*('Summary Page'!$C$3+1))*('Summary Page'!$C$3+1))*('Summary Page'!$C$3+1)</f>
        <v>66.731770833333314</v>
      </c>
      <c r="CZ15" s="8">
        <f>((AVERAGE(D10:D15)*('Summary Page'!$C$4+1))*('Summary Page'!$C$4+1))*('Summary Page'!$C$4+1)</f>
        <v>59.039999999999985</v>
      </c>
      <c r="DA15" s="64">
        <v>26</v>
      </c>
      <c r="DB15" s="40"/>
      <c r="DC15" s="40"/>
      <c r="DD15" s="7">
        <f>((AVERAGE(DA15,DC15)*('Summary Page'!$C$2+1))*('Summary Page'!$C$2+1))*('Summary Page'!$C$2+1)</f>
        <v>40.58329599999999</v>
      </c>
      <c r="DE15" s="7">
        <f>((AVERAGE(DA15,DC15)*('Summary Page'!$C$3+1))*('Summary Page'!$C$3+1))*('Summary Page'!$C$3+1)</f>
        <v>50.78125</v>
      </c>
      <c r="DF15" s="8">
        <f>((AVERAGE(DA15,DC15)*('Summary Page'!$C$4+1))*('Summary Page'!$C$4+1))*('Summary Page'!$C$4+1)</f>
        <v>44.927999999999997</v>
      </c>
      <c r="DG15" s="64">
        <v>31</v>
      </c>
      <c r="DH15" s="40"/>
      <c r="DI15" s="40"/>
      <c r="DJ15" s="7">
        <f>((AVERAGE(DG15,DI15)*('Summary Page'!$C$2+1))*('Summary Page'!$C$2+1))*('Summary Page'!$C$2+1)</f>
        <v>48.387775999999995</v>
      </c>
      <c r="DK15" s="7">
        <f>((AVERAGE(DG15,DI15)*('Summary Page'!$C$3+1))*('Summary Page'!$C$3+1))*('Summary Page'!$C$3+1)</f>
        <v>60.546875</v>
      </c>
      <c r="DL15" s="8">
        <f>((AVERAGE(DG15,DI15)*('Summary Page'!$C$4+1))*('Summary Page'!$C$4+1))*('Summary Page'!$C$4+1)</f>
        <v>53.567999999999991</v>
      </c>
      <c r="DO15" s="40"/>
      <c r="DP15" s="7">
        <f>((AVERAGE(F15,DO15)*('Summary Page'!$C$2+1))*('Summary Page'!$C$2+1))*('Summary Page'!$C$2+1)</f>
        <v>0</v>
      </c>
      <c r="DQ15" s="7">
        <f>((AVERAGE(F15,DO15)*('Summary Page'!$C$3+1))*('Summary Page'!$C$3+1))*('Summary Page'!$C$3+1)</f>
        <v>0</v>
      </c>
      <c r="DR15" s="8">
        <f>((AVERAGE(F15,DO15)*('Summary Page'!$C$4+1))*('Summary Page'!$C$4+1))*('Summary Page'!$C$4+1)</f>
        <v>0</v>
      </c>
      <c r="DU15" s="40"/>
      <c r="DV15" s="7">
        <f>((AVERAGE(G15,DU15)*('Summary Page'!$C$2+1))*('Summary Page'!$C$2+1))*('Summary Page'!$C$2+1)</f>
        <v>34.339711999999992</v>
      </c>
      <c r="DW15" s="7">
        <f>((AVERAGE(G15,DU15)*('Summary Page'!$C$3+1))*('Summary Page'!$C$3+1))*('Summary Page'!$C$3+1)</f>
        <v>42.96875</v>
      </c>
      <c r="DX15" s="8">
        <f>((AVERAGE(G15,DU15)*('Summary Page'!$C$4+1))*('Summary Page'!$C$4+1))*('Summary Page'!$C$4+1)</f>
        <v>38.015999999999991</v>
      </c>
      <c r="EA15" s="40"/>
      <c r="EB15" s="7">
        <f>((AVERAGE(H10:H15)*('Summary Page'!$C$2+1))*('Summary Page'!$C$2+1))*('Summary Page'!$C$2+1)</f>
        <v>16.909706666666665</v>
      </c>
      <c r="EC15" s="7">
        <f>((AVERAGE(H10:H15)*('Summary Page'!$C$3+1))*('Summary Page'!$C$3+1))*('Summary Page'!$C$3+1)</f>
        <v>21.158854166666671</v>
      </c>
      <c r="ED15" s="8">
        <f>((AVERAGE(H10:H15)*('Summary Page'!$C$4+1))*('Summary Page'!$C$4+1))*('Summary Page'!$C$4+1)</f>
        <v>18.72</v>
      </c>
      <c r="EG15" s="40"/>
      <c r="EH15" s="7">
        <f>((AVERAGE(I10:I15)*('Summary Page'!$C$2+1))*('Summary Page'!$C$2+1))*('Summary Page'!$C$2+1)</f>
        <v>76.744053333333312</v>
      </c>
      <c r="EI15" s="7">
        <f>((AVERAGE(I10:I15)*('Summary Page'!$C$3+1))*('Summary Page'!$C$3+1))*('Summary Page'!$C$3+1)</f>
        <v>96.028645833333314</v>
      </c>
      <c r="EJ15" s="8">
        <f>((AVERAGE(I10:I15)*('Summary Page'!$C$4+1))*('Summary Page'!$C$4+1))*('Summary Page'!$C$4+1)</f>
        <v>84.95999999999998</v>
      </c>
      <c r="EM15" s="40"/>
      <c r="EN15" s="7" t="e">
        <f>((AVERAGE(AD10:AD15)*('Summary Page'!$C$2+1))*('Summary Page'!$C$2+1))*('Summary Page'!$C$2+1)</f>
        <v>#DIV/0!</v>
      </c>
      <c r="EO15" s="7" t="e">
        <f>((AVERAGE(AD10:AD15)*('Summary Page'!$C$3+1))*('Summary Page'!$C$3+1))*('Summary Page'!$C$3+1)</f>
        <v>#DIV/0!</v>
      </c>
      <c r="EP15" s="7" t="e">
        <f>((AVERAGE(AD10:AD15)*('Summary Page'!$C$4+1))*('Summary Page'!$C$4+1))*('Summary Page'!$C$4+1)</f>
        <v>#DIV/0!</v>
      </c>
      <c r="EQ15" s="7">
        <v>100</v>
      </c>
      <c r="ER15" s="9"/>
    </row>
    <row r="16" spans="1:165" s="31" customFormat="1" ht="15.75" x14ac:dyDescent="0.25">
      <c r="A16" s="1">
        <v>43525</v>
      </c>
      <c r="B16" s="40">
        <v>73</v>
      </c>
      <c r="C16" s="87">
        <v>45</v>
      </c>
      <c r="D16" s="87">
        <v>37</v>
      </c>
      <c r="E16" s="7">
        <f t="shared" si="1"/>
        <v>59</v>
      </c>
      <c r="F16" s="87">
        <v>0</v>
      </c>
      <c r="G16" s="87">
        <v>22</v>
      </c>
      <c r="H16" s="87">
        <v>10</v>
      </c>
      <c r="I16" s="87">
        <v>48</v>
      </c>
      <c r="J16" s="87"/>
      <c r="K16" s="28">
        <f t="shared" si="2"/>
        <v>29.375</v>
      </c>
      <c r="L16" s="102"/>
      <c r="M16" s="88"/>
      <c r="N16" s="88"/>
      <c r="O16" s="88"/>
      <c r="P16" s="88"/>
      <c r="Q16" s="88"/>
      <c r="R16" s="88"/>
      <c r="S16" s="88"/>
      <c r="T16" s="88"/>
      <c r="U16" s="103"/>
      <c r="V16" s="29"/>
      <c r="W16" s="29"/>
      <c r="X16" s="29"/>
      <c r="Y16" s="29"/>
      <c r="Z16" s="29"/>
      <c r="AA16" s="29"/>
      <c r="AB16" s="29"/>
      <c r="AC16" s="29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29"/>
      <c r="AO16" s="7">
        <f>((AVERAGE(K11:K16)*('Summary Page'!$C$2+1))*('Summary Page'!$C$2+1))*('Summary Page'!$C$2+1)</f>
        <v>48.225182666666655</v>
      </c>
      <c r="AP16" s="7">
        <f>((AVERAGE(K11:K16)*('Summary Page'!$C$3+1))*('Summary Page'!$C$3+1))*('Summary Page'!$C$3+1)</f>
        <v>60.343424479166657</v>
      </c>
      <c r="AQ16" s="7">
        <f>((AVERAGE(K11:K16)*('Summary Page'!$C$4+1))*('Summary Page'!$C$4+1))*('Summary Page'!$C$4+1)</f>
        <v>53.387999999999991</v>
      </c>
      <c r="AR16" s="30">
        <v>80</v>
      </c>
      <c r="AS16" s="5">
        <f t="shared" si="3"/>
        <v>38.333333333333336</v>
      </c>
      <c r="AT16" s="29"/>
      <c r="AU16" s="29"/>
      <c r="AV16" s="7">
        <f>((AVERAGE(AS5:AS16,AU5:AU16)*('Summary Page'!$C$2+1))*('Summary Page'!$C$2+1))*('Summary Page'!$C$2+1)</f>
        <v>57.146136888888869</v>
      </c>
      <c r="AW16" s="7">
        <f>((AVERAGE(AS5:AS16,AU5:AU16)*('Summary Page'!$C$3+1))*('Summary Page'!$C$3+1))*('Summary Page'!$C$3+1)</f>
        <v>71.506076388888886</v>
      </c>
      <c r="AX16" s="7">
        <f>((AVERAGE(AS5:AS16,AU5:AU16)*('Summary Page'!$C$4+1))*('Summary Page'!$C$4+1))*('Summary Page'!$C$4+1)</f>
        <v>63.263999999999989</v>
      </c>
      <c r="BA16" s="88"/>
      <c r="BB16" s="7">
        <f>((AVERAGE(B11:B16)*(+'Summary Page'!$C$2+1))*('Summary Page'!$C$2+1))*('Summary Page'!$C$2+1)</f>
        <v>121.22958933333331</v>
      </c>
      <c r="BC16" s="7">
        <f>((AVERAGE(B11:B16)*('Summary Page'!$C$3+1))*('Summary Page'!$C$3+1))*('Summary Page'!$C$3+1)</f>
        <v>151.69270833333337</v>
      </c>
      <c r="BD16" s="7">
        <f>((AVERAGE(B11:B16)*('Summary Page'!$C$4+1))*('Summary Page'!$C$4+1))*('Summary Page'!$C$4+1)</f>
        <v>134.208</v>
      </c>
      <c r="BE16" s="87">
        <v>22</v>
      </c>
      <c r="BF16" s="89"/>
      <c r="BG16" s="88"/>
      <c r="BH16" s="7">
        <f>((AVERAGE(BE5:BE16,BG5:BG16)*('Summary Page'!$C$2+1))*('Summary Page'!$C$2+1))*('Summary Page'!$C$2+1)</f>
        <v>45.526133333333334</v>
      </c>
      <c r="BI16" s="7">
        <f>((AVERAGE(BE5:BE16,BG5:BG16)*('Summary Page'!$C$3+1))*('Summary Page'!$C$3+1))*('Summary Page'!$C$3+1)</f>
        <v>56.966145833333343</v>
      </c>
      <c r="BJ16" s="7">
        <f>((AVERAGE(BE5:BE16,BG5:BG16)*('Summary Page'!$C$4+1))*('Summary Page'!$C$4+1))*('Summary Page'!$C$4+1)</f>
        <v>50.4</v>
      </c>
      <c r="BK16" s="88">
        <v>19</v>
      </c>
      <c r="BL16" s="88"/>
      <c r="BM16" s="88"/>
      <c r="BN16" s="7">
        <f>((AVERAGE(BK5:BK16,BM5:BM16)*('Summary Page'!$C$2+1))*('Summary Page'!$C$2+1))*('Summary Page'!$C$2+1)</f>
        <v>39.542698666666652</v>
      </c>
      <c r="BO16" s="7">
        <f>((AVERAGE(BK5:BK16,BM5:BM16)*('Summary Page'!$C$3+1))*('Summary Page'!$C$3+1))*('Summary Page'!$C$3+1)</f>
        <v>49.479166666666657</v>
      </c>
      <c r="BP16" s="7">
        <f>((AVERAGE(BK5:BK16,BM5:BM16)*('Summary Page'!$C$4+1))*('Summary Page'!$C$4+1))*('Summary Page'!$C$4+1)</f>
        <v>43.775999999999996</v>
      </c>
      <c r="BQ16" s="87">
        <v>54</v>
      </c>
      <c r="BR16" s="88"/>
      <c r="BS16" s="88"/>
      <c r="BT16" s="7">
        <f>((AVERAGE(BQ5:BQ16,BS5:BS16)*('Summary Page'!$C$2+1))*('Summary Page'!$C$2+1))*('Summary Page'!$C$2+1)</f>
        <v>84.54853333333331</v>
      </c>
      <c r="BU16" s="7">
        <f>((AVERAGE(BQ5:BQ16,BS5:BS16)*('Summary Page'!$C$3+1))*('Summary Page'!$C$3+1))*('Summary Page'!$C$3+1)</f>
        <v>105.79427083333331</v>
      </c>
      <c r="BV16" s="8">
        <f>((AVERAGE(BQ5:BQ16,BS5:BS16)*('Summary Page'!$C$4+1))*('Summary Page'!$C$4+1))*('Summary Page'!$C$4+1)</f>
        <v>93.6</v>
      </c>
      <c r="BW16" s="87">
        <v>30</v>
      </c>
      <c r="BX16" s="88"/>
      <c r="BY16" s="88"/>
      <c r="BZ16" s="7">
        <f>((AVERAGE(BW5:BW16,BY5:BY16)*('Summary Page'!$C$2+1))*('Summary Page'!$C$2+1))*('Summary Page'!$C$2+1)</f>
        <v>60.354645333333316</v>
      </c>
      <c r="CA16" s="7">
        <f>((AVERAGE(BW5:BW16,BY5:BY16)*('Summary Page'!$C$3+1))*('Summary Page'!$C$3+1))*('Summary Page'!$C$3+1)</f>
        <v>75.520833333333314</v>
      </c>
      <c r="CB16" s="8">
        <f>((AVERAGE(BW5:BW16,BY5:BY16)*('Summary Page'!$C$4+1))*('Summary Page'!$C$4+1))*('Summary Page'!$C$4+1)</f>
        <v>66.816000000000003</v>
      </c>
      <c r="CC16" s="87">
        <v>31</v>
      </c>
      <c r="CD16" s="88"/>
      <c r="CE16" s="88"/>
      <c r="CF16" s="7">
        <f>((AVERAGE(CC5:CC16,CE5:CE16)*('Summary Page'!$C$2+1))*('Summary Page'!$C$2+1))*('Summary Page'!$C$2+1)</f>
        <v>42.794565333333324</v>
      </c>
      <c r="CG16" s="7">
        <f>((AVERAGE(CC5:CC16,CE5:CE16)*('Summary Page'!$C$3+1))*('Summary Page'!$C$3+1))*('Summary Page'!$C$3+1)</f>
        <v>53.548177083333343</v>
      </c>
      <c r="CH16" s="8">
        <f>((AVERAGE(CC5:CC16,CE5:CE16)*('Summary Page'!$C$4+1))*('Summary Page'!$C$4+1))*('Summary Page'!$C$4+1)</f>
        <v>47.375999999999998</v>
      </c>
      <c r="CI16" s="87">
        <v>24</v>
      </c>
      <c r="CJ16" s="88"/>
      <c r="CK16" s="88"/>
      <c r="CL16" s="7">
        <f>((AVERAGE(CI5:CI16,CK5:CK16)*('Summary Page'!$C$2+1))*('Summary Page'!$C$2+1))*('Summary Page'!$C$2+1)</f>
        <v>31.738218666666654</v>
      </c>
      <c r="CM16" s="7">
        <f>((AVERAGE(CI5:CI16,CK5:CK16)*('Summary Page'!$C$3+1))*('Summary Page'!$C$3+1))*('Summary Page'!$C$3+1)</f>
        <v>39.713541666666657</v>
      </c>
      <c r="CN16" s="8">
        <f>((AVERAGE(CI5:CI16,CK5:CK16)*('Summary Page'!$C$4+1))*('Summary Page'!$C$4+1))*('Summary Page'!$C$4+1)</f>
        <v>35.135999999999996</v>
      </c>
      <c r="CQ16" s="88"/>
      <c r="CR16" s="7">
        <f>((AVERAGE(C11:C16)*('Summary Page'!$C$2+1))*('Summary Page'!$C$2+1))*('Summary Page'!$C$2+1)</f>
        <v>65.297482666666653</v>
      </c>
      <c r="CS16" s="7">
        <f>((AVERAGE(C11:C16)*('Summary Page'!$C$3+1))*('Summary Page'!$C$3+1))*('Summary Page'!$C$3+1)</f>
        <v>81.705729166666686</v>
      </c>
      <c r="CT16" s="8">
        <f>((AVERAGE(C11:C16)*('Summary Page'!$C$4+1))*('Summary Page'!$C$4+1))*('Summary Page'!$C$4+1)</f>
        <v>72.287999999999997</v>
      </c>
      <c r="CW16" s="88"/>
      <c r="CX16" s="7">
        <f>((AVERAGE(D11:D16)*('Summary Page'!$C$2+1))*('Summary Page'!$C$2+1))*('Summary Page'!$C$2+1)</f>
        <v>54.631359999999987</v>
      </c>
      <c r="CY16" s="7">
        <f>((AVERAGE(D11:D16)*('Summary Page'!$C$3+1))*('Summary Page'!$C$3+1))*('Summary Page'!$C$3+1)</f>
        <v>68.359375</v>
      </c>
      <c r="CZ16" s="8">
        <f>((AVERAGE(D11:D16)*('Summary Page'!$C$4+1))*('Summary Page'!$C$4+1))*('Summary Page'!$C$4+1)</f>
        <v>60.48</v>
      </c>
      <c r="DA16" s="87">
        <v>24</v>
      </c>
      <c r="DB16" s="88"/>
      <c r="DC16" s="88"/>
      <c r="DD16" s="7">
        <f>((AVERAGE(DA5:DA16,DC5:DC16)*('Summary Page'!$C$2+1))*('Summary Page'!$C$2+1))*('Summary Page'!$C$2+1)</f>
        <v>35.510383999999988</v>
      </c>
      <c r="DE16" s="7">
        <f>((AVERAGE(DA5:DA16,DC5:DC16)*('Summary Page'!$C$3+1))*('Summary Page'!$C$3+1))*('Summary Page'!$C$3+1)</f>
        <v>44.43359375</v>
      </c>
      <c r="DF16" s="8">
        <f>((AVERAGE(DA5:DA16,DC5:DC16)*('Summary Page'!$C$4+1))*('Summary Page'!$C$4+1))*('Summary Page'!$C$4+1)</f>
        <v>39.311999999999998</v>
      </c>
      <c r="DG16" s="87">
        <v>31</v>
      </c>
      <c r="DH16" s="88"/>
      <c r="DI16" s="88"/>
      <c r="DJ16" s="7">
        <f>((AVERAGE(DG5:DG16,DI5:DI16)*('Summary Page'!$C$2+1))*('Summary Page'!$C$2+1))*('Summary Page'!$C$2+1)</f>
        <v>40.713370666666663</v>
      </c>
      <c r="DK16" s="7">
        <f>((AVERAGE(DG5:DG16,DI5:DI16)*('Summary Page'!$C$3+1))*('Summary Page'!$C$3+1))*('Summary Page'!$C$3+1)</f>
        <v>50.944010416666657</v>
      </c>
      <c r="DL16" s="8">
        <f>((AVERAGE(DG5:DG16,DI5:DI16)*('Summary Page'!$C$4+1))*('Summary Page'!$C$4+1))*('Summary Page'!$C$4+1)</f>
        <v>45.071999999999996</v>
      </c>
      <c r="DO16" s="88"/>
      <c r="DP16" s="7">
        <f>((AVERAGE(F5:F16,DO5:DO16)*('Summary Page'!$C$2+1))*('Summary Page'!$C$2+1))*('Summary Page'!$C$2+1)</f>
        <v>1.1706719999999997</v>
      </c>
      <c r="DQ16" s="7">
        <f>((AVERAGE(F5:F16,DO5:DO16)*('Summary Page'!$C$3+1))*('Summary Page'!$C$3+1))*('Summary Page'!$C$3+1)</f>
        <v>1.46484375</v>
      </c>
      <c r="DR16" s="8">
        <f>((AVERAGE(F5:F16,DO5:DO16)*('Summary Page'!$C$4+1))*('Summary Page'!$C$4+1))*('Summary Page'!$C$4+1)</f>
        <v>1.2959999999999998</v>
      </c>
      <c r="DU16" s="88"/>
      <c r="DV16" s="7">
        <f>((AVERAGE(G5:G16,DU5:DU16)*('Summary Page'!$C$2+1))*('Summary Page'!$C$2+1))*('Summary Page'!$C$2+1)</f>
        <v>32.388591999999996</v>
      </c>
      <c r="DW16" s="7">
        <f>((AVERAGE(G5:G16,DU5:DU16)*('Summary Page'!$C$3+1))*('Summary Page'!$C$3+1))*('Summary Page'!$C$3+1)</f>
        <v>40.52734375</v>
      </c>
      <c r="DX16" s="8">
        <f>((AVERAGE(G5:G16,DU5:DU16)*('Summary Page'!$C$4+1))*('Summary Page'!$C$4+1))*('Summary Page'!$C$4+1)</f>
        <v>35.855999999999995</v>
      </c>
      <c r="EA16" s="88"/>
      <c r="EB16" s="7">
        <f>((AVERAGE(H11:H16)*('Summary Page'!$C$2+1))*('Summary Page'!$C$2+1))*('Summary Page'!$C$2+1)</f>
        <v>16.389407999999996</v>
      </c>
      <c r="EC16" s="7">
        <f>((AVERAGE(H11:H16)*('Summary Page'!$C$3+1))*('Summary Page'!$C$3+1))*('Summary Page'!$C$3+1)</f>
        <v>20.5078125</v>
      </c>
      <c r="ED16" s="8">
        <f>((AVERAGE(H11:H16)*('Summary Page'!$C$4+1))*('Summary Page'!$C$4+1))*('Summary Page'!$C$4+1)</f>
        <v>18.143999999999998</v>
      </c>
      <c r="EG16" s="88"/>
      <c r="EH16" s="7">
        <f>((AVERAGE(I11:I16)*('Summary Page'!$C$2+1))*('Summary Page'!$C$2+1))*('Summary Page'!$C$2+1)</f>
        <v>75.443306666666643</v>
      </c>
      <c r="EI16" s="7">
        <f>((AVERAGE(I11:I16)*('Summary Page'!$C$3+1))*('Summary Page'!$C$3+1))*('Summary Page'!$C$3+1)</f>
        <v>94.401041666666686</v>
      </c>
      <c r="EJ16" s="8">
        <f>((AVERAGE(I11:I16)*('Summary Page'!$C$4+1))*('Summary Page'!$C$4+1))*('Summary Page'!$C$4+1)</f>
        <v>83.52</v>
      </c>
      <c r="EM16" s="88"/>
      <c r="EN16" s="7" t="e">
        <f>((AVERAGE(AD11:AD16)*('Summary Page'!$C$2+1))*('Summary Page'!$C$2+1))*('Summary Page'!$C$2+1)</f>
        <v>#DIV/0!</v>
      </c>
      <c r="EO16" s="7" t="e">
        <f>((AVERAGE(AD11:AD16)*('Summary Page'!$C$3+1))*('Summary Page'!$C$3+1))*('Summary Page'!$C$3+1)</f>
        <v>#DIV/0!</v>
      </c>
      <c r="EP16" s="7" t="e">
        <f>((AVERAGE(AD11:AD16)*('Summary Page'!$C$4+1))*('Summary Page'!$C$4+1))*('Summary Page'!$C$4+1)</f>
        <v>#DIV/0!</v>
      </c>
      <c r="EQ16" s="7">
        <v>100</v>
      </c>
      <c r="ER16"/>
      <c r="ES16"/>
      <c r="ET16"/>
      <c r="EU16"/>
      <c r="EV16"/>
      <c r="EW16"/>
    </row>
    <row r="17" spans="1:159" ht="15.75" x14ac:dyDescent="0.25">
      <c r="A17" s="1">
        <v>43538</v>
      </c>
      <c r="B17" s="40">
        <v>68</v>
      </c>
      <c r="C17" s="64">
        <v>42</v>
      </c>
      <c r="D17" s="64">
        <v>35</v>
      </c>
      <c r="E17" s="7">
        <f t="shared" si="1"/>
        <v>55</v>
      </c>
      <c r="F17" s="64">
        <v>1</v>
      </c>
      <c r="G17" s="64">
        <v>18</v>
      </c>
      <c r="H17" s="64">
        <v>12</v>
      </c>
      <c r="I17" s="64">
        <v>48</v>
      </c>
      <c r="J17" s="64"/>
      <c r="K17" s="5">
        <f t="shared" si="2"/>
        <v>28.125</v>
      </c>
      <c r="L17" s="99"/>
      <c r="M17" s="40"/>
      <c r="N17" s="40"/>
      <c r="O17" s="40"/>
      <c r="P17" s="40"/>
      <c r="Q17" s="40"/>
      <c r="R17" s="40"/>
      <c r="S17" s="40"/>
      <c r="T17" s="40"/>
      <c r="U17" s="100"/>
      <c r="V17" s="13"/>
      <c r="W17" s="13"/>
      <c r="X17" s="13"/>
      <c r="Y17" s="13"/>
      <c r="Z17" s="13"/>
      <c r="AA17" s="13"/>
      <c r="AB17" s="13"/>
      <c r="AC17" s="13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13"/>
      <c r="AO17" s="7">
        <f>((AVERAGE(K12:K17)*('Summary Page'!$C$2+1))*('Summary Page'!$C$2+1))*('Summary Page'!$C$2+1)</f>
        <v>47.704883999999993</v>
      </c>
      <c r="AP17" s="7">
        <f>((AVERAGE(K12:K17)*('Summary Page'!$C$3+1))*('Summary Page'!$C$3+1))*('Summary Page'!$C$3+1)</f>
        <v>59.6923828125</v>
      </c>
      <c r="AQ17" s="7">
        <f>((AVERAGE(K12:K17)*('Summary Page'!$C$4+1))*('Summary Page'!$C$4+1))*('Summary Page'!$C$4+1)</f>
        <v>52.811999999999998</v>
      </c>
      <c r="AR17" s="7">
        <v>80</v>
      </c>
      <c r="AS17" s="5">
        <f t="shared" si="3"/>
        <v>36</v>
      </c>
      <c r="AT17" s="13"/>
      <c r="AU17" s="13"/>
      <c r="AV17" s="7">
        <f>((AVERAGE(AS6:AS17,AU6:AU17)*('Summary Page'!$C$2+1))*('Summary Page'!$C$2+1))*('Summary Page'!$C$2+1)</f>
        <v>56.018823111111097</v>
      </c>
      <c r="AW17" s="7">
        <f>((AVERAGE(AS6:AS17,AU6:AU17)*('Summary Page'!$C$3+1))*('Summary Page'!$C$3+1))*('Summary Page'!$C$3+1)</f>
        <v>70.095486111111114</v>
      </c>
      <c r="AX17" s="7">
        <f>((AVERAGE(AS6:AS17,AU6:AU17)*('Summary Page'!$C$4+1))*('Summary Page'!$C$4+1))*('Summary Page'!$C$4+1)</f>
        <v>62.015999999999991</v>
      </c>
      <c r="BA17" s="40"/>
      <c r="BB17" s="7">
        <f>((AVERAGE(B12:B17)*(+'Summary Page'!$C$2+1))*('Summary Page'!$C$2+1))*('Summary Page'!$C$2+1)</f>
        <v>117.84764799999999</v>
      </c>
      <c r="BC17" s="7">
        <f>((AVERAGE(B12:B17)*('Summary Page'!$C$3+1))*('Summary Page'!$C$3+1))*('Summary Page'!$C$3+1)</f>
        <v>147.4609375</v>
      </c>
      <c r="BD17" s="7">
        <f>((AVERAGE(B12:B17)*('Summary Page'!$C$4+1))*('Summary Page'!$C$4+1))*('Summary Page'!$C$4+1)</f>
        <v>130.46399999999997</v>
      </c>
      <c r="BE17" s="64">
        <v>18</v>
      </c>
      <c r="BF17" s="69"/>
      <c r="BG17" s="40"/>
      <c r="BH17" s="7">
        <f>((AVERAGE(BE6:BE17,BG6:BG17)*('Summary Page'!$C$2+1))*('Summary Page'!$C$2+1))*('Summary Page'!$C$2+1)</f>
        <v>43.575013333333324</v>
      </c>
      <c r="BI17" s="7">
        <f>((AVERAGE(BE6:BE17,BG6:BG17)*('Summary Page'!$C$3+1))*('Summary Page'!$C$3+1))*('Summary Page'!$C$3+1)</f>
        <v>54.524739583333343</v>
      </c>
      <c r="BJ17" s="7">
        <f>((AVERAGE(BE6:BE17,BG6:BG17)*('Summary Page'!$C$4+1))*('Summary Page'!$C$4+1))*('Summary Page'!$C$4+1)</f>
        <v>48.239999999999995</v>
      </c>
      <c r="BK17" s="40">
        <v>16</v>
      </c>
      <c r="BL17" s="40"/>
      <c r="BM17" s="40"/>
      <c r="BN17" s="7">
        <f>((AVERAGE(BK6:BK17,BM6:BM17)*('Summary Page'!$C$2+1))*('Summary Page'!$C$2+1))*('Summary Page'!$C$2+1)</f>
        <v>37.981802666666653</v>
      </c>
      <c r="BO17" s="7">
        <f>((AVERAGE(BK6:BK17,BM6:BM17)*('Summary Page'!$C$3+1))*('Summary Page'!$C$3+1))*('Summary Page'!$C$3+1)</f>
        <v>47.526041666666657</v>
      </c>
      <c r="BP17" s="7">
        <f>((AVERAGE(BK6:BK17,BM6:BM17)*('Summary Page'!$C$4+1))*('Summary Page'!$C$4+1))*('Summary Page'!$C$4+1)</f>
        <v>42.047999999999988</v>
      </c>
      <c r="BQ17" s="64">
        <v>49</v>
      </c>
      <c r="BR17" s="40"/>
      <c r="BS17" s="40"/>
      <c r="BT17" s="7">
        <f>((AVERAGE(BQ6:BQ17,BS6:BS17)*('Summary Page'!$C$2+1))*('Summary Page'!$C$2+1))*('Summary Page'!$C$2+1)</f>
        <v>87.280101333333306</v>
      </c>
      <c r="BU17" s="7">
        <f>((AVERAGE(BQ6:BQ17,BS6:BS17)*('Summary Page'!$C$3+1))*('Summary Page'!$C$3+1))*('Summary Page'!$C$3+1)</f>
        <v>109.21223958333331</v>
      </c>
      <c r="BV17" s="8">
        <f>((AVERAGE(BQ6:BQ17,BS6:BS17)*('Summary Page'!$C$4+1))*('Summary Page'!$C$4+1))*('Summary Page'!$C$4+1)</f>
        <v>96.623999999999995</v>
      </c>
      <c r="BW17" s="64">
        <v>30</v>
      </c>
      <c r="BX17" s="40"/>
      <c r="BY17" s="40"/>
      <c r="BZ17" s="7">
        <f>((AVERAGE(BW6:BW17,BY6:BY17)*('Summary Page'!$C$2+1))*('Summary Page'!$C$2+1))*('Summary Page'!$C$2+1)</f>
        <v>60.224570666666658</v>
      </c>
      <c r="CA17" s="7">
        <f>((AVERAGE(BW6:BW17,BY6:BY17)*('Summary Page'!$C$3+1))*('Summary Page'!$C$3+1))*('Summary Page'!$C$3+1)</f>
        <v>75.358072916666686</v>
      </c>
      <c r="CB17" s="8">
        <f>((AVERAGE(BW6:BW17,BY6:BY17)*('Summary Page'!$C$4+1))*('Summary Page'!$C$4+1))*('Summary Page'!$C$4+1)</f>
        <v>66.671999999999997</v>
      </c>
      <c r="CC17" s="64">
        <v>32</v>
      </c>
      <c r="CD17" s="40"/>
      <c r="CE17" s="40"/>
      <c r="CF17" s="7">
        <f>((AVERAGE(CC6:CC17,CE6:CE17)*('Summary Page'!$C$2+1))*('Summary Page'!$C$2+1))*('Summary Page'!$C$2+1)</f>
        <v>43.314863999999993</v>
      </c>
      <c r="CG17" s="7">
        <f>((AVERAGE(CC6:CC17,CE6:CE17)*('Summary Page'!$C$3+1))*('Summary Page'!$C$3+1))*('Summary Page'!$C$3+1)</f>
        <v>54.19921875</v>
      </c>
      <c r="CH17" s="8">
        <f>((AVERAGE(CC6:CC17,CE6:CE17)*('Summary Page'!$C$4+1))*('Summary Page'!$C$4+1))*('Summary Page'!$C$4+1)</f>
        <v>47.951999999999991</v>
      </c>
      <c r="CI17" s="64">
        <v>25</v>
      </c>
      <c r="CJ17" s="40"/>
      <c r="CK17" s="40"/>
      <c r="CL17" s="7">
        <f>((AVERAGE(CI6:CI17,CK6:CK17)*('Summary Page'!$C$2+1))*('Summary Page'!$C$2+1))*('Summary Page'!$C$2+1)</f>
        <v>32.388591999999996</v>
      </c>
      <c r="CM17" s="7">
        <f>((AVERAGE(CI6:CI17,CK6:CK17)*('Summary Page'!$C$3+1))*('Summary Page'!$C$3+1))*('Summary Page'!$C$3+1)</f>
        <v>40.52734375</v>
      </c>
      <c r="CN17" s="8">
        <f>((AVERAGE(CI6:CI17,CK6:CK17)*('Summary Page'!$C$4+1))*('Summary Page'!$C$4+1))*('Summary Page'!$C$4+1)</f>
        <v>35.855999999999995</v>
      </c>
      <c r="CQ17" s="40"/>
      <c r="CR17" s="7">
        <f>((AVERAGE(C12:C17)*('Summary Page'!$C$2+1))*('Summary Page'!$C$2+1))*('Summary Page'!$C$2+1)</f>
        <v>65.817781333333315</v>
      </c>
      <c r="CS17" s="7">
        <f>((AVERAGE(C12:C17)*('Summary Page'!$C$3+1))*('Summary Page'!$C$3+1))*('Summary Page'!$C$3+1)</f>
        <v>82.356770833333314</v>
      </c>
      <c r="CT17" s="8">
        <f>((AVERAGE(C12:C17)*('Summary Page'!$C$4+1))*('Summary Page'!$C$4+1))*('Summary Page'!$C$4+1)</f>
        <v>72.86399999999999</v>
      </c>
      <c r="CW17" s="40"/>
      <c r="CX17" s="7">
        <f>((AVERAGE(D12:D17)*('Summary Page'!$C$2+1))*('Summary Page'!$C$2+1))*('Summary Page'!$C$2+1)</f>
        <v>54.891509333333325</v>
      </c>
      <c r="CY17" s="7">
        <f>((AVERAGE(D12:D17)*('Summary Page'!$C$3+1))*('Summary Page'!$C$3+1))*('Summary Page'!$C$3+1)</f>
        <v>68.684895833333314</v>
      </c>
      <c r="CZ17" s="8">
        <f>((AVERAGE(D12:D17)*('Summary Page'!$C$4+1))*('Summary Page'!$C$4+1))*('Summary Page'!$C$4+1)</f>
        <v>60.767999999999986</v>
      </c>
      <c r="DA17" s="64">
        <v>24</v>
      </c>
      <c r="DB17" s="40"/>
      <c r="DC17" s="40"/>
      <c r="DD17" s="7">
        <f>((AVERAGE(DA6:DA17,DC6:DC17)*('Summary Page'!$C$2+1))*('Summary Page'!$C$2+1))*('Summary Page'!$C$2+1)</f>
        <v>36.030682666666657</v>
      </c>
      <c r="DE17" s="7">
        <f>((AVERAGE(DA6:DA17,DC6:DC17)*('Summary Page'!$C$3+1))*('Summary Page'!$C$3+1))*('Summary Page'!$C$3+1)</f>
        <v>45.084635416666657</v>
      </c>
      <c r="DF17" s="8">
        <f>((AVERAGE(DA6:DA17,DC6:DC17)*('Summary Page'!$C$4+1))*('Summary Page'!$C$4+1))*('Summary Page'!$C$4+1)</f>
        <v>39.887999999999991</v>
      </c>
      <c r="DG17" s="64">
        <v>31</v>
      </c>
      <c r="DH17" s="40"/>
      <c r="DI17" s="40"/>
      <c r="DJ17" s="7">
        <f>((AVERAGE(DG6:DG17,DI6:DI17)*('Summary Page'!$C$2+1))*('Summary Page'!$C$2+1))*('Summary Page'!$C$2+1)</f>
        <v>41.753967999999993</v>
      </c>
      <c r="DK17" s="7">
        <f>((AVERAGE(DG6:DG17,DI6:DI17)*('Summary Page'!$C$3+1))*('Summary Page'!$C$3+1))*('Summary Page'!$C$3+1)</f>
        <v>52.24609375</v>
      </c>
      <c r="DL17" s="8">
        <f>((AVERAGE(DG6:DG17,DI6:DI17)*('Summary Page'!$C$4+1))*('Summary Page'!$C$4+1))*('Summary Page'!$C$4+1)</f>
        <v>46.224000000000004</v>
      </c>
      <c r="DO17" s="40"/>
      <c r="DP17" s="7">
        <f>((AVERAGE(F6:F17,DO6:DO17)*('Summary Page'!$C$2+1))*('Summary Page'!$C$2+1))*('Summary Page'!$C$2+1)</f>
        <v>1.0405973333333329</v>
      </c>
      <c r="DQ17" s="7">
        <f>((AVERAGE(F6:F17,DO6:DO17)*('Summary Page'!$C$3+1))*('Summary Page'!$C$3+1))*('Summary Page'!$C$3+1)</f>
        <v>1.302083333333333</v>
      </c>
      <c r="DR17" s="8">
        <f>((AVERAGE(F6:F17,DO6:DO17)*('Summary Page'!$C$4+1))*('Summary Page'!$C$4+1))*('Summary Page'!$C$4+1)</f>
        <v>1.1519999999999997</v>
      </c>
      <c r="DU17" s="40"/>
      <c r="DV17" s="7">
        <f>((AVERAGE(G6:G17,DU6:DU17)*('Summary Page'!$C$2+1))*('Summary Page'!$C$2+1))*('Summary Page'!$C$2+1)</f>
        <v>28.876575999999993</v>
      </c>
      <c r="DW17" s="7">
        <f>((AVERAGE(G6:G17,DU6:DU17)*('Summary Page'!$C$3+1))*('Summary Page'!$C$3+1))*('Summary Page'!$C$3+1)</f>
        <v>36.1328125</v>
      </c>
      <c r="DX17" s="8">
        <f>((AVERAGE(G6:G17,DU6:DU17)*('Summary Page'!$C$4+1))*('Summary Page'!$C$4+1))*('Summary Page'!$C$4+1)</f>
        <v>31.967999999999996</v>
      </c>
      <c r="EA17" s="40"/>
      <c r="EB17" s="7">
        <f>((AVERAGE(H12:H17)*('Summary Page'!$C$2+1))*('Summary Page'!$C$2+1))*('Summary Page'!$C$2+1)</f>
        <v>16.909706666666665</v>
      </c>
      <c r="EC17" s="7">
        <f>((AVERAGE(H12:H17)*('Summary Page'!$C$3+1))*('Summary Page'!$C$3+1))*('Summary Page'!$C$3+1)</f>
        <v>21.158854166666671</v>
      </c>
      <c r="ED17" s="8">
        <f>((AVERAGE(H12:H17)*('Summary Page'!$C$4+1))*('Summary Page'!$C$4+1))*('Summary Page'!$C$4+1)</f>
        <v>18.72</v>
      </c>
      <c r="EG17" s="40"/>
      <c r="EH17" s="7">
        <f>((AVERAGE(I12:I17)*('Summary Page'!$C$2+1))*('Summary Page'!$C$2+1))*('Summary Page'!$C$2+1)</f>
        <v>77.004202666666657</v>
      </c>
      <c r="EI17" s="7">
        <f>((AVERAGE(I12:I17)*('Summary Page'!$C$3+1))*('Summary Page'!$C$3+1))*('Summary Page'!$C$3+1)</f>
        <v>96.354166666666686</v>
      </c>
      <c r="EJ17" s="8">
        <f>((AVERAGE(I12:I17)*('Summary Page'!$C$4+1))*('Summary Page'!$C$4+1))*('Summary Page'!$C$4+1)</f>
        <v>85.248000000000005</v>
      </c>
      <c r="EM17" s="40"/>
      <c r="EN17" s="7" t="e">
        <f>((AVERAGE(AD12:AD17)*('Summary Page'!$C$2+1))*('Summary Page'!$C$2+1))*('Summary Page'!$C$2+1)</f>
        <v>#DIV/0!</v>
      </c>
      <c r="EO17" s="7" t="e">
        <f>((AVERAGE(AD12:AD17)*('Summary Page'!$C$3+1))*('Summary Page'!$C$3+1))*('Summary Page'!$C$3+1)</f>
        <v>#DIV/0!</v>
      </c>
      <c r="EP17" s="7" t="e">
        <f>((AVERAGE(AD12:AD17)*('Summary Page'!$C$4+1))*('Summary Page'!$C$4+1))*('Summary Page'!$C$4+1)</f>
        <v>#DIV/0!</v>
      </c>
      <c r="EQ17" s="7">
        <v>100</v>
      </c>
    </row>
    <row r="18" spans="1:159" ht="15.75" x14ac:dyDescent="0.25">
      <c r="A18" s="1">
        <v>43556</v>
      </c>
      <c r="B18" s="40">
        <v>76</v>
      </c>
      <c r="C18" s="64">
        <v>41</v>
      </c>
      <c r="D18" s="64">
        <v>33</v>
      </c>
      <c r="E18" s="7">
        <f t="shared" si="1"/>
        <v>58.5</v>
      </c>
      <c r="F18" s="64">
        <v>1</v>
      </c>
      <c r="G18" s="64">
        <v>19</v>
      </c>
      <c r="H18" s="64">
        <v>14</v>
      </c>
      <c r="I18" s="64">
        <v>46</v>
      </c>
      <c r="J18" s="64"/>
      <c r="K18" s="5">
        <f t="shared" si="2"/>
        <v>28.25</v>
      </c>
      <c r="L18" s="99"/>
      <c r="M18" s="40"/>
      <c r="N18" s="40"/>
      <c r="O18" s="40"/>
      <c r="P18" s="40"/>
      <c r="Q18" s="40"/>
      <c r="R18" s="40"/>
      <c r="S18" s="40"/>
      <c r="T18" s="40"/>
      <c r="U18" s="100"/>
      <c r="V18" s="13"/>
      <c r="W18" s="13"/>
      <c r="X18" s="13"/>
      <c r="Y18" s="13"/>
      <c r="Z18" s="13"/>
      <c r="AA18" s="13"/>
      <c r="AB18" s="13"/>
      <c r="AC18" s="13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13"/>
      <c r="AO18" s="7">
        <f>((AVERAGE(K13:K18)*('Summary Page'!$C$2+1))*('Summary Page'!$C$2+1))*('Summary Page'!$C$2+1)</f>
        <v>47.217103999999985</v>
      </c>
      <c r="AP18" s="7">
        <f>((AVERAGE(K13:K18)*('Summary Page'!$C$3+1))*('Summary Page'!$C$3+1))*('Summary Page'!$C$3+1)</f>
        <v>59.08203125</v>
      </c>
      <c r="AQ18" s="7">
        <f>((AVERAGE(K13:K18)*('Summary Page'!$C$4+1))*('Summary Page'!$C$4+1))*('Summary Page'!$C$4+1)</f>
        <v>52.271999999999991</v>
      </c>
      <c r="AR18" s="7">
        <v>80</v>
      </c>
      <c r="AS18" s="5">
        <f t="shared" si="3"/>
        <v>35.333333333333336</v>
      </c>
      <c r="AT18" s="13"/>
      <c r="AU18" s="13"/>
      <c r="AV18" s="7">
        <f>((AVERAGE(AS7:AS18,AU7:AU18)*('Summary Page'!$C$2+1))*('Summary Page'!$C$2+1))*('Summary Page'!$C$2+1)</f>
        <v>55.064942222222193</v>
      </c>
      <c r="AW18" s="7">
        <f>((AVERAGE(AS7:AS18,AU7:AU18)*('Summary Page'!$C$3+1))*('Summary Page'!$C$3+1))*('Summary Page'!$C$3+1)</f>
        <v>68.901909722222214</v>
      </c>
      <c r="AX18" s="7">
        <f>((AVERAGE(AS7:AS18,AU7:AU18)*('Summary Page'!$C$4+1))*('Summary Page'!$C$4+1))*('Summary Page'!$C$4+1)</f>
        <v>60.95999999999998</v>
      </c>
      <c r="BA18" s="40"/>
      <c r="BB18" s="7">
        <f>((AVERAGE(B13:B18)*(+'Summary Page'!$C$2+1))*('Summary Page'!$C$2+1))*('Summary Page'!$C$2+1)</f>
        <v>116.54690133333331</v>
      </c>
      <c r="BC18" s="7">
        <f>((AVERAGE(B13:B18)*('Summary Page'!$C$3+1))*('Summary Page'!$C$3+1))*('Summary Page'!$C$3+1)</f>
        <v>145.83333333333337</v>
      </c>
      <c r="BD18" s="7">
        <f>((AVERAGE(B13:B18)*('Summary Page'!$C$4+1))*('Summary Page'!$C$4+1))*('Summary Page'!$C$4+1)</f>
        <v>129.024</v>
      </c>
      <c r="BE18" s="64">
        <v>15</v>
      </c>
      <c r="BF18" s="69"/>
      <c r="BG18" s="40"/>
      <c r="BH18" s="7">
        <f>((AVERAGE(BE7:BE18,BG7:BG18)*('Summary Page'!$C$2+1))*('Summary Page'!$C$2+1))*('Summary Page'!$C$2+1)</f>
        <v>40.713370666666663</v>
      </c>
      <c r="BI18" s="7">
        <f>((AVERAGE(BE7:BE18,BG7:BG18)*('Summary Page'!$C$3+1))*('Summary Page'!$C$3+1))*('Summary Page'!$C$3+1)</f>
        <v>50.944010416666657</v>
      </c>
      <c r="BJ18" s="7">
        <f>((AVERAGE(BE7:BE18,BG7:BG18)*('Summary Page'!$C$4+1))*('Summary Page'!$C$4+1))*('Summary Page'!$C$4+1)</f>
        <v>45.071999999999996</v>
      </c>
      <c r="BK18" s="40">
        <v>12</v>
      </c>
      <c r="BL18" s="40"/>
      <c r="BM18" s="40"/>
      <c r="BN18" s="7">
        <f>((AVERAGE(BK7:BK18,BM7:BM18)*('Summary Page'!$C$2+1))*('Summary Page'!$C$2+1))*('Summary Page'!$C$2+1)</f>
        <v>35.380309333333329</v>
      </c>
      <c r="BO18" s="7">
        <f>((AVERAGE(BK7:BK18,BM7:BM18)*('Summary Page'!$C$3+1))*('Summary Page'!$C$3+1))*('Summary Page'!$C$3+1)</f>
        <v>44.270833333333343</v>
      </c>
      <c r="BP18" s="7">
        <f>((AVERAGE(BK7:BK18,BM7:BM18)*('Summary Page'!$C$4+1))*('Summary Page'!$C$4+1))*('Summary Page'!$C$4+1)</f>
        <v>39.167999999999999</v>
      </c>
      <c r="BQ18" s="64">
        <v>44</v>
      </c>
      <c r="BR18" s="40"/>
      <c r="BS18" s="40"/>
      <c r="BT18" s="7">
        <f>((AVERAGE(BQ7:BQ18,BS7:BS18)*('Summary Page'!$C$2+1))*('Summary Page'!$C$2+1))*('Summary Page'!$C$2+1)</f>
        <v>88.84099733333332</v>
      </c>
      <c r="BU18" s="7">
        <f>((AVERAGE(BQ7:BQ18,BS7:BS18)*('Summary Page'!$C$3+1))*('Summary Page'!$C$3+1))*('Summary Page'!$C$3+1)</f>
        <v>111.16536458333331</v>
      </c>
      <c r="BV18" s="8">
        <f>((AVERAGE(BQ7:BQ18,BS7:BS18)*('Summary Page'!$C$4+1))*('Summary Page'!$C$4+1))*('Summary Page'!$C$4+1)</f>
        <v>98.35199999999999</v>
      </c>
      <c r="BW18" s="64">
        <v>33</v>
      </c>
      <c r="BX18" s="40"/>
      <c r="BY18" s="40"/>
      <c r="BZ18" s="7">
        <f>((AVERAGE(BW7:BW18,BY7:BY18)*('Summary Page'!$C$2+1))*('Summary Page'!$C$2+1))*('Summary Page'!$C$2+1)</f>
        <v>61.005018666666651</v>
      </c>
      <c r="CA18" s="7">
        <f>((AVERAGE(BW7:BW18,BY7:BY18)*('Summary Page'!$C$3+1))*('Summary Page'!$C$3+1))*('Summary Page'!$C$3+1)</f>
        <v>76.334635416666686</v>
      </c>
      <c r="CB18" s="8">
        <f>((AVERAGE(BW7:BW18,BY7:BY18)*('Summary Page'!$C$4+1))*('Summary Page'!$C$4+1))*('Summary Page'!$C$4+1)</f>
        <v>67.535999999999987</v>
      </c>
      <c r="CC18" s="64">
        <v>37</v>
      </c>
      <c r="CD18" s="40"/>
      <c r="CE18" s="40"/>
      <c r="CF18" s="7">
        <f>((AVERAGE(CC7:CC18,CE7:CE18)*('Summary Page'!$C$2+1))*('Summary Page'!$C$2+1))*('Summary Page'!$C$2+1)</f>
        <v>44.355461333333324</v>
      </c>
      <c r="CG18" s="7">
        <f>((AVERAGE(CC7:CC18,CE7:CE18)*('Summary Page'!$C$3+1))*('Summary Page'!$C$3+1))*('Summary Page'!$C$3+1)</f>
        <v>55.501302083333343</v>
      </c>
      <c r="CH18" s="8">
        <f>((AVERAGE(CC7:CC18,CE7:CE18)*('Summary Page'!$C$4+1))*('Summary Page'!$C$4+1))*('Summary Page'!$C$4+1)</f>
        <v>49.103999999999999</v>
      </c>
      <c r="CI18" s="64">
        <v>28</v>
      </c>
      <c r="CJ18" s="40"/>
      <c r="CK18" s="40"/>
      <c r="CL18" s="7">
        <f>((AVERAGE(CI7:CI18,CK7:CK18)*('Summary Page'!$C$2+1))*('Summary Page'!$C$2+1))*('Summary Page'!$C$2+1)</f>
        <v>33.169039999999995</v>
      </c>
      <c r="CM18" s="7">
        <f>((AVERAGE(CI7:CI18,CK7:CK18)*('Summary Page'!$C$3+1))*('Summary Page'!$C$3+1))*('Summary Page'!$C$3+1)</f>
        <v>41.50390625</v>
      </c>
      <c r="CN18" s="8">
        <f>((AVERAGE(CI7:CI18,CK7:CK18)*('Summary Page'!$C$4+1))*('Summary Page'!$C$4+1))*('Summary Page'!$C$4+1)</f>
        <v>36.72</v>
      </c>
      <c r="CQ18" s="40"/>
      <c r="CR18" s="7">
        <f>((AVERAGE(C13:C18)*('Summary Page'!$C$2+1))*('Summary Page'!$C$2+1))*('Summary Page'!$C$2+1)</f>
        <v>66.07793066666666</v>
      </c>
      <c r="CS18" s="7">
        <f>((AVERAGE(C13:C18)*('Summary Page'!$C$3+1))*('Summary Page'!$C$3+1))*('Summary Page'!$C$3+1)</f>
        <v>82.682291666666686</v>
      </c>
      <c r="CT18" s="8">
        <f>((AVERAGE(C13:C18)*('Summary Page'!$C$4+1))*('Summary Page'!$C$4+1))*('Summary Page'!$C$4+1)</f>
        <v>73.152000000000001</v>
      </c>
      <c r="CW18" s="40"/>
      <c r="CX18" s="7">
        <f>((AVERAGE(D13:D18)*('Summary Page'!$C$2+1))*('Summary Page'!$C$2+1))*('Summary Page'!$C$2+1)</f>
        <v>54.631359999999987</v>
      </c>
      <c r="CY18" s="7">
        <f>((AVERAGE(D13:D18)*('Summary Page'!$C$3+1))*('Summary Page'!$C$3+1))*('Summary Page'!$C$3+1)</f>
        <v>68.359375</v>
      </c>
      <c r="CZ18" s="8">
        <f>((AVERAGE(D13:D18)*('Summary Page'!$C$4+1))*('Summary Page'!$C$4+1))*('Summary Page'!$C$4+1)</f>
        <v>60.48</v>
      </c>
      <c r="DA18" s="64">
        <v>25</v>
      </c>
      <c r="DB18" s="40"/>
      <c r="DC18" s="40"/>
      <c r="DD18" s="7">
        <f>((AVERAGE(DA7:DA18,DC7:DC18)*('Summary Page'!$C$2+1))*('Summary Page'!$C$2+1))*('Summary Page'!$C$2+1)</f>
        <v>35.510383999999988</v>
      </c>
      <c r="DE18" s="7">
        <f>((AVERAGE(DA7:DA18,DC7:DC18)*('Summary Page'!$C$3+1))*('Summary Page'!$C$3+1))*('Summary Page'!$C$3+1)</f>
        <v>44.43359375</v>
      </c>
      <c r="DF18" s="8">
        <f>((AVERAGE(DA7:DA18,DC7:DC18)*('Summary Page'!$C$4+1))*('Summary Page'!$C$4+1))*('Summary Page'!$C$4+1)</f>
        <v>39.311999999999998</v>
      </c>
      <c r="DG18" s="64">
        <v>32</v>
      </c>
      <c r="DH18" s="40"/>
      <c r="DI18" s="40"/>
      <c r="DJ18" s="7">
        <f>((AVERAGE(DG7:DG18,DI7:DI18)*('Summary Page'!$C$2+1))*('Summary Page'!$C$2+1))*('Summary Page'!$C$2+1)</f>
        <v>42.014117333333324</v>
      </c>
      <c r="DK18" s="7">
        <f>((AVERAGE(DG7:DG18,DI7:DI18)*('Summary Page'!$C$3+1))*('Summary Page'!$C$3+1))*('Summary Page'!$C$3+1)</f>
        <v>52.571614583333343</v>
      </c>
      <c r="DL18" s="8">
        <f>((AVERAGE(DG7:DG18,DI7:DI18)*('Summary Page'!$C$4+1))*('Summary Page'!$C$4+1))*('Summary Page'!$C$4+1)</f>
        <v>46.511999999999993</v>
      </c>
      <c r="DO18" s="40"/>
      <c r="DP18" s="7">
        <f>((AVERAGE(F7:F18,DO7:DO18)*('Summary Page'!$C$2+1))*('Summary Page'!$C$2+1))*('Summary Page'!$C$2+1)</f>
        <v>0.91052266666666648</v>
      </c>
      <c r="DQ18" s="7">
        <f>((AVERAGE(F7:F18,DO7:DO18)*('Summary Page'!$C$3+1))*('Summary Page'!$C$3+1))*('Summary Page'!$C$3+1)</f>
        <v>1.139322916666667</v>
      </c>
      <c r="DR18" s="8">
        <f>((AVERAGE(F7:F18,DO7:DO18)*('Summary Page'!$C$4+1))*('Summary Page'!$C$4+1))*('Summary Page'!$C$4+1)</f>
        <v>1.008</v>
      </c>
      <c r="DU18" s="40"/>
      <c r="DV18" s="7">
        <f>((AVERAGE(G7:G18,DU7:DU18)*('Summary Page'!$C$2+1))*('Summary Page'!$C$2+1))*('Summary Page'!$C$2+1)</f>
        <v>26.275082666666659</v>
      </c>
      <c r="DW18" s="7">
        <f>((AVERAGE(G7:G18,DU7:DU18)*('Summary Page'!$C$3+1))*('Summary Page'!$C$3+1))*('Summary Page'!$C$3+1)</f>
        <v>32.877604166666657</v>
      </c>
      <c r="DX18" s="8">
        <f>((AVERAGE(G7:G18,DU7:DU18)*('Summary Page'!$C$4+1))*('Summary Page'!$C$4+1))*('Summary Page'!$C$4+1)</f>
        <v>29.087999999999997</v>
      </c>
      <c r="EA18" s="40"/>
      <c r="EB18" s="7">
        <f>((AVERAGE(H13:H18)*('Summary Page'!$C$2+1))*('Summary Page'!$C$2+1))*('Summary Page'!$C$2+1)</f>
        <v>17.950303999999999</v>
      </c>
      <c r="EC18" s="7">
        <f>((AVERAGE(H13:H18)*('Summary Page'!$C$3+1))*('Summary Page'!$C$3+1))*('Summary Page'!$C$3+1)</f>
        <v>22.4609375</v>
      </c>
      <c r="ED18" s="8">
        <f>((AVERAGE(H13:H18)*('Summary Page'!$C$4+1))*('Summary Page'!$C$4+1))*('Summary Page'!$C$4+1)</f>
        <v>19.871999999999996</v>
      </c>
      <c r="EG18" s="40"/>
      <c r="EH18" s="7">
        <f>((AVERAGE(I13:I18)*('Summary Page'!$C$2+1))*('Summary Page'!$C$2+1))*('Summary Page'!$C$2+1)</f>
        <v>78.044799999999981</v>
      </c>
      <c r="EI18" s="7">
        <f>((AVERAGE(I13:I18)*('Summary Page'!$C$3+1))*('Summary Page'!$C$3+1))*('Summary Page'!$C$3+1)</f>
        <v>97.65625</v>
      </c>
      <c r="EJ18" s="8">
        <f>((AVERAGE(I13:I18)*('Summary Page'!$C$4+1))*('Summary Page'!$C$4+1))*('Summary Page'!$C$4+1)</f>
        <v>86.399999999999991</v>
      </c>
      <c r="EM18" s="40"/>
      <c r="EN18" s="7" t="e">
        <f>((AVERAGE(AD13:AD18)*('Summary Page'!$C$2+1))*('Summary Page'!$C$2+1))*('Summary Page'!$C$2+1)</f>
        <v>#DIV/0!</v>
      </c>
      <c r="EO18" s="7" t="e">
        <f>((AVERAGE(AD13:AD18)*('Summary Page'!$C$3+1))*('Summary Page'!$C$3+1))*('Summary Page'!$C$3+1)</f>
        <v>#DIV/0!</v>
      </c>
      <c r="EP18" s="7" t="e">
        <f>((AVERAGE(AD13:AD18)*('Summary Page'!$C$4+1))*('Summary Page'!$C$4+1))*('Summary Page'!$C$4+1)</f>
        <v>#DIV/0!</v>
      </c>
      <c r="EQ18" s="7">
        <v>100</v>
      </c>
    </row>
    <row r="19" spans="1:159" ht="15.75" x14ac:dyDescent="0.25">
      <c r="A19" s="1">
        <v>43570</v>
      </c>
      <c r="B19" s="40">
        <v>67</v>
      </c>
      <c r="C19" s="64">
        <v>40</v>
      </c>
      <c r="D19" s="64">
        <v>33</v>
      </c>
      <c r="E19" s="7">
        <f t="shared" si="1"/>
        <v>53.5</v>
      </c>
      <c r="F19" s="64">
        <v>1</v>
      </c>
      <c r="G19" s="64">
        <v>14</v>
      </c>
      <c r="H19" s="64">
        <v>12</v>
      </c>
      <c r="I19" s="64">
        <v>39</v>
      </c>
      <c r="J19" s="64"/>
      <c r="K19" s="5">
        <f t="shared" si="2"/>
        <v>23.625</v>
      </c>
      <c r="L19" s="99"/>
      <c r="M19" s="40"/>
      <c r="N19" s="40"/>
      <c r="O19" s="40"/>
      <c r="P19" s="40"/>
      <c r="Q19" s="40"/>
      <c r="R19" s="40"/>
      <c r="S19" s="40"/>
      <c r="T19" s="40"/>
      <c r="U19" s="100"/>
      <c r="V19" s="13"/>
      <c r="W19" s="13"/>
      <c r="X19" s="13"/>
      <c r="Y19" s="13"/>
      <c r="Z19" s="13"/>
      <c r="AA19" s="13"/>
      <c r="AB19" s="13"/>
      <c r="AC19" s="13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13"/>
      <c r="AO19" s="7">
        <f>((AVERAGE(K14:K19)*('Summary Page'!$C$2+1))*('Summary Page'!$C$2+1))*('Summary Page'!$C$2+1)</f>
        <v>45.461095999999991</v>
      </c>
      <c r="AP19" s="7">
        <f>((AVERAGE(K14:K19)*('Summary Page'!$C$3+1))*('Summary Page'!$C$3+1))*('Summary Page'!$C$3+1)</f>
        <v>56.884765625</v>
      </c>
      <c r="AQ19" s="7">
        <f>((AVERAGE(K14:K19)*('Summary Page'!$C$4+1))*('Summary Page'!$C$4+1))*('Summary Page'!$C$4+1)</f>
        <v>50.327999999999989</v>
      </c>
      <c r="AR19" s="7">
        <v>80</v>
      </c>
      <c r="AS19" s="5">
        <f t="shared" si="3"/>
        <v>31</v>
      </c>
      <c r="AT19" s="13"/>
      <c r="AU19" s="13"/>
      <c r="AV19" s="7">
        <f>((AVERAGE(AS8:AS19,AU8:AU19)*('Summary Page'!$C$2+1))*('Summary Page'!$C$2+1))*('Summary Page'!$C$2+1)</f>
        <v>54.241135999999976</v>
      </c>
      <c r="AW19" s="7">
        <f>((AVERAGE(AS8:AS19,AU8:AU19)*('Summary Page'!$C$3+1))*('Summary Page'!$C$3+1))*('Summary Page'!$C$3+1)</f>
        <v>67.871093749999986</v>
      </c>
      <c r="AX19" s="7">
        <f>((AVERAGE(AS8:AS19,AU8:AU19)*('Summary Page'!$C$4+1))*('Summary Page'!$C$4+1))*('Summary Page'!$C$4+1)</f>
        <v>60.047999999999981</v>
      </c>
      <c r="BA19" s="40"/>
      <c r="BB19" s="7">
        <f>((AVERAGE(B14:B19)*(+'Summary Page'!$C$2+1))*('Summary Page'!$C$2+1))*('Summary Page'!$C$2+1)</f>
        <v>113.94540799999997</v>
      </c>
      <c r="BC19" s="7">
        <f>((AVERAGE(B14:B19)*('Summary Page'!$C$3+1))*('Summary Page'!$C$3+1))*('Summary Page'!$C$3+1)</f>
        <v>142.578125</v>
      </c>
      <c r="BD19" s="7">
        <f>((AVERAGE(B14:B19)*('Summary Page'!$C$4+1))*('Summary Page'!$C$4+1))*('Summary Page'!$C$4+1)</f>
        <v>126.14399999999998</v>
      </c>
      <c r="BE19" s="64">
        <v>13</v>
      </c>
      <c r="BF19" s="69"/>
      <c r="BG19" s="40"/>
      <c r="BH19" s="7">
        <f>((AVERAGE(BE8:BE19,BG8:BG19)*('Summary Page'!$C$2+1))*('Summary Page'!$C$2+1))*('Summary Page'!$C$2+1)</f>
        <v>38.241951999999998</v>
      </c>
      <c r="BI19" s="7">
        <f>((AVERAGE(BE8:BE19,BG8:BG19)*('Summary Page'!$C$3+1))*('Summary Page'!$C$3+1))*('Summary Page'!$C$3+1)</f>
        <v>47.8515625</v>
      </c>
      <c r="BJ19" s="7">
        <f>((AVERAGE(BE8:BE19,BG8:BG19)*('Summary Page'!$C$4+1))*('Summary Page'!$C$4+1))*('Summary Page'!$C$4+1)</f>
        <v>42.335999999999991</v>
      </c>
      <c r="BK19" s="40">
        <v>11</v>
      </c>
      <c r="BL19" s="40"/>
      <c r="BM19" s="40"/>
      <c r="BN19" s="7">
        <f>((AVERAGE(BK8:BK19,BM8:BM19)*('Summary Page'!$C$2+1))*('Summary Page'!$C$2+1))*('Summary Page'!$C$2+1)</f>
        <v>33.299114666666654</v>
      </c>
      <c r="BO19" s="7">
        <f>((AVERAGE(BK8:BK19,BM8:BM19)*('Summary Page'!$C$3+1))*('Summary Page'!$C$3+1))*('Summary Page'!$C$3+1)</f>
        <v>41.666666666666657</v>
      </c>
      <c r="BP19" s="7">
        <f>((AVERAGE(BK8:BK19,BM8:BM19)*('Summary Page'!$C$4+1))*('Summary Page'!$C$4+1))*('Summary Page'!$C$4+1)</f>
        <v>36.86399999999999</v>
      </c>
      <c r="BQ19" s="64">
        <v>39</v>
      </c>
      <c r="BR19" s="40"/>
      <c r="BS19" s="40"/>
      <c r="BT19" s="7">
        <f>((AVERAGE(BQ8:BQ19,BS8:BS19)*('Summary Page'!$C$2+1))*('Summary Page'!$C$2+1))*('Summary Page'!$C$2+1)</f>
        <v>87.670325333333309</v>
      </c>
      <c r="BU19" s="7">
        <f>((AVERAGE(BQ8:BQ19,BS8:BS19)*('Summary Page'!$C$3+1))*('Summary Page'!$C$3+1))*('Summary Page'!$C$3+1)</f>
        <v>109.70052083333331</v>
      </c>
      <c r="BV19" s="8">
        <f>((AVERAGE(BQ8:BQ19,BS8:BS19)*('Summary Page'!$C$4+1))*('Summary Page'!$C$4+1))*('Summary Page'!$C$4+1)</f>
        <v>97.055999999999969</v>
      </c>
      <c r="BW19" s="64">
        <v>30</v>
      </c>
      <c r="BX19" s="40"/>
      <c r="BY19" s="40"/>
      <c r="BZ19" s="7">
        <f>((AVERAGE(BW8:BW19,BY8:BY19)*('Summary Page'!$C$2+1))*('Summary Page'!$C$2+1))*('Summary Page'!$C$2+1)</f>
        <v>60.224570666666658</v>
      </c>
      <c r="CA19" s="7">
        <f>((AVERAGE(BW8:BW19,BY8:BY19)*('Summary Page'!$C$3+1))*('Summary Page'!$C$3+1))*('Summary Page'!$C$3+1)</f>
        <v>75.358072916666686</v>
      </c>
      <c r="CB19" s="8">
        <f>((AVERAGE(BW8:BW19,BY8:BY19)*('Summary Page'!$C$4+1))*('Summary Page'!$C$4+1))*('Summary Page'!$C$4+1)</f>
        <v>66.671999999999997</v>
      </c>
      <c r="CC19" s="64">
        <v>26</v>
      </c>
      <c r="CD19" s="40"/>
      <c r="CE19" s="40"/>
      <c r="CF19" s="7">
        <f>((AVERAGE(CC8:CC19,CE8:CE19)*('Summary Page'!$C$2+1))*('Summary Page'!$C$2+1))*('Summary Page'!$C$2+1)</f>
        <v>44.355461333333324</v>
      </c>
      <c r="CG19" s="7">
        <f>((AVERAGE(CC8:CC19,CE8:CE19)*('Summary Page'!$C$3+1))*('Summary Page'!$C$3+1))*('Summary Page'!$C$3+1)</f>
        <v>55.501302083333343</v>
      </c>
      <c r="CH19" s="8">
        <f>((AVERAGE(CC8:CC19,CE8:CE19)*('Summary Page'!$C$4+1))*('Summary Page'!$C$4+1))*('Summary Page'!$C$4+1)</f>
        <v>49.103999999999999</v>
      </c>
      <c r="CI19" s="64">
        <v>19</v>
      </c>
      <c r="CJ19" s="40"/>
      <c r="CK19" s="40"/>
      <c r="CL19" s="7">
        <f>((AVERAGE(CI8:CI19,CK8:CK19)*('Summary Page'!$C$2+1))*('Summary Page'!$C$2+1))*('Summary Page'!$C$2+1)</f>
        <v>33.169039999999995</v>
      </c>
      <c r="CM19" s="7">
        <f>((AVERAGE(CI8:CI19,CK8:CK19)*('Summary Page'!$C$3+1))*('Summary Page'!$C$3+1))*('Summary Page'!$C$3+1)</f>
        <v>41.50390625</v>
      </c>
      <c r="CN19" s="8">
        <f>((AVERAGE(CI8:CI19,CK8:CK19)*('Summary Page'!$C$4+1))*('Summary Page'!$C$4+1))*('Summary Page'!$C$4+1)</f>
        <v>36.72</v>
      </c>
      <c r="CQ19" s="40"/>
      <c r="CR19" s="7">
        <f>((AVERAGE(C14:C19)*('Summary Page'!$C$2+1))*('Summary Page'!$C$2+1))*('Summary Page'!$C$2+1)</f>
        <v>65.557631999999984</v>
      </c>
      <c r="CS19" s="7">
        <f>((AVERAGE(C14:C19)*('Summary Page'!$C$3+1))*('Summary Page'!$C$3+1))*('Summary Page'!$C$3+1)</f>
        <v>82.03125</v>
      </c>
      <c r="CT19" s="8">
        <f>((AVERAGE(C14:C19)*('Summary Page'!$C$4+1))*('Summary Page'!$C$4+1))*('Summary Page'!$C$4+1)</f>
        <v>72.575999999999993</v>
      </c>
      <c r="CW19" s="40"/>
      <c r="CX19" s="7">
        <f>((AVERAGE(D14:D19)*('Summary Page'!$C$2+1))*('Summary Page'!$C$2+1))*('Summary Page'!$C$2+1)</f>
        <v>53.850911999999987</v>
      </c>
      <c r="CY19" s="7">
        <f>((AVERAGE(D14:D19)*('Summary Page'!$C$3+1))*('Summary Page'!$C$3+1))*('Summary Page'!$C$3+1)</f>
        <v>67.3828125</v>
      </c>
      <c r="CZ19" s="8">
        <f>((AVERAGE(D14:D19)*('Summary Page'!$C$4+1))*('Summary Page'!$C$4+1))*('Summary Page'!$C$4+1)</f>
        <v>59.616</v>
      </c>
      <c r="DA19" s="64">
        <v>23</v>
      </c>
      <c r="DB19" s="40"/>
      <c r="DC19" s="40"/>
      <c r="DD19" s="7">
        <f>((AVERAGE(DA8:DA19,DC8:DC19)*('Summary Page'!$C$2+1))*('Summary Page'!$C$2+1))*('Summary Page'!$C$2+1)</f>
        <v>35.250234666666657</v>
      </c>
      <c r="DE19" s="7">
        <f>((AVERAGE(DA8:DA19,DC8:DC19)*('Summary Page'!$C$3+1))*('Summary Page'!$C$3+1))*('Summary Page'!$C$3+1)</f>
        <v>44.108072916666657</v>
      </c>
      <c r="DF19" s="8">
        <f>((AVERAGE(DA8:DA19,DC8:DC19)*('Summary Page'!$C$4+1))*('Summary Page'!$C$4+1))*('Summary Page'!$C$4+1)</f>
        <v>39.023999999999994</v>
      </c>
      <c r="DG19" s="64">
        <v>28</v>
      </c>
      <c r="DH19" s="40"/>
      <c r="DI19" s="40"/>
      <c r="DJ19" s="7">
        <f>((AVERAGE(DG8:DG19,DI8:DI19)*('Summary Page'!$C$2+1))*('Summary Page'!$C$2+1))*('Summary Page'!$C$2+1)</f>
        <v>42.14419199999999</v>
      </c>
      <c r="DK19" s="7">
        <f>((AVERAGE(DG8:DG19,DI8:DI19)*('Summary Page'!$C$3+1))*('Summary Page'!$C$3+1))*('Summary Page'!$C$3+1)</f>
        <v>52.734375</v>
      </c>
      <c r="DL19" s="8">
        <f>((AVERAGE(DG8:DG19,DI8:DI19)*('Summary Page'!$C$4+1))*('Summary Page'!$C$4+1))*('Summary Page'!$C$4+1)</f>
        <v>46.655999999999992</v>
      </c>
      <c r="DO19" s="40"/>
      <c r="DP19" s="7">
        <f>((AVERAGE(F8:F19,DO8:DO19)*('Summary Page'!$C$2+1))*('Summary Page'!$C$2+1))*('Summary Page'!$C$2+1)</f>
        <v>0.78044799999999992</v>
      </c>
      <c r="DQ19" s="7">
        <f>((AVERAGE(F8:F19,DO8:DO19)*('Summary Page'!$C$3+1))*('Summary Page'!$C$3+1))*('Summary Page'!$C$3+1)</f>
        <v>0.9765625</v>
      </c>
      <c r="DR19" s="8">
        <f>((AVERAGE(F8:F19,DO8:DO19)*('Summary Page'!$C$4+1))*('Summary Page'!$C$4+1))*('Summary Page'!$C$4+1)</f>
        <v>0.86399999999999999</v>
      </c>
      <c r="DU19" s="40"/>
      <c r="DV19" s="7">
        <f>((AVERAGE(G8:G19,DU8:DU19)*('Summary Page'!$C$2+1))*('Summary Page'!$C$2+1))*('Summary Page'!$C$2+1)</f>
        <v>24.974335999999997</v>
      </c>
      <c r="DW19" s="7">
        <f>((AVERAGE(G8:G19,DU8:DU19)*('Summary Page'!$C$3+1))*('Summary Page'!$C$3+1))*('Summary Page'!$C$3+1)</f>
        <v>31.25</v>
      </c>
      <c r="DX19" s="8">
        <f>((AVERAGE(G8:G19,DU8:DU19)*('Summary Page'!$C$4+1))*('Summary Page'!$C$4+1))*('Summary Page'!$C$4+1)</f>
        <v>27.648</v>
      </c>
      <c r="EA19" s="40"/>
      <c r="EB19" s="7">
        <f>((AVERAGE(H14:H19)*('Summary Page'!$C$2+1))*('Summary Page'!$C$2+1))*('Summary Page'!$C$2+1)</f>
        <v>18.470602666666665</v>
      </c>
      <c r="EC19" s="7">
        <f>((AVERAGE(H14:H19)*('Summary Page'!$C$3+1))*('Summary Page'!$C$3+1))*('Summary Page'!$C$3+1)</f>
        <v>23.111979166666671</v>
      </c>
      <c r="ED19" s="8">
        <f>((AVERAGE(H14:H19)*('Summary Page'!$C$4+1))*('Summary Page'!$C$4+1))*('Summary Page'!$C$4+1)</f>
        <v>20.447999999999997</v>
      </c>
      <c r="EG19" s="40"/>
      <c r="EH19" s="7">
        <f>((AVERAGE(I14:I19)*('Summary Page'!$C$2+1))*('Summary Page'!$C$2+1))*('Summary Page'!$C$2+1)</f>
        <v>77.004202666666657</v>
      </c>
      <c r="EI19" s="7">
        <f>((AVERAGE(I14:I19)*('Summary Page'!$C$3+1))*('Summary Page'!$C$3+1))*('Summary Page'!$C$3+1)</f>
        <v>96.354166666666686</v>
      </c>
      <c r="EJ19" s="8">
        <f>((AVERAGE(I14:I19)*('Summary Page'!$C$4+1))*('Summary Page'!$C$4+1))*('Summary Page'!$C$4+1)</f>
        <v>85.248000000000005</v>
      </c>
      <c r="EM19" s="40"/>
      <c r="EN19" s="7" t="e">
        <f>((AVERAGE(AD14:AD19)*('Summary Page'!$C$2+1))*('Summary Page'!$C$2+1))*('Summary Page'!$C$2+1)</f>
        <v>#DIV/0!</v>
      </c>
      <c r="EO19" s="7" t="e">
        <f>((AVERAGE(AD14:AD19)*('Summary Page'!$C$3+1))*('Summary Page'!$C$3+1))*('Summary Page'!$C$3+1)</f>
        <v>#DIV/0!</v>
      </c>
      <c r="EP19" s="7" t="e">
        <f>((AVERAGE(AD14:AD19)*('Summary Page'!$C$4+1))*('Summary Page'!$C$4+1))*('Summary Page'!$C$4+1)</f>
        <v>#DIV/0!</v>
      </c>
      <c r="EQ19" s="7">
        <v>100</v>
      </c>
    </row>
    <row r="20" spans="1:159" ht="15.75" x14ac:dyDescent="0.25">
      <c r="A20" s="1">
        <v>43586</v>
      </c>
      <c r="B20" s="40">
        <v>61</v>
      </c>
      <c r="C20" s="64">
        <v>40</v>
      </c>
      <c r="D20" s="64">
        <v>33</v>
      </c>
      <c r="E20" s="7">
        <f t="shared" si="1"/>
        <v>50.5</v>
      </c>
      <c r="F20" s="64">
        <v>1</v>
      </c>
      <c r="G20" s="64">
        <v>14</v>
      </c>
      <c r="H20" s="64">
        <v>12</v>
      </c>
      <c r="I20" s="64">
        <v>39</v>
      </c>
      <c r="J20" s="64"/>
      <c r="K20" s="5">
        <f t="shared" si="2"/>
        <v>24</v>
      </c>
      <c r="L20" s="99"/>
      <c r="M20" s="40"/>
      <c r="N20" s="40"/>
      <c r="O20" s="40"/>
      <c r="P20" s="40"/>
      <c r="Q20" s="40"/>
      <c r="R20" s="40"/>
      <c r="S20" s="40"/>
      <c r="T20" s="40"/>
      <c r="U20" s="100"/>
      <c r="V20" s="13"/>
      <c r="W20" s="13"/>
      <c r="X20" s="13"/>
      <c r="Y20" s="13"/>
      <c r="Z20" s="13"/>
      <c r="AA20" s="13"/>
      <c r="AB20" s="13"/>
      <c r="AC20" s="13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13"/>
      <c r="AO20" s="7">
        <f>((AVERAGE(K15:K20)*('Summary Page'!$C$2+1))*('Summary Page'!$C$2+1))*('Summary Page'!$C$2+1)</f>
        <v>43.282345333333325</v>
      </c>
      <c r="AP20" s="7">
        <f>((AVERAGE(K15:K20)*('Summary Page'!$C$3+1))*('Summary Page'!$C$3+1))*('Summary Page'!$C$3+1)</f>
        <v>54.158528645833343</v>
      </c>
      <c r="AQ20" s="7">
        <f>((AVERAGE(K15:K20)*('Summary Page'!$C$4+1))*('Summary Page'!$C$4+1))*('Summary Page'!$C$4+1)</f>
        <v>47.915999999999997</v>
      </c>
      <c r="AR20" s="7">
        <v>80</v>
      </c>
      <c r="AS20" s="5">
        <f t="shared" si="3"/>
        <v>31</v>
      </c>
      <c r="AT20" s="13"/>
      <c r="AU20" s="13"/>
      <c r="AV20" s="7">
        <f>((AVERAGE(AS9:AS20,AU9:AU20)*('Summary Page'!$C$2+1))*('Summary Page'!$C$2+1))*('Summary Page'!$C$2+1)</f>
        <v>53.46068799999999</v>
      </c>
      <c r="AW20" s="7">
        <f>((AVERAGE(AS9:AS20,AU9:AU20)*('Summary Page'!$C$3+1))*('Summary Page'!$C$3+1))*('Summary Page'!$C$3+1)</f>
        <v>66.89453125</v>
      </c>
      <c r="AX20" s="7">
        <f>((AVERAGE(AS9:AS20,AU9:AU20)*('Summary Page'!$C$4+1))*('Summary Page'!$C$4+1))*('Summary Page'!$C$4+1)</f>
        <v>59.183999999999997</v>
      </c>
      <c r="BA20" s="40"/>
      <c r="BB20" s="7">
        <f>((AVERAGE(B15:B20)*(+'Summary Page'!$C$2+1))*('Summary Page'!$C$2+1))*('Summary Page'!$C$2+1)</f>
        <v>110.04316799999998</v>
      </c>
      <c r="BC20" s="7">
        <f>((AVERAGE(B15:B20)*('Summary Page'!$C$3+1))*('Summary Page'!$C$3+1))*('Summary Page'!$C$3+1)</f>
        <v>137.6953125</v>
      </c>
      <c r="BD20" s="7">
        <f>((AVERAGE(B15:B20)*('Summary Page'!$C$4+1))*('Summary Page'!$C$4+1))*('Summary Page'!$C$4+1)</f>
        <v>121.82399999999998</v>
      </c>
      <c r="BE20" s="64">
        <v>12</v>
      </c>
      <c r="BF20" s="69"/>
      <c r="BG20" s="40"/>
      <c r="BH20" s="7">
        <f>((AVERAGE(BE9:BE20,BG9:BG20)*('Summary Page'!$C$2+1))*('Summary Page'!$C$2+1))*('Summary Page'!$C$2+1)</f>
        <v>35.120159999999991</v>
      </c>
      <c r="BI20" s="7">
        <f>((AVERAGE(BE9:BE20,BG9:BG20)*('Summary Page'!$C$3+1))*('Summary Page'!$C$3+1))*('Summary Page'!$C$3+1)</f>
        <v>43.9453125</v>
      </c>
      <c r="BJ20" s="7">
        <f>((AVERAGE(BE9:BE20,BG9:BG20)*('Summary Page'!$C$4+1))*('Summary Page'!$C$4+1))*('Summary Page'!$C$4+1)</f>
        <v>38.879999999999995</v>
      </c>
      <c r="BK20" s="40">
        <v>10</v>
      </c>
      <c r="BL20" s="40"/>
      <c r="BM20" s="40"/>
      <c r="BN20" s="7">
        <f>((AVERAGE(BK9:BK20,BM9:BM20)*('Summary Page'!$C$2+1))*('Summary Page'!$C$2+1))*('Summary Page'!$C$2+1)</f>
        <v>30.567546666666662</v>
      </c>
      <c r="BO20" s="7">
        <f>((AVERAGE(BK9:BK20,BM9:BM20)*('Summary Page'!$C$3+1))*('Summary Page'!$C$3+1))*('Summary Page'!$C$3+1)</f>
        <v>38.248697916666657</v>
      </c>
      <c r="BP20" s="7">
        <f>((AVERAGE(BK9:BK20,BM9:BM20)*('Summary Page'!$C$4+1))*('Summary Page'!$C$4+1))*('Summary Page'!$C$4+1)</f>
        <v>33.839999999999996</v>
      </c>
      <c r="BQ20" s="64">
        <v>42</v>
      </c>
      <c r="BR20" s="40"/>
      <c r="BS20" s="40"/>
      <c r="BT20" s="7">
        <f>((AVERAGE(BQ9:BQ20,BS9:BS20)*('Summary Page'!$C$2+1))*('Summary Page'!$C$2+1))*('Summary Page'!$C$2+1)</f>
        <v>85.979354666666651</v>
      </c>
      <c r="BU20" s="7">
        <f>((AVERAGE(BQ9:BQ20,BS9:BS20)*('Summary Page'!$C$3+1))*('Summary Page'!$C$3+1))*('Summary Page'!$C$3+1)</f>
        <v>107.58463541666669</v>
      </c>
      <c r="BV20" s="8">
        <f>((AVERAGE(BQ9:BQ20,BS9:BS20)*('Summary Page'!$C$4+1))*('Summary Page'!$C$4+1))*('Summary Page'!$C$4+1)</f>
        <v>95.183999999999983</v>
      </c>
      <c r="BW20" s="64">
        <v>30</v>
      </c>
      <c r="BX20" s="40"/>
      <c r="BY20" s="40"/>
      <c r="BZ20" s="7">
        <f>((AVERAGE(BW9:BW20,BY9:BY20)*('Summary Page'!$C$2+1))*('Summary Page'!$C$2+1))*('Summary Page'!$C$2+1)</f>
        <v>58.663674666666651</v>
      </c>
      <c r="CA20" s="7">
        <f>((AVERAGE(BW9:BW20,BY9:BY20)*('Summary Page'!$C$3+1))*('Summary Page'!$C$3+1))*('Summary Page'!$C$3+1)</f>
        <v>73.404947916666686</v>
      </c>
      <c r="CB20" s="8">
        <f>((AVERAGE(BW9:BW20,BY9:BY20)*('Summary Page'!$C$4+1))*('Summary Page'!$C$4+1))*('Summary Page'!$C$4+1)</f>
        <v>64.943999999999988</v>
      </c>
      <c r="CC20" s="64">
        <v>26</v>
      </c>
      <c r="CD20" s="40"/>
      <c r="CE20" s="40"/>
      <c r="CF20" s="7">
        <f>((AVERAGE(CC9:CC20,CE9:CE20)*('Summary Page'!$C$2+1))*('Summary Page'!$C$2+1))*('Summary Page'!$C$2+1)</f>
        <v>44.095311999999986</v>
      </c>
      <c r="CG20" s="7">
        <f>((AVERAGE(CC9:CC20,CE9:CE20)*('Summary Page'!$C$3+1))*('Summary Page'!$C$3+1))*('Summary Page'!$C$3+1)</f>
        <v>55.17578125</v>
      </c>
      <c r="CH20" s="8">
        <f>((AVERAGE(CC9:CC20,CE9:CE20)*('Summary Page'!$C$4+1))*('Summary Page'!$C$4+1))*('Summary Page'!$C$4+1)</f>
        <v>48.815999999999995</v>
      </c>
      <c r="CI20" s="64">
        <v>19</v>
      </c>
      <c r="CJ20" s="40"/>
      <c r="CK20" s="40"/>
      <c r="CL20" s="7">
        <f>((AVERAGE(CI9:CI20,CK9:CK20)*('Summary Page'!$C$2+1))*('Summary Page'!$C$2+1))*('Summary Page'!$C$2+1)</f>
        <v>33.03896533333333</v>
      </c>
      <c r="CM20" s="7">
        <f>((AVERAGE(CI9:CI20,CK9:CK20)*('Summary Page'!$C$3+1))*('Summary Page'!$C$3+1))*('Summary Page'!$C$3+1)</f>
        <v>41.341145833333343</v>
      </c>
      <c r="CN20" s="8">
        <f>((AVERAGE(CI9:CI20,CK9:CK20)*('Summary Page'!$C$4+1))*('Summary Page'!$C$4+1))*('Summary Page'!$C$4+1)</f>
        <v>36.576000000000001</v>
      </c>
      <c r="CQ20" s="40"/>
      <c r="CR20" s="7">
        <f>((AVERAGE(C15:C20)*('Summary Page'!$C$2+1))*('Summary Page'!$C$2+1))*('Summary Page'!$C$2+1)</f>
        <v>65.037333333333322</v>
      </c>
      <c r="CS20" s="7">
        <f>((AVERAGE(C15:C20)*('Summary Page'!$C$3+1))*('Summary Page'!$C$3+1))*('Summary Page'!$C$3+1)</f>
        <v>81.380208333333314</v>
      </c>
      <c r="CT20" s="8">
        <f>((AVERAGE(C15:C20)*('Summary Page'!$C$4+1))*('Summary Page'!$C$4+1))*('Summary Page'!$C$4+1)</f>
        <v>71.999999999999986</v>
      </c>
      <c r="CW20" s="40"/>
      <c r="CX20" s="7">
        <f>((AVERAGE(D15:D20)*('Summary Page'!$C$2+1))*('Summary Page'!$C$2+1))*('Summary Page'!$C$2+1)</f>
        <v>53.070463999999987</v>
      </c>
      <c r="CY20" s="7">
        <f>((AVERAGE(D15:D20)*('Summary Page'!$C$3+1))*('Summary Page'!$C$3+1))*('Summary Page'!$C$3+1)</f>
        <v>66.40625</v>
      </c>
      <c r="CZ20" s="8">
        <f>((AVERAGE(D15:D20)*('Summary Page'!$C$4+1))*('Summary Page'!$C$4+1))*('Summary Page'!$C$4+1)</f>
        <v>58.751999999999988</v>
      </c>
      <c r="DA20" s="64">
        <v>24</v>
      </c>
      <c r="DB20" s="40"/>
      <c r="DC20" s="40"/>
      <c r="DD20" s="7">
        <f>((AVERAGE(DA9:DA20,DC9:DC20)*('Summary Page'!$C$2+1))*('Summary Page'!$C$2+1))*('Summary Page'!$C$2+1)</f>
        <v>35.120159999999991</v>
      </c>
      <c r="DE20" s="7">
        <f>((AVERAGE(DA9:DA20,DC9:DC20)*('Summary Page'!$C$3+1))*('Summary Page'!$C$3+1))*('Summary Page'!$C$3+1)</f>
        <v>43.9453125</v>
      </c>
      <c r="DF20" s="8">
        <f>((AVERAGE(DA9:DA20,DC9:DC20)*('Summary Page'!$C$4+1))*('Summary Page'!$C$4+1))*('Summary Page'!$C$4+1)</f>
        <v>38.879999999999995</v>
      </c>
      <c r="DG20" s="64">
        <v>29</v>
      </c>
      <c r="DH20" s="40"/>
      <c r="DI20" s="40"/>
      <c r="DJ20" s="7">
        <f>((AVERAGE(DG9:DG20,DI9:DI20)*('Summary Page'!$C$2+1))*('Summary Page'!$C$2+1))*('Summary Page'!$C$2+1)</f>
        <v>42.274266666666655</v>
      </c>
      <c r="DK20" s="7">
        <f>((AVERAGE(DG9:DG20,DI9:DI20)*('Summary Page'!$C$3+1))*('Summary Page'!$C$3+1))*('Summary Page'!$C$3+1)</f>
        <v>52.897135416666657</v>
      </c>
      <c r="DL20" s="8">
        <f>((AVERAGE(DG9:DG20,DI9:DI20)*('Summary Page'!$C$4+1))*('Summary Page'!$C$4+1))*('Summary Page'!$C$4+1)</f>
        <v>46.8</v>
      </c>
      <c r="DO20" s="40"/>
      <c r="DP20" s="7">
        <f>((AVERAGE(F9:F20,DO9:DO20)*('Summary Page'!$C$2+1))*('Summary Page'!$C$2+1))*('Summary Page'!$C$2+1)</f>
        <v>0.78044799999999992</v>
      </c>
      <c r="DQ20" s="7">
        <f>((AVERAGE(F9:F20,DO9:DO20)*('Summary Page'!$C$3+1))*('Summary Page'!$C$3+1))*('Summary Page'!$C$3+1)</f>
        <v>0.9765625</v>
      </c>
      <c r="DR20" s="8">
        <f>((AVERAGE(F9:F20,DO9:DO20)*('Summary Page'!$C$4+1))*('Summary Page'!$C$4+1))*('Summary Page'!$C$4+1)</f>
        <v>0.86399999999999999</v>
      </c>
      <c r="DU20" s="40"/>
      <c r="DV20" s="7">
        <f>((AVERAGE(G9:G20,DU9:DU20)*('Summary Page'!$C$2+1))*('Summary Page'!$C$2+1))*('Summary Page'!$C$2+1)</f>
        <v>24.193887999999998</v>
      </c>
      <c r="DW20" s="7">
        <f>((AVERAGE(G9:G20,DU9:DU20)*('Summary Page'!$C$3+1))*('Summary Page'!$C$3+1))*('Summary Page'!$C$3+1)</f>
        <v>30.2734375</v>
      </c>
      <c r="DX20" s="8">
        <f>((AVERAGE(G9:G20,DU9:DU20)*('Summary Page'!$C$4+1))*('Summary Page'!$C$4+1))*('Summary Page'!$C$4+1)</f>
        <v>26.783999999999995</v>
      </c>
      <c r="EA20" s="40"/>
      <c r="EB20" s="7">
        <f>((AVERAGE(H15:H20)*('Summary Page'!$C$2+1))*('Summary Page'!$C$2+1))*('Summary Page'!$C$2+1)</f>
        <v>18.990901333333326</v>
      </c>
      <c r="EC20" s="7">
        <f>((AVERAGE(H15:H20)*('Summary Page'!$C$3+1))*('Summary Page'!$C$3+1))*('Summary Page'!$C$3+1)</f>
        <v>23.763020833333329</v>
      </c>
      <c r="ED20" s="8">
        <f>((AVERAGE(H15:H20)*('Summary Page'!$C$4+1))*('Summary Page'!$C$4+1))*('Summary Page'!$C$4+1)</f>
        <v>21.023999999999994</v>
      </c>
      <c r="EG20" s="40"/>
      <c r="EH20" s="7">
        <f>((AVERAGE(I15:I20)*('Summary Page'!$C$2+1))*('Summary Page'!$C$2+1))*('Summary Page'!$C$2+1)</f>
        <v>71.801215999999997</v>
      </c>
      <c r="EI20" s="7">
        <f>((AVERAGE(I15:I20)*('Summary Page'!$C$3+1))*('Summary Page'!$C$3+1))*('Summary Page'!$C$3+1)</f>
        <v>89.84375</v>
      </c>
      <c r="EJ20" s="8">
        <f>((AVERAGE(I15:I20)*('Summary Page'!$C$4+1))*('Summary Page'!$C$4+1))*('Summary Page'!$C$4+1)</f>
        <v>79.487999999999985</v>
      </c>
      <c r="EM20" s="40"/>
      <c r="EN20" s="7" t="e">
        <f>((AVERAGE(AD15:AD20)*('Summary Page'!$C$2+1))*('Summary Page'!$C$2+1))*('Summary Page'!$C$2+1)</f>
        <v>#DIV/0!</v>
      </c>
      <c r="EO20" s="7" t="e">
        <f>((AVERAGE(AD15:AD20)*('Summary Page'!$C$3+1))*('Summary Page'!$C$3+1))*('Summary Page'!$C$3+1)</f>
        <v>#DIV/0!</v>
      </c>
      <c r="EP20" s="7" t="e">
        <f>((AVERAGE(AD15:AD20)*('Summary Page'!$C$4+1))*('Summary Page'!$C$4+1))*('Summary Page'!$C$4+1)</f>
        <v>#DIV/0!</v>
      </c>
      <c r="EQ20" s="7">
        <v>100</v>
      </c>
    </row>
    <row r="21" spans="1:159" ht="15.75" x14ac:dyDescent="0.25">
      <c r="A21" s="1">
        <v>43599</v>
      </c>
      <c r="B21" s="40">
        <v>66</v>
      </c>
      <c r="C21" s="64">
        <v>43</v>
      </c>
      <c r="D21" s="64">
        <v>37</v>
      </c>
      <c r="E21" s="7">
        <f t="shared" si="1"/>
        <v>54.5</v>
      </c>
      <c r="F21" s="64">
        <v>1</v>
      </c>
      <c r="G21" s="64">
        <v>21</v>
      </c>
      <c r="H21" s="64">
        <v>11</v>
      </c>
      <c r="I21" s="64">
        <v>39</v>
      </c>
      <c r="J21" s="64"/>
      <c r="K21" s="5">
        <f t="shared" si="2"/>
        <v>25.375</v>
      </c>
      <c r="L21" s="99"/>
      <c r="M21" s="40"/>
      <c r="N21" s="40"/>
      <c r="O21" s="40"/>
      <c r="P21" s="40"/>
      <c r="Q21" s="40"/>
      <c r="R21" s="40"/>
      <c r="S21" s="40"/>
      <c r="T21" s="40"/>
      <c r="U21" s="100"/>
      <c r="V21" s="13"/>
      <c r="W21" s="13"/>
      <c r="X21" s="13"/>
      <c r="Y21" s="13"/>
      <c r="Z21" s="13"/>
      <c r="AA21" s="13"/>
      <c r="AB21" s="13"/>
      <c r="AC21" s="13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13"/>
      <c r="AO21" s="7">
        <f>((AVERAGE(K16:K21)*('Summary Page'!$C$2+1))*('Summary Page'!$C$2+1))*('Summary Page'!$C$2+1)</f>
        <v>41.298706666666654</v>
      </c>
      <c r="AP21" s="7">
        <f>((AVERAGE(K16:K21)*('Summary Page'!$C$3+1))*('Summary Page'!$C$3+1))*('Summary Page'!$C$3+1)</f>
        <v>51.676432291666657</v>
      </c>
      <c r="AQ21" s="7">
        <f>((AVERAGE(K16:K21)*('Summary Page'!$C$4+1))*('Summary Page'!$C$4+1))*('Summary Page'!$C$4+1)</f>
        <v>45.719999999999992</v>
      </c>
      <c r="AR21" s="7">
        <v>80</v>
      </c>
      <c r="AS21" s="5">
        <f t="shared" si="3"/>
        <v>34.333333333333336</v>
      </c>
      <c r="AT21" s="13"/>
      <c r="AU21" s="13"/>
      <c r="AV21" s="7">
        <f>((AVERAGE(AS10:AS21,AU10:AU21)*('Summary Page'!$C$2+1))*('Summary Page'!$C$2+1))*('Summary Page'!$C$2+1)</f>
        <v>53.980986666666666</v>
      </c>
      <c r="AW21" s="7">
        <f>((AVERAGE(AS10:AS21,AU10:AU21)*('Summary Page'!$C$3+1))*('Summary Page'!$C$3+1))*('Summary Page'!$C$3+1)</f>
        <v>67.545572916666686</v>
      </c>
      <c r="AX21" s="7">
        <f>((AVERAGE(AS10:AS21,AU10:AU21)*('Summary Page'!$C$4+1))*('Summary Page'!$C$4+1))*('Summary Page'!$C$4+1)</f>
        <v>59.759999999999991</v>
      </c>
      <c r="BA21" s="40"/>
      <c r="BB21" s="7">
        <f>((AVERAGE(B16:B21)*(+'Summary Page'!$C$2+1))*('Summary Page'!$C$2+1))*('Summary Page'!$C$2+1)</f>
        <v>106.92137599999998</v>
      </c>
      <c r="BC21" s="7">
        <f>((AVERAGE(B16:B21)*('Summary Page'!$C$3+1))*('Summary Page'!$C$3+1))*('Summary Page'!$C$3+1)</f>
        <v>133.7890625</v>
      </c>
      <c r="BD21" s="7">
        <f>((AVERAGE(B16:B21)*('Summary Page'!$C$4+1))*('Summary Page'!$C$4+1))*('Summary Page'!$C$4+1)</f>
        <v>118.36799999999999</v>
      </c>
      <c r="BE21" s="64">
        <v>13</v>
      </c>
      <c r="BF21" s="69"/>
      <c r="BG21" s="40"/>
      <c r="BH21" s="7">
        <f>((AVERAGE(BE10:BE21,BG10:BG21)*('Summary Page'!$C$2+1))*('Summary Page'!$C$2+1))*('Summary Page'!$C$2+1)</f>
        <v>32.518666666666661</v>
      </c>
      <c r="BI21" s="7">
        <f>((AVERAGE(BE10:BE21,BG10:BG21)*('Summary Page'!$C$3+1))*('Summary Page'!$C$3+1))*('Summary Page'!$C$3+1)</f>
        <v>40.690104166666657</v>
      </c>
      <c r="BJ21" s="7">
        <f>((AVERAGE(BE10:BE21,BG10:BG21)*('Summary Page'!$C$4+1))*('Summary Page'!$C$4+1))*('Summary Page'!$C$4+1)</f>
        <v>35.999999999999993</v>
      </c>
      <c r="BK21" s="40">
        <v>12</v>
      </c>
      <c r="BL21" s="40"/>
      <c r="BM21" s="40"/>
      <c r="BN21" s="7">
        <f>((AVERAGE(BK10:BK21,BM10:BM21)*('Summary Page'!$C$2+1))*('Summary Page'!$C$2+1))*('Summary Page'!$C$2+1)</f>
        <v>28.486351999999993</v>
      </c>
      <c r="BO21" s="7">
        <f>((AVERAGE(BK10:BK21,BM10:BM21)*('Summary Page'!$C$3+1))*('Summary Page'!$C$3+1))*('Summary Page'!$C$3+1)</f>
        <v>35.64453125</v>
      </c>
      <c r="BP21" s="7">
        <f>((AVERAGE(BK10:BK21,BM10:BM21)*('Summary Page'!$C$4+1))*('Summary Page'!$C$4+1))*('Summary Page'!$C$4+1)</f>
        <v>31.535999999999994</v>
      </c>
      <c r="BQ21" s="64">
        <v>48</v>
      </c>
      <c r="BR21" s="40"/>
      <c r="BS21" s="40"/>
      <c r="BT21" s="7">
        <f>((AVERAGE(BQ10:BQ21,BS10:BS21)*('Summary Page'!$C$2+1))*('Summary Page'!$C$2+1))*('Summary Page'!$C$2+1)</f>
        <v>85.589130666666648</v>
      </c>
      <c r="BU21" s="7">
        <f>((AVERAGE(BQ10:BQ21,BS10:BS21)*('Summary Page'!$C$3+1))*('Summary Page'!$C$3+1))*('Summary Page'!$C$3+1)</f>
        <v>107.09635416666669</v>
      </c>
      <c r="BV21" s="8">
        <f>((AVERAGE(BQ10:BQ21,BS10:BS21)*('Summary Page'!$C$4+1))*('Summary Page'!$C$4+1))*('Summary Page'!$C$4+1)</f>
        <v>94.751999999999995</v>
      </c>
      <c r="BW21" s="64">
        <v>32</v>
      </c>
      <c r="BX21" s="40"/>
      <c r="BY21" s="40"/>
      <c r="BZ21" s="7">
        <f>((AVERAGE(BW10:BW21,BY10:BY21)*('Summary Page'!$C$2+1))*('Summary Page'!$C$2+1))*('Summary Page'!$C$2+1)</f>
        <v>56.972703999999986</v>
      </c>
      <c r="CA21" s="7">
        <f>((AVERAGE(BW10:BW21,BY10:BY21)*('Summary Page'!$C$3+1))*('Summary Page'!$C$3+1))*('Summary Page'!$C$3+1)</f>
        <v>71.2890625</v>
      </c>
      <c r="CB21" s="8">
        <f>((AVERAGE(BW10:BW21,BY10:BY21)*('Summary Page'!$C$4+1))*('Summary Page'!$C$4+1))*('Summary Page'!$C$4+1)</f>
        <v>63.071999999999989</v>
      </c>
      <c r="CC21" s="64">
        <v>22</v>
      </c>
      <c r="CD21" s="40"/>
      <c r="CE21" s="40"/>
      <c r="CF21" s="7">
        <f>((AVERAGE(CC10:CC21,CE10:CE21)*('Summary Page'!$C$2+1))*('Summary Page'!$C$2+1))*('Summary Page'!$C$2+1)</f>
        <v>43.965237333333327</v>
      </c>
      <c r="CG21" s="7">
        <f>((AVERAGE(CC10:CC21,CE10:CE21)*('Summary Page'!$C$3+1))*('Summary Page'!$C$3+1))*('Summary Page'!$C$3+1)</f>
        <v>55.013020833333343</v>
      </c>
      <c r="CH21" s="8">
        <f>((AVERAGE(CC10:CC21,CE10:CE21)*('Summary Page'!$C$4+1))*('Summary Page'!$C$4+1))*('Summary Page'!$C$4+1)</f>
        <v>48.67199999999999</v>
      </c>
      <c r="CI21" s="64">
        <v>17</v>
      </c>
      <c r="CJ21" s="40"/>
      <c r="CK21" s="40"/>
      <c r="CL21" s="7">
        <f>((AVERAGE(CI10:CI21,CK10:CK21)*('Summary Page'!$C$2+1))*('Summary Page'!$C$2+1))*('Summary Page'!$C$2+1)</f>
        <v>33.03896533333333</v>
      </c>
      <c r="CM21" s="7">
        <f>((AVERAGE(CI10:CI21,CK10:CK21)*('Summary Page'!$C$3+1))*('Summary Page'!$C$3+1))*('Summary Page'!$C$3+1)</f>
        <v>41.341145833333343</v>
      </c>
      <c r="CN21" s="8">
        <f>((AVERAGE(CI10:CI21,CK10:CK21)*('Summary Page'!$C$4+1))*('Summary Page'!$C$4+1))*('Summary Page'!$C$4+1)</f>
        <v>36.576000000000001</v>
      </c>
      <c r="CQ21" s="40"/>
      <c r="CR21" s="7">
        <f>((AVERAGE(C16:C21)*('Summary Page'!$C$2+1))*('Summary Page'!$C$2+1))*('Summary Page'!$C$2+1)</f>
        <v>65.297482666666653</v>
      </c>
      <c r="CS21" s="7">
        <f>((AVERAGE(C16:C21)*('Summary Page'!$C$3+1))*('Summary Page'!$C$3+1))*('Summary Page'!$C$3+1)</f>
        <v>81.705729166666686</v>
      </c>
      <c r="CT21" s="8">
        <f>((AVERAGE(C16:C21)*('Summary Page'!$C$4+1))*('Summary Page'!$C$4+1))*('Summary Page'!$C$4+1)</f>
        <v>72.287999999999997</v>
      </c>
      <c r="CW21" s="40"/>
      <c r="CX21" s="7">
        <f>((AVERAGE(D16:D21)*('Summary Page'!$C$2+1))*('Summary Page'!$C$2+1))*('Summary Page'!$C$2+1)</f>
        <v>54.111061333333318</v>
      </c>
      <c r="CY21" s="7">
        <f>((AVERAGE(D16:D21)*('Summary Page'!$C$3+1))*('Summary Page'!$C$3+1))*('Summary Page'!$C$3+1)</f>
        <v>67.708333333333314</v>
      </c>
      <c r="CZ21" s="8">
        <f>((AVERAGE(D16:D21)*('Summary Page'!$C$4+1))*('Summary Page'!$C$4+1))*('Summary Page'!$C$4+1)</f>
        <v>59.903999999999989</v>
      </c>
      <c r="DA21" s="64">
        <v>26</v>
      </c>
      <c r="DB21" s="40"/>
      <c r="DC21" s="40"/>
      <c r="DD21" s="7">
        <f>((AVERAGE(DA10:DA21,DC10:DC21)*('Summary Page'!$C$2+1))*('Summary Page'!$C$2+1))*('Summary Page'!$C$2+1)</f>
        <v>35.770533333333326</v>
      </c>
      <c r="DE21" s="7">
        <f>((AVERAGE(DA10:DA21,DC10:DC21)*('Summary Page'!$C$3+1))*('Summary Page'!$C$3+1))*('Summary Page'!$C$3+1)</f>
        <v>44.759114583333343</v>
      </c>
      <c r="DF21" s="8">
        <f>((AVERAGE(DA10:DA21,DC10:DC21)*('Summary Page'!$C$4+1))*('Summary Page'!$C$4+1))*('Summary Page'!$C$4+1)</f>
        <v>39.6</v>
      </c>
      <c r="DG21" s="64">
        <v>33</v>
      </c>
      <c r="DH21" s="40"/>
      <c r="DI21" s="40"/>
      <c r="DJ21" s="7">
        <f>((AVERAGE(DG10:DG21,DI10:DI21)*('Summary Page'!$C$2+1))*('Summary Page'!$C$2+1))*('Summary Page'!$C$2+1)</f>
        <v>43.444938666666658</v>
      </c>
      <c r="DK21" s="7">
        <f>((AVERAGE(DG10:DG21,DI10:DI21)*('Summary Page'!$C$3+1))*('Summary Page'!$C$3+1))*('Summary Page'!$C$3+1)</f>
        <v>54.361979166666657</v>
      </c>
      <c r="DL21" s="8">
        <f>((AVERAGE(DG10:DG21,DI10:DI21)*('Summary Page'!$C$4+1))*('Summary Page'!$C$4+1))*('Summary Page'!$C$4+1)</f>
        <v>48.095999999999997</v>
      </c>
      <c r="DO21" s="40"/>
      <c r="DP21" s="7">
        <f>((AVERAGE(F10:F21,DO10:DO21)*('Summary Page'!$C$2+1))*('Summary Page'!$C$2+1))*('Summary Page'!$C$2+1)</f>
        <v>0.65037333333333325</v>
      </c>
      <c r="DQ21" s="7">
        <f>((AVERAGE(F10:F21,DO10:DO21)*('Summary Page'!$C$3+1))*('Summary Page'!$C$3+1))*('Summary Page'!$C$3+1)</f>
        <v>0.81380208333333348</v>
      </c>
      <c r="DR21" s="8">
        <f>((AVERAGE(F10:F21,DO10:DO21)*('Summary Page'!$C$4+1))*('Summary Page'!$C$4+1))*('Summary Page'!$C$4+1)</f>
        <v>0.72</v>
      </c>
      <c r="DU21" s="40"/>
      <c r="DV21" s="7">
        <f>((AVERAGE(G10:G21,DU10:DU21)*('Summary Page'!$C$2+1))*('Summary Page'!$C$2+1))*('Summary Page'!$C$2+1)</f>
        <v>25.364559999999994</v>
      </c>
      <c r="DW21" s="7">
        <f>((AVERAGE(G10:G21,DU10:DU21)*('Summary Page'!$C$3+1))*('Summary Page'!$C$3+1))*('Summary Page'!$C$3+1)</f>
        <v>31.73828125</v>
      </c>
      <c r="DX21" s="8">
        <f>((AVERAGE(G10:G21,DU10:DU21)*('Summary Page'!$C$4+1))*('Summary Page'!$C$4+1))*('Summary Page'!$C$4+1)</f>
        <v>28.08</v>
      </c>
      <c r="EA21" s="40"/>
      <c r="EB21" s="7">
        <f>((AVERAGE(H16:H21)*('Summary Page'!$C$2+1))*('Summary Page'!$C$2+1))*('Summary Page'!$C$2+1)</f>
        <v>18.470602666666665</v>
      </c>
      <c r="EC21" s="7">
        <f>((AVERAGE(H16:H21)*('Summary Page'!$C$3+1))*('Summary Page'!$C$3+1))*('Summary Page'!$C$3+1)</f>
        <v>23.111979166666671</v>
      </c>
      <c r="ED21" s="8">
        <f>((AVERAGE(H16:H21)*('Summary Page'!$C$4+1))*('Summary Page'!$C$4+1))*('Summary Page'!$C$4+1)</f>
        <v>20.447999999999997</v>
      </c>
      <c r="EG21" s="40"/>
      <c r="EH21" s="7">
        <f>((AVERAGE(I16:I21)*('Summary Page'!$C$2+1))*('Summary Page'!$C$2+1))*('Summary Page'!$C$2+1)</f>
        <v>67.378677333333329</v>
      </c>
      <c r="EI21" s="7">
        <f>((AVERAGE(I16:I21)*('Summary Page'!$C$3+1))*('Summary Page'!$C$3+1))*('Summary Page'!$C$3+1)</f>
        <v>84.309895833333314</v>
      </c>
      <c r="EJ21" s="8">
        <f>((AVERAGE(I16:I21)*('Summary Page'!$C$4+1))*('Summary Page'!$C$4+1))*('Summary Page'!$C$4+1)</f>
        <v>74.591999999999999</v>
      </c>
      <c r="EM21" s="40"/>
      <c r="EN21" s="7" t="e">
        <f>((AVERAGE(AD16:AD21)*('Summary Page'!$C$2+1))*('Summary Page'!$C$2+1))*('Summary Page'!$C$2+1)</f>
        <v>#DIV/0!</v>
      </c>
      <c r="EO21" s="7" t="e">
        <f>((AVERAGE(AD16:AD21)*('Summary Page'!$C$3+1))*('Summary Page'!$C$3+1))*('Summary Page'!$C$3+1)</f>
        <v>#DIV/0!</v>
      </c>
      <c r="EP21" s="7" t="e">
        <f>((AVERAGE(AD16:AD21)*('Summary Page'!$C$4+1))*('Summary Page'!$C$4+1))*('Summary Page'!$C$4+1)</f>
        <v>#DIV/0!</v>
      </c>
      <c r="EQ21" s="7">
        <v>100</v>
      </c>
    </row>
    <row r="22" spans="1:159" ht="15.75" x14ac:dyDescent="0.25">
      <c r="A22" s="1">
        <v>43617</v>
      </c>
      <c r="B22" s="40">
        <v>67</v>
      </c>
      <c r="C22" s="64">
        <v>55</v>
      </c>
      <c r="D22" s="64">
        <v>44</v>
      </c>
      <c r="E22" s="7">
        <f t="shared" si="1"/>
        <v>61</v>
      </c>
      <c r="F22" s="64">
        <v>1</v>
      </c>
      <c r="G22" s="64">
        <v>22</v>
      </c>
      <c r="H22" s="64">
        <v>12</v>
      </c>
      <c r="I22" s="64">
        <v>39</v>
      </c>
      <c r="J22" s="64"/>
      <c r="K22" s="5">
        <f t="shared" si="2"/>
        <v>25.375</v>
      </c>
      <c r="L22" s="99"/>
      <c r="M22" s="40"/>
      <c r="N22" s="40"/>
      <c r="O22" s="40"/>
      <c r="P22" s="40"/>
      <c r="Q22" s="40"/>
      <c r="R22" s="40"/>
      <c r="S22" s="40"/>
      <c r="T22" s="40"/>
      <c r="U22" s="100"/>
      <c r="V22" s="13"/>
      <c r="W22" s="13"/>
      <c r="X22" s="13"/>
      <c r="Y22" s="13"/>
      <c r="Z22" s="13"/>
      <c r="AA22" s="13"/>
      <c r="AB22" s="13"/>
      <c r="AC22" s="13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13"/>
      <c r="AO22" s="7">
        <f>((AVERAGE(K17:K22)*('Summary Page'!$C$2+1))*('Summary Page'!$C$2+1))*('Summary Page'!$C$2+1)</f>
        <v>40.25810933333333</v>
      </c>
      <c r="AP22" s="7">
        <f>((AVERAGE(K17:K22)*('Summary Page'!$C$3+1))*('Summary Page'!$C$3+1))*('Summary Page'!$C$3+1)</f>
        <v>50.374348958333343</v>
      </c>
      <c r="AQ22" s="7">
        <f>((AVERAGE(K17:K22)*('Summary Page'!$C$4+1))*('Summary Page'!$C$4+1))*('Summary Page'!$C$4+1)</f>
        <v>44.567999999999998</v>
      </c>
      <c r="AR22" s="7">
        <v>80</v>
      </c>
      <c r="AS22" s="5">
        <f t="shared" si="3"/>
        <v>38.666666666666664</v>
      </c>
      <c r="AT22" s="13"/>
      <c r="AU22" s="13"/>
      <c r="AV22" s="7">
        <f>((AVERAGE(AS11:AS22,AU11:AU22)*('Summary Page'!$C$2+1))*('Summary Page'!$C$2+1))*('Summary Page'!$C$2+1)</f>
        <v>54.631359999999987</v>
      </c>
      <c r="AW22" s="7">
        <f>((AVERAGE(AS11:AS22,AU11:AU22)*('Summary Page'!$C$3+1))*('Summary Page'!$C$3+1))*('Summary Page'!$C$3+1)</f>
        <v>68.359375</v>
      </c>
      <c r="AX22" s="7">
        <f>((AVERAGE(AS11:AS22,AU11:AU22)*('Summary Page'!$C$4+1))*('Summary Page'!$C$4+1))*('Summary Page'!$C$4+1)</f>
        <v>60.48</v>
      </c>
      <c r="BA22" s="40"/>
      <c r="BB22" s="7">
        <f>((AVERAGE(B17:B22)*(+'Summary Page'!$C$2+1))*('Summary Page'!$C$2+1))*('Summary Page'!$C$2+1)</f>
        <v>105.36047999999998</v>
      </c>
      <c r="BC22" s="7">
        <f>((AVERAGE(B17:B22)*('Summary Page'!$C$3+1))*('Summary Page'!$C$3+1))*('Summary Page'!$C$3+1)</f>
        <v>131.8359375</v>
      </c>
      <c r="BD22" s="7">
        <f>((AVERAGE(B17:B22)*('Summary Page'!$C$4+1))*('Summary Page'!$C$4+1))*('Summary Page'!$C$4+1)</f>
        <v>116.64</v>
      </c>
      <c r="BE22" s="64">
        <v>18</v>
      </c>
      <c r="BF22" s="69"/>
      <c r="BG22" s="40"/>
      <c r="BH22" s="7">
        <f>((AVERAGE(BE11:BE22,BG11:BG22)*('Summary Page'!$C$2+1))*('Summary Page'!$C$2+1))*('Summary Page'!$C$2+1)</f>
        <v>31.217919999999996</v>
      </c>
      <c r="BI22" s="7">
        <f>((AVERAGE(BE11:BE22,BG11:BG22)*('Summary Page'!$C$3+1))*('Summary Page'!$C$3+1))*('Summary Page'!$C$3+1)</f>
        <v>39.0625</v>
      </c>
      <c r="BJ22" s="7">
        <f>((AVERAGE(BE11:BE22,BG11:BG22)*('Summary Page'!$C$4+1))*('Summary Page'!$C$4+1))*('Summary Page'!$C$4+1)</f>
        <v>34.559999999999995</v>
      </c>
      <c r="BK22" s="40">
        <v>16</v>
      </c>
      <c r="BL22" s="40"/>
      <c r="BM22" s="40"/>
      <c r="BN22" s="7">
        <f>((AVERAGE(BK11:BK22,BM11:BM22)*('Summary Page'!$C$2+1))*('Summary Page'!$C$2+1))*('Summary Page'!$C$2+1)</f>
        <v>27.315679999999993</v>
      </c>
      <c r="BO22" s="7">
        <f>((AVERAGE(BK11:BK22,BM11:BM22)*('Summary Page'!$C$3+1))*('Summary Page'!$C$3+1))*('Summary Page'!$C$3+1)</f>
        <v>34.1796875</v>
      </c>
      <c r="BP22" s="7">
        <f>((AVERAGE(BK11:BK22,BM11:BM22)*('Summary Page'!$C$4+1))*('Summary Page'!$C$4+1))*('Summary Page'!$C$4+1)</f>
        <v>30.24</v>
      </c>
      <c r="BQ22" s="64">
        <v>38</v>
      </c>
      <c r="BR22" s="40"/>
      <c r="BS22" s="40"/>
      <c r="BT22" s="7">
        <f>((AVERAGE(BQ11:BQ22,BS11:BS22)*('Summary Page'!$C$2+1))*('Summary Page'!$C$2+1))*('Summary Page'!$C$2+1)</f>
        <v>83.247786666666656</v>
      </c>
      <c r="BU22" s="7">
        <f>((AVERAGE(BQ11:BQ22,BS11:BS22)*('Summary Page'!$C$3+1))*('Summary Page'!$C$3+1))*('Summary Page'!$C$3+1)</f>
        <v>104.16666666666669</v>
      </c>
      <c r="BV22" s="8">
        <f>((AVERAGE(BQ11:BQ22,BS11:BS22)*('Summary Page'!$C$4+1))*('Summary Page'!$C$4+1))*('Summary Page'!$C$4+1)</f>
        <v>92.16</v>
      </c>
      <c r="BW22" s="64">
        <v>21</v>
      </c>
      <c r="BX22" s="40"/>
      <c r="BY22" s="40"/>
      <c r="BZ22" s="7">
        <f>((AVERAGE(BW11:BW22,BY11:BY22)*('Summary Page'!$C$2+1))*('Summary Page'!$C$2+1))*('Summary Page'!$C$2+1)</f>
        <v>53.070463999999987</v>
      </c>
      <c r="CA22" s="7">
        <f>((AVERAGE(BW11:BW22,BY11:BY22)*('Summary Page'!$C$3+1))*('Summary Page'!$C$3+1))*('Summary Page'!$C$3+1)</f>
        <v>66.40625</v>
      </c>
      <c r="CB22" s="8">
        <f>((AVERAGE(BW11:BW22,BY11:BY22)*('Summary Page'!$C$4+1))*('Summary Page'!$C$4+1))*('Summary Page'!$C$4+1)</f>
        <v>58.751999999999988</v>
      </c>
      <c r="CC22" s="64">
        <v>29</v>
      </c>
      <c r="CD22" s="40"/>
      <c r="CE22" s="40"/>
      <c r="CF22" s="7">
        <f>((AVERAGE(CC11:CC22,CE11:CE22)*('Summary Page'!$C$2+1))*('Summary Page'!$C$2+1))*('Summary Page'!$C$2+1)</f>
        <v>44.095311999999986</v>
      </c>
      <c r="CG22" s="7">
        <f>((AVERAGE(CC11:CC22,CE11:CE22)*('Summary Page'!$C$3+1))*('Summary Page'!$C$3+1))*('Summary Page'!$C$3+1)</f>
        <v>55.17578125</v>
      </c>
      <c r="CH22" s="8">
        <f>((AVERAGE(CC11:CC22,CE11:CE22)*('Summary Page'!$C$4+1))*('Summary Page'!$C$4+1))*('Summary Page'!$C$4+1)</f>
        <v>48.815999999999995</v>
      </c>
      <c r="CI22" s="64">
        <v>21</v>
      </c>
      <c r="CJ22" s="40"/>
      <c r="CK22" s="40"/>
      <c r="CL22" s="7">
        <f>((AVERAGE(CI11:CI22,CK11:CK22)*('Summary Page'!$C$2+1))*('Summary Page'!$C$2+1))*('Summary Page'!$C$2+1)</f>
        <v>33.429189333333333</v>
      </c>
      <c r="CM22" s="7">
        <f>((AVERAGE(CI11:CI22,CK11:CK22)*('Summary Page'!$C$3+1))*('Summary Page'!$C$3+1))*('Summary Page'!$C$3+1)</f>
        <v>41.829427083333343</v>
      </c>
      <c r="CN22" s="8">
        <f>((AVERAGE(CI11:CI22,CK11:CK22)*('Summary Page'!$C$4+1))*('Summary Page'!$C$4+1))*('Summary Page'!$C$4+1)</f>
        <v>37.007999999999996</v>
      </c>
      <c r="CQ22" s="40"/>
      <c r="CR22" s="7">
        <f>((AVERAGE(C17:C22)*('Summary Page'!$C$2+1))*('Summary Page'!$C$2+1))*('Summary Page'!$C$2+1)</f>
        <v>67.898975999999976</v>
      </c>
      <c r="CS22" s="7">
        <f>((AVERAGE(C17:C22)*('Summary Page'!$C$3+1))*('Summary Page'!$C$3+1))*('Summary Page'!$C$3+1)</f>
        <v>84.9609375</v>
      </c>
      <c r="CT22" s="8">
        <f>((AVERAGE(C17:C22)*('Summary Page'!$C$4+1))*('Summary Page'!$C$4+1))*('Summary Page'!$C$4+1)</f>
        <v>75.167999999999992</v>
      </c>
      <c r="CW22" s="40"/>
      <c r="CX22" s="7">
        <f>((AVERAGE(D17:D22)*('Summary Page'!$C$2+1))*('Summary Page'!$C$2+1))*('Summary Page'!$C$2+1)</f>
        <v>55.932106666666662</v>
      </c>
      <c r="CY22" s="7">
        <f>((AVERAGE(D17:D22)*('Summary Page'!$C$3+1))*('Summary Page'!$C$3+1))*('Summary Page'!$C$3+1)</f>
        <v>69.986979166666686</v>
      </c>
      <c r="CZ22" s="8">
        <f>((AVERAGE(D17:D22)*('Summary Page'!$C$4+1))*('Summary Page'!$C$4+1))*('Summary Page'!$C$4+1)</f>
        <v>61.92</v>
      </c>
      <c r="DA22" s="64">
        <v>27</v>
      </c>
      <c r="DB22" s="40"/>
      <c r="DC22" s="40"/>
      <c r="DD22" s="7">
        <f>((AVERAGE(DA11:DA22,DC11:DC22)*('Summary Page'!$C$2+1))*('Summary Page'!$C$2+1))*('Summary Page'!$C$2+1)</f>
        <v>36.681055999999991</v>
      </c>
      <c r="DE22" s="7">
        <f>((AVERAGE(DA11:DA22,DC11:DC22)*('Summary Page'!$C$3+1))*('Summary Page'!$C$3+1))*('Summary Page'!$C$3+1)</f>
        <v>45.8984375</v>
      </c>
      <c r="DF22" s="8">
        <f>((AVERAGE(DA11:DA22,DC11:DC22)*('Summary Page'!$C$4+1))*('Summary Page'!$C$4+1))*('Summary Page'!$C$4+1)</f>
        <v>40.607999999999997</v>
      </c>
      <c r="DG22" s="64">
        <v>33</v>
      </c>
      <c r="DH22" s="40"/>
      <c r="DI22" s="40"/>
      <c r="DJ22" s="7">
        <f>((AVERAGE(DG11:DG22,DI11:DI22)*('Summary Page'!$C$2+1))*('Summary Page'!$C$2+1))*('Summary Page'!$C$2+1)</f>
        <v>44.875759999999985</v>
      </c>
      <c r="DK22" s="7">
        <f>((AVERAGE(DG11:DG22,DI11:DI22)*('Summary Page'!$C$3+1))*('Summary Page'!$C$3+1))*('Summary Page'!$C$3+1)</f>
        <v>56.15234375</v>
      </c>
      <c r="DL22" s="8">
        <f>((AVERAGE(DG11:DG22,DI11:DI22)*('Summary Page'!$C$4+1))*('Summary Page'!$C$4+1))*('Summary Page'!$C$4+1)</f>
        <v>49.68</v>
      </c>
      <c r="DO22" s="40"/>
      <c r="DP22" s="7">
        <f>((AVERAGE(F11:F22,DO11:DO22)*('Summary Page'!$C$2+1))*('Summary Page'!$C$2+1))*('Summary Page'!$C$2+1)</f>
        <v>0.78044799999999992</v>
      </c>
      <c r="DQ22" s="7">
        <f>((AVERAGE(F11:F22,DO11:DO22)*('Summary Page'!$C$3+1))*('Summary Page'!$C$3+1))*('Summary Page'!$C$3+1)</f>
        <v>0.9765625</v>
      </c>
      <c r="DR22" s="8">
        <f>((AVERAGE(F11:F22,DO11:DO22)*('Summary Page'!$C$4+1))*('Summary Page'!$C$4+1))*('Summary Page'!$C$4+1)</f>
        <v>0.86399999999999999</v>
      </c>
      <c r="DU22" s="40"/>
      <c r="DV22" s="7">
        <f>((AVERAGE(G11:G22,DU11:DU22)*('Summary Page'!$C$2+1))*('Summary Page'!$C$2+1))*('Summary Page'!$C$2+1)</f>
        <v>27.055530666666659</v>
      </c>
      <c r="DW22" s="7">
        <f>((AVERAGE(G11:G22,DU11:DU22)*('Summary Page'!$C$3+1))*('Summary Page'!$C$3+1))*('Summary Page'!$C$3+1)</f>
        <v>33.854166666666657</v>
      </c>
      <c r="DX22" s="8">
        <f>((AVERAGE(G11:G22,DU11:DU22)*('Summary Page'!$C$4+1))*('Summary Page'!$C$4+1))*('Summary Page'!$C$4+1)</f>
        <v>29.951999999999995</v>
      </c>
      <c r="EA22" s="40"/>
      <c r="EB22" s="7">
        <f>((AVERAGE(H17:H22)*('Summary Page'!$C$2+1))*('Summary Page'!$C$2+1))*('Summary Page'!$C$2+1)</f>
        <v>18.990901333333326</v>
      </c>
      <c r="EC22" s="7">
        <f>((AVERAGE(H17:H22)*('Summary Page'!$C$3+1))*('Summary Page'!$C$3+1))*('Summary Page'!$C$3+1)</f>
        <v>23.763020833333329</v>
      </c>
      <c r="ED22" s="8">
        <f>((AVERAGE(H17:H22)*('Summary Page'!$C$4+1))*('Summary Page'!$C$4+1))*('Summary Page'!$C$4+1)</f>
        <v>21.023999999999994</v>
      </c>
      <c r="EG22" s="40"/>
      <c r="EH22" s="7">
        <f>((AVERAGE(I17:I22)*('Summary Page'!$C$2+1))*('Summary Page'!$C$2+1))*('Summary Page'!$C$2+1)</f>
        <v>65.037333333333322</v>
      </c>
      <c r="EI22" s="7">
        <f>((AVERAGE(I17:I22)*('Summary Page'!$C$3+1))*('Summary Page'!$C$3+1))*('Summary Page'!$C$3+1)</f>
        <v>81.380208333333314</v>
      </c>
      <c r="EJ22" s="8">
        <f>((AVERAGE(I17:I22)*('Summary Page'!$C$4+1))*('Summary Page'!$C$4+1))*('Summary Page'!$C$4+1)</f>
        <v>71.999999999999986</v>
      </c>
      <c r="EM22" s="40"/>
      <c r="EN22" s="7" t="e">
        <f>((AVERAGE(AD17:AD22)*('Summary Page'!$C$2+1))*('Summary Page'!$C$2+1))*('Summary Page'!$C$2+1)</f>
        <v>#DIV/0!</v>
      </c>
      <c r="EO22" s="7" t="e">
        <f>((AVERAGE(AD17:AD22)*('Summary Page'!$C$3+1))*('Summary Page'!$C$3+1))*('Summary Page'!$C$3+1)</f>
        <v>#DIV/0!</v>
      </c>
      <c r="EP22" s="7" t="e">
        <f>((AVERAGE(AD17:AD22)*('Summary Page'!$C$4+1))*('Summary Page'!$C$4+1))*('Summary Page'!$C$4+1)</f>
        <v>#DIV/0!</v>
      </c>
      <c r="EQ22" s="7">
        <v>100</v>
      </c>
    </row>
    <row r="23" spans="1:159" ht="15.75" x14ac:dyDescent="0.25">
      <c r="A23" s="1">
        <v>43630</v>
      </c>
      <c r="B23" s="40">
        <v>72</v>
      </c>
      <c r="C23" s="64">
        <v>49</v>
      </c>
      <c r="D23" s="64">
        <v>38</v>
      </c>
      <c r="E23" s="7">
        <f t="shared" si="1"/>
        <v>60.5</v>
      </c>
      <c r="F23" s="64">
        <v>0</v>
      </c>
      <c r="G23" s="64">
        <v>22</v>
      </c>
      <c r="H23" s="64">
        <v>13</v>
      </c>
      <c r="I23" s="64">
        <v>40</v>
      </c>
      <c r="J23" s="64"/>
      <c r="K23" s="5">
        <f t="shared" si="2"/>
        <v>26.25</v>
      </c>
      <c r="L23" s="99"/>
      <c r="M23" s="40"/>
      <c r="N23" s="40"/>
      <c r="O23" s="40"/>
      <c r="P23" s="40"/>
      <c r="Q23" s="40"/>
      <c r="R23" s="40"/>
      <c r="S23" s="40"/>
      <c r="T23" s="40"/>
      <c r="U23" s="100"/>
      <c r="V23" s="13"/>
      <c r="W23" s="13"/>
      <c r="X23" s="13"/>
      <c r="Y23" s="13"/>
      <c r="Z23" s="13"/>
      <c r="AA23" s="13"/>
      <c r="AB23" s="13"/>
      <c r="AC23" s="13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13"/>
      <c r="AO23" s="7">
        <f>((AVERAGE(K18:K23)*('Summary Page'!$C$2+1))*('Summary Page'!$C$2+1))*('Summary Page'!$C$2+1)</f>
        <v>39.770329333333329</v>
      </c>
      <c r="AP23" s="7">
        <f>((AVERAGE(K18:K23)*('Summary Page'!$C$3+1))*('Summary Page'!$C$3+1))*('Summary Page'!$C$3+1)</f>
        <v>49.763997395833343</v>
      </c>
      <c r="AQ23" s="7">
        <f>((AVERAGE(K18:K23)*('Summary Page'!$C$4+1))*('Summary Page'!$C$4+1))*('Summary Page'!$C$4+1)</f>
        <v>44.027999999999999</v>
      </c>
      <c r="AR23" s="7">
        <v>80</v>
      </c>
      <c r="AS23" s="5">
        <f t="shared" si="3"/>
        <v>37</v>
      </c>
      <c r="AT23" s="13"/>
      <c r="AU23" s="13"/>
      <c r="AV23" s="7">
        <f>((AVERAGE(AS12:AS23,AU12:AU23)*('Summary Page'!$C$2+1))*('Summary Page'!$C$2+1))*('Summary Page'!$C$2+1)</f>
        <v>55.455166222222218</v>
      </c>
      <c r="AW23" s="7">
        <f>((AVERAGE(AS12:AS23,AU12:AU23)*('Summary Page'!$C$3+1))*('Summary Page'!$C$3+1))*('Summary Page'!$C$3+1)</f>
        <v>69.390190972222229</v>
      </c>
      <c r="AX23" s="7">
        <f>((AVERAGE(AS12:AS23,AU12:AU23)*('Summary Page'!$C$4+1))*('Summary Page'!$C$4+1))*('Summary Page'!$C$4+1)</f>
        <v>61.391999999999996</v>
      </c>
      <c r="BA23" s="40"/>
      <c r="BB23" s="7">
        <f>((AVERAGE(B18:B23)*(+'Summary Page'!$C$2+1))*('Summary Page'!$C$2+1))*('Summary Page'!$C$2+1)</f>
        <v>106.40107733333332</v>
      </c>
      <c r="BC23" s="7">
        <f>((AVERAGE(B18:B23)*('Summary Page'!$C$3+1))*('Summary Page'!$C$3+1))*('Summary Page'!$C$3+1)</f>
        <v>133.13802083333337</v>
      </c>
      <c r="BD23" s="7">
        <f>((AVERAGE(B18:B23)*('Summary Page'!$C$4+1))*('Summary Page'!$C$4+1))*('Summary Page'!$C$4+1)</f>
        <v>117.79199999999999</v>
      </c>
      <c r="BE23" s="64">
        <v>23</v>
      </c>
      <c r="BF23" s="69"/>
      <c r="BG23" s="40"/>
      <c r="BH23" s="7">
        <f>((AVERAGE(BE12:BE23,BG12:BG23)*('Summary Page'!$C$2+1))*('Summary Page'!$C$2+1))*('Summary Page'!$C$2+1)</f>
        <v>30.957770666666658</v>
      </c>
      <c r="BI23" s="7">
        <f>((AVERAGE(BE12:BE23,BG12:BG23)*('Summary Page'!$C$3+1))*('Summary Page'!$C$3+1))*('Summary Page'!$C$3+1)</f>
        <v>38.736979166666657</v>
      </c>
      <c r="BJ23" s="7">
        <f>((AVERAGE(BE12:BE23,BG12:BG23)*('Summary Page'!$C$4+1))*('Summary Page'!$C$4+1))*('Summary Page'!$C$4+1)</f>
        <v>34.271999999999991</v>
      </c>
      <c r="BK23" s="40">
        <v>20</v>
      </c>
      <c r="BL23" s="40"/>
      <c r="BM23" s="40"/>
      <c r="BN23" s="7">
        <f>((AVERAGE(BK12:BK23,BM12:BM23)*('Summary Page'!$C$2+1))*('Summary Page'!$C$2+1))*('Summary Page'!$C$2+1)</f>
        <v>26.925455999999993</v>
      </c>
      <c r="BO23" s="7">
        <f>((AVERAGE(BK12:BK23,BM12:BM23)*('Summary Page'!$C$3+1))*('Summary Page'!$C$3+1))*('Summary Page'!$C$3+1)</f>
        <v>33.69140625</v>
      </c>
      <c r="BP23" s="7">
        <f>((AVERAGE(BK12:BK23,BM12:BM23)*('Summary Page'!$C$4+1))*('Summary Page'!$C$4+1))*('Summary Page'!$C$4+1)</f>
        <v>29.808</v>
      </c>
      <c r="BQ23" s="64">
        <v>37</v>
      </c>
      <c r="BR23" s="40"/>
      <c r="BS23" s="40"/>
      <c r="BT23" s="7">
        <f>((AVERAGE(BQ12:BQ23,BS12:BS23)*('Summary Page'!$C$2+1))*('Summary Page'!$C$2+1))*('Summary Page'!$C$2+1)</f>
        <v>80.256069333333315</v>
      </c>
      <c r="BU23" s="7">
        <f>((AVERAGE(BQ12:BQ23,BS12:BS23)*('Summary Page'!$C$3+1))*('Summary Page'!$C$3+1))*('Summary Page'!$C$3+1)</f>
        <v>100.42317708333331</v>
      </c>
      <c r="BV23" s="8">
        <f>((AVERAGE(BQ12:BQ23,BS12:BS23)*('Summary Page'!$C$4+1))*('Summary Page'!$C$4+1))*('Summary Page'!$C$4+1)</f>
        <v>88.847999999999985</v>
      </c>
      <c r="BW23" s="64">
        <v>20</v>
      </c>
      <c r="BX23" s="40"/>
      <c r="BY23" s="40"/>
      <c r="BZ23" s="7">
        <f>((AVERAGE(BW12:BW23,BY12:BY23)*('Summary Page'!$C$2+1))*('Summary Page'!$C$2+1))*('Summary Page'!$C$2+1)</f>
        <v>50.208821333333319</v>
      </c>
      <c r="CA23" s="7">
        <f>((AVERAGE(BW12:BW23,BY12:BY23)*('Summary Page'!$C$3+1))*('Summary Page'!$C$3+1))*('Summary Page'!$C$3+1)</f>
        <v>62.825520833333321</v>
      </c>
      <c r="CB23" s="8">
        <f>((AVERAGE(BW12:BW23,BY12:BY23)*('Summary Page'!$C$4+1))*('Summary Page'!$C$4+1))*('Summary Page'!$C$4+1)</f>
        <v>55.583999999999989</v>
      </c>
      <c r="CC23" s="64">
        <v>26</v>
      </c>
      <c r="CD23" s="40"/>
      <c r="CE23" s="40"/>
      <c r="CF23" s="7">
        <f>((AVERAGE(CC12:CC23,CE12:CE23)*('Summary Page'!$C$2+1))*('Summary Page'!$C$2+1))*('Summary Page'!$C$2+1)</f>
        <v>44.225386666666651</v>
      </c>
      <c r="CG23" s="7">
        <f>((AVERAGE(CC12:CC23,CE12:CE23)*('Summary Page'!$C$3+1))*('Summary Page'!$C$3+1))*('Summary Page'!$C$3+1)</f>
        <v>55.338541666666657</v>
      </c>
      <c r="CH23" s="8">
        <f>((AVERAGE(CC12:CC23,CE12:CE23)*('Summary Page'!$C$4+1))*('Summary Page'!$C$4+1))*('Summary Page'!$C$4+1)</f>
        <v>48.959999999999994</v>
      </c>
      <c r="CI23" s="64">
        <v>20</v>
      </c>
      <c r="CJ23" s="40"/>
      <c r="CK23" s="40"/>
      <c r="CL23" s="7">
        <f>((AVERAGE(CI12:CI23,CK12:CK23)*('Summary Page'!$C$2+1))*('Summary Page'!$C$2+1))*('Summary Page'!$C$2+1)</f>
        <v>33.559263999999992</v>
      </c>
      <c r="CM23" s="7">
        <f>((AVERAGE(CI12:CI23,CK12:CK23)*('Summary Page'!$C$3+1))*('Summary Page'!$C$3+1))*('Summary Page'!$C$3+1)</f>
        <v>41.9921875</v>
      </c>
      <c r="CN23" s="8">
        <f>((AVERAGE(CI12:CI23,CK12:CK23)*('Summary Page'!$C$4+1))*('Summary Page'!$C$4+1))*('Summary Page'!$C$4+1)</f>
        <v>37.152000000000001</v>
      </c>
      <c r="CQ23" s="40"/>
      <c r="CR23" s="7">
        <f>((AVERAGE(C18:C23)*('Summary Page'!$C$2+1))*('Summary Page'!$C$2+1))*('Summary Page'!$C$2+1)</f>
        <v>69.720021333333321</v>
      </c>
      <c r="CS23" s="7">
        <f>((AVERAGE(C18:C23)*('Summary Page'!$C$3+1))*('Summary Page'!$C$3+1))*('Summary Page'!$C$3+1)</f>
        <v>87.239583333333314</v>
      </c>
      <c r="CT23" s="8">
        <f>((AVERAGE(C18:C23)*('Summary Page'!$C$4+1))*('Summary Page'!$C$4+1))*('Summary Page'!$C$4+1)</f>
        <v>77.183999999999983</v>
      </c>
      <c r="CW23" s="40"/>
      <c r="CX23" s="7">
        <f>((AVERAGE(D18:D23)*('Summary Page'!$C$2+1))*('Summary Page'!$C$2+1))*('Summary Page'!$C$2+1)</f>
        <v>56.712554666666662</v>
      </c>
      <c r="CY23" s="7">
        <f>((AVERAGE(D18:D23)*('Summary Page'!$C$3+1))*('Summary Page'!$C$3+1))*('Summary Page'!$C$3+1)</f>
        <v>70.963541666666686</v>
      </c>
      <c r="CZ23" s="8">
        <f>((AVERAGE(D18:D23)*('Summary Page'!$C$4+1))*('Summary Page'!$C$4+1))*('Summary Page'!$C$4+1)</f>
        <v>62.783999999999999</v>
      </c>
      <c r="DA23" s="64">
        <v>29</v>
      </c>
      <c r="DB23" s="40"/>
      <c r="DC23" s="40"/>
      <c r="DD23" s="7">
        <f>((AVERAGE(DA12:DA23,DC12:DC23)*('Summary Page'!$C$2+1))*('Summary Page'!$C$2+1))*('Summary Page'!$C$2+1)</f>
        <v>37.591578666666656</v>
      </c>
      <c r="DE23" s="7">
        <f>((AVERAGE(DA12:DA23,DC12:DC23)*('Summary Page'!$C$3+1))*('Summary Page'!$C$3+1))*('Summary Page'!$C$3+1)</f>
        <v>47.037760416666657</v>
      </c>
      <c r="DF23" s="8">
        <f>((AVERAGE(DA12:DA23,DC12:DC23)*('Summary Page'!$C$4+1))*('Summary Page'!$C$4+1))*('Summary Page'!$C$4+1)</f>
        <v>41.616</v>
      </c>
      <c r="DG23" s="64">
        <v>35</v>
      </c>
      <c r="DH23" s="40"/>
      <c r="DI23" s="40"/>
      <c r="DJ23" s="7">
        <f>((AVERAGE(DG12:DG23,DI12:DI23)*('Summary Page'!$C$2+1))*('Summary Page'!$C$2+1))*('Summary Page'!$C$2+1)</f>
        <v>46.176506666666654</v>
      </c>
      <c r="DK23" s="7">
        <f>((AVERAGE(DG12:DG23,DI12:DI23)*('Summary Page'!$C$3+1))*('Summary Page'!$C$3+1))*('Summary Page'!$C$3+1)</f>
        <v>57.779947916666657</v>
      </c>
      <c r="DL23" s="8">
        <f>((AVERAGE(DG12:DG23,DI12:DI23)*('Summary Page'!$C$4+1))*('Summary Page'!$C$4+1))*('Summary Page'!$C$4+1)</f>
        <v>51.12</v>
      </c>
      <c r="DO23" s="40"/>
      <c r="DP23" s="7">
        <f>((AVERAGE(F12:F23,DO12:DO23)*('Summary Page'!$C$2+1))*('Summary Page'!$C$2+1))*('Summary Page'!$C$2+1)</f>
        <v>0.78044799999999992</v>
      </c>
      <c r="DQ23" s="7">
        <f>((AVERAGE(F12:F23,DO12:DO23)*('Summary Page'!$C$3+1))*('Summary Page'!$C$3+1))*('Summary Page'!$C$3+1)</f>
        <v>0.9765625</v>
      </c>
      <c r="DR23" s="8">
        <f>((AVERAGE(F12:F23,DO12:DO23)*('Summary Page'!$C$4+1))*('Summary Page'!$C$4+1))*('Summary Page'!$C$4+1)</f>
        <v>0.86399999999999999</v>
      </c>
      <c r="DU23" s="40"/>
      <c r="DV23" s="7">
        <f>((AVERAGE(G12:G23,DU12:DU23)*('Summary Page'!$C$2+1))*('Summary Page'!$C$2+1))*('Summary Page'!$C$2+1)</f>
        <v>28.616426666666658</v>
      </c>
      <c r="DW23" s="7">
        <f>((AVERAGE(G12:G23,DU12:DU23)*('Summary Page'!$C$3+1))*('Summary Page'!$C$3+1))*('Summary Page'!$C$3+1)</f>
        <v>35.807291666666657</v>
      </c>
      <c r="DX23" s="8">
        <f>((AVERAGE(G12:G23,DU12:DU23)*('Summary Page'!$C$4+1))*('Summary Page'!$C$4+1))*('Summary Page'!$C$4+1)</f>
        <v>31.679999999999993</v>
      </c>
      <c r="EA23" s="40"/>
      <c r="EB23" s="7">
        <f>((AVERAGE(H18:H23)*('Summary Page'!$C$2+1))*('Summary Page'!$C$2+1))*('Summary Page'!$C$2+1)</f>
        <v>19.251050666666664</v>
      </c>
      <c r="EC23" s="7">
        <f>((AVERAGE(H18:H23)*('Summary Page'!$C$3+1))*('Summary Page'!$C$3+1))*('Summary Page'!$C$3+1)</f>
        <v>24.088541666666671</v>
      </c>
      <c r="ED23" s="8">
        <f>((AVERAGE(H18:H23)*('Summary Page'!$C$4+1))*('Summary Page'!$C$4+1))*('Summary Page'!$C$4+1)</f>
        <v>21.312000000000001</v>
      </c>
      <c r="EG23" s="40"/>
      <c r="EH23" s="7">
        <f>((AVERAGE(I18:I23)*('Summary Page'!$C$2+1))*('Summary Page'!$C$2+1))*('Summary Page'!$C$2+1)</f>
        <v>62.956138666666668</v>
      </c>
      <c r="EI23" s="7">
        <f>((AVERAGE(I18:I23)*('Summary Page'!$C$3+1))*('Summary Page'!$C$3+1))*('Summary Page'!$C$3+1)</f>
        <v>78.776041666666686</v>
      </c>
      <c r="EJ23" s="8">
        <f>((AVERAGE(I18:I23)*('Summary Page'!$C$4+1))*('Summary Page'!$C$4+1))*('Summary Page'!$C$4+1)</f>
        <v>69.695999999999998</v>
      </c>
      <c r="EM23" s="40"/>
      <c r="EN23" s="7" t="e">
        <f>((AVERAGE(AD18:AD23)*('Summary Page'!$C$2+1))*('Summary Page'!$C$2+1))*('Summary Page'!$C$2+1)</f>
        <v>#DIV/0!</v>
      </c>
      <c r="EO23" s="7" t="e">
        <f>((AVERAGE(AD18:AD23)*('Summary Page'!$C$3+1))*('Summary Page'!$C$3+1))*('Summary Page'!$C$3+1)</f>
        <v>#DIV/0!</v>
      </c>
      <c r="EP23" s="7" t="e">
        <f>((AVERAGE(AD18:AD23)*('Summary Page'!$C$4+1))*('Summary Page'!$C$4+1))*('Summary Page'!$C$4+1)</f>
        <v>#DIV/0!</v>
      </c>
      <c r="EQ23" s="7">
        <v>100</v>
      </c>
    </row>
    <row r="24" spans="1:159" ht="15.75" x14ac:dyDescent="0.25">
      <c r="A24" s="1">
        <v>43647</v>
      </c>
      <c r="B24" s="40">
        <v>66</v>
      </c>
      <c r="C24" s="64">
        <v>44</v>
      </c>
      <c r="D24" s="64">
        <v>34</v>
      </c>
      <c r="E24" s="7">
        <f t="shared" si="1"/>
        <v>55</v>
      </c>
      <c r="F24" s="64">
        <v>0</v>
      </c>
      <c r="G24" s="64">
        <v>20</v>
      </c>
      <c r="H24" s="64">
        <v>11</v>
      </c>
      <c r="I24" s="64">
        <v>36</v>
      </c>
      <c r="J24" s="64"/>
      <c r="K24" s="5">
        <f t="shared" si="2"/>
        <v>25.25</v>
      </c>
      <c r="L24" s="99">
        <v>60</v>
      </c>
      <c r="M24" s="40"/>
      <c r="N24" s="40"/>
      <c r="O24" s="40"/>
      <c r="P24" s="40"/>
      <c r="Q24" s="40"/>
      <c r="R24" s="40"/>
      <c r="S24" s="40"/>
      <c r="T24" s="40"/>
      <c r="U24" s="100">
        <v>17</v>
      </c>
      <c r="V24" s="13"/>
      <c r="W24" s="13"/>
      <c r="X24" s="13"/>
      <c r="Y24" s="13"/>
      <c r="Z24" s="13"/>
      <c r="AA24" s="13"/>
      <c r="AB24" s="13"/>
      <c r="AC24" s="13"/>
      <c r="AD24" s="40">
        <v>78</v>
      </c>
      <c r="AE24" s="40">
        <v>63</v>
      </c>
      <c r="AF24" s="40"/>
      <c r="AG24" s="40"/>
      <c r="AH24" s="40"/>
      <c r="AI24" s="40"/>
      <c r="AJ24" s="40"/>
      <c r="AK24" s="40"/>
      <c r="AL24" s="40"/>
      <c r="AM24" s="40"/>
      <c r="AN24" s="13">
        <f t="shared" ref="AN24:AN30" si="4">U24*1.2</f>
        <v>20.399999999999999</v>
      </c>
      <c r="AO24" s="7">
        <f>((AVERAGE(K19:K24)*('Summary Page'!$C$2+1))*('Summary Page'!$C$2+1))*('Summary Page'!$C$2+1)</f>
        <v>38.989881333333329</v>
      </c>
      <c r="AP24" s="7">
        <f>((AVERAGE(K19:K24)*('Summary Page'!$C$3+1))*('Summary Page'!$C$3+1))*('Summary Page'!$C$3+1)</f>
        <v>48.787434895833343</v>
      </c>
      <c r="AQ24" s="7">
        <f>((AVERAGE(K19:K24)*('Summary Page'!$C$4+1))*('Summary Page'!$C$4+1))*('Summary Page'!$C$4+1)</f>
        <v>43.163999999999994</v>
      </c>
      <c r="AR24" s="7">
        <v>80</v>
      </c>
      <c r="AS24" s="5">
        <f t="shared" si="3"/>
        <v>33.333333333333336</v>
      </c>
      <c r="AT24" s="13">
        <v>22</v>
      </c>
      <c r="AU24" s="13">
        <f t="shared" ref="AU24:AU29" si="5">AT24*1.2</f>
        <v>26.4</v>
      </c>
      <c r="AV24" s="7">
        <f>((AVERAGE(AS13:AS24,AU13:AU24)*('Summary Page'!$C$2+1))*('Summary Page'!$C$2+1))*('Summary Page'!$C$2+1)</f>
        <v>54.679387569230748</v>
      </c>
      <c r="AW24" s="7">
        <f>((AVERAGE(AS13:AS24,AU13:AU24)*('Summary Page'!$C$3+1))*('Summary Page'!$C$3+1))*('Summary Page'!$C$3+1)</f>
        <v>68.41947115384616</v>
      </c>
      <c r="AX24" s="7">
        <f>((AVERAGE(AS13:AS24,AU13:AU24)*('Summary Page'!$C$4+1))*('Summary Page'!$C$4+1))*('Summary Page'!$C$4+1)</f>
        <v>60.533169230769225</v>
      </c>
      <c r="BA24" s="40">
        <f t="shared" ref="BA24:BA29" si="6">L24*1.2</f>
        <v>72</v>
      </c>
      <c r="BB24" s="7">
        <f>((AVERAGE(B19:B24)*(+'Summary Page'!$C$2+1))*('Summary Page'!$C$2+1))*('Summary Page'!$C$2+1)</f>
        <v>103.799584</v>
      </c>
      <c r="BC24" s="7">
        <f>((AVERAGE(B19:B24)*('Summary Page'!$C$3+1))*('Summary Page'!$C$3+1))*('Summary Page'!$C$3+1)</f>
        <v>129.8828125</v>
      </c>
      <c r="BD24" s="7">
        <f>((AVERAGE(B19:B24)*('Summary Page'!$C$4+1))*('Summary Page'!$C$4+1))*('Summary Page'!$C$4+1)</f>
        <v>114.91199999999999</v>
      </c>
      <c r="BE24" s="64">
        <v>21</v>
      </c>
      <c r="BF24" s="69"/>
      <c r="BG24" s="40"/>
      <c r="BH24" s="7">
        <f>((AVERAGE(BE13:BE24,BG13:BG24)*('Summary Page'!$C$2+1))*('Summary Page'!$C$2+1))*('Summary Page'!$C$2+1)</f>
        <v>30.437471999999993</v>
      </c>
      <c r="BI24" s="7">
        <f>((AVERAGE(BE13:BE24,BG13:BG24)*('Summary Page'!$C$3+1))*('Summary Page'!$C$3+1))*('Summary Page'!$C$3+1)</f>
        <v>38.0859375</v>
      </c>
      <c r="BJ24" s="7">
        <f>((AVERAGE(BE13:BE24,BG13:BG24)*('Summary Page'!$C$4+1))*('Summary Page'!$C$4+1))*('Summary Page'!$C$4+1)</f>
        <v>33.695999999999998</v>
      </c>
      <c r="BK24" s="40">
        <v>18</v>
      </c>
      <c r="BL24" s="40"/>
      <c r="BM24" s="40"/>
      <c r="BN24" s="7">
        <f>((AVERAGE(BK13:BK24,BM13:BM24)*('Summary Page'!$C$2+1))*('Summary Page'!$C$2+1))*('Summary Page'!$C$2+1)</f>
        <v>26.275082666666659</v>
      </c>
      <c r="BO24" s="7">
        <f>((AVERAGE(BK13:BK24,BM13:BM24)*('Summary Page'!$C$3+1))*('Summary Page'!$C$3+1))*('Summary Page'!$C$3+1)</f>
        <v>32.877604166666657</v>
      </c>
      <c r="BP24" s="7">
        <f>((AVERAGE(BK13:BK24,BM13:BM24)*('Summary Page'!$C$4+1))*('Summary Page'!$C$4+1))*('Summary Page'!$C$4+1)</f>
        <v>29.087999999999997</v>
      </c>
      <c r="BQ24" s="64">
        <v>35</v>
      </c>
      <c r="BR24" s="40"/>
      <c r="BS24" s="40"/>
      <c r="BT24" s="7">
        <f>((AVERAGE(BQ13:BQ24,BS13:BS24)*('Summary Page'!$C$2+1))*('Summary Page'!$C$2+1))*('Summary Page'!$C$2+1)</f>
        <v>77.004202666666657</v>
      </c>
      <c r="BU24" s="7">
        <f>((AVERAGE(BQ13:BQ24,BS13:BS24)*('Summary Page'!$C$3+1))*('Summary Page'!$C$3+1))*('Summary Page'!$C$3+1)</f>
        <v>96.354166666666686</v>
      </c>
      <c r="BV24" s="8">
        <f>((AVERAGE(BQ13:BQ24,BS13:BS24)*('Summary Page'!$C$4+1))*('Summary Page'!$C$4+1))*('Summary Page'!$C$4+1)</f>
        <v>85.248000000000005</v>
      </c>
      <c r="BW24" s="64">
        <v>21</v>
      </c>
      <c r="BX24" s="40"/>
      <c r="BY24" s="40"/>
      <c r="BZ24" s="7">
        <f>((AVERAGE(BW13:BW24,BY13:BY24)*('Summary Page'!$C$2+1))*('Summary Page'!$C$2+1))*('Summary Page'!$C$2+1)</f>
        <v>47.47725333333333</v>
      </c>
      <c r="CA24" s="7">
        <f>((AVERAGE(BW13:BW24,BY13:BY24)*('Summary Page'!$C$3+1))*('Summary Page'!$C$3+1))*('Summary Page'!$C$3+1)</f>
        <v>59.407552083333343</v>
      </c>
      <c r="CB24" s="8">
        <f>((AVERAGE(BW13:BW24,BY13:BY24)*('Summary Page'!$C$4+1))*('Summary Page'!$C$4+1))*('Summary Page'!$C$4+1)</f>
        <v>52.559999999999995</v>
      </c>
      <c r="CC24" s="64">
        <v>30</v>
      </c>
      <c r="CD24" s="40"/>
      <c r="CE24" s="40"/>
      <c r="CF24" s="7">
        <f>((AVERAGE(CC13:CC24,CE13:CE24)*('Summary Page'!$C$2+1))*('Summary Page'!$C$2+1))*('Summary Page'!$C$2+1)</f>
        <v>44.875759999999985</v>
      </c>
      <c r="CG24" s="7">
        <f>((AVERAGE(CC13:CC24,CE13:CE24)*('Summary Page'!$C$3+1))*('Summary Page'!$C$3+1))*('Summary Page'!$C$3+1)</f>
        <v>56.15234375</v>
      </c>
      <c r="CH24" s="8">
        <f>((AVERAGE(CC13:CC24,CE13:CE24)*('Summary Page'!$C$4+1))*('Summary Page'!$C$4+1))*('Summary Page'!$C$4+1)</f>
        <v>49.68</v>
      </c>
      <c r="CI24" s="64">
        <v>21</v>
      </c>
      <c r="CJ24" s="40"/>
      <c r="CK24" s="40"/>
      <c r="CL24" s="7">
        <f>((AVERAGE(CI13:CI24,CK13:CK24)*('Summary Page'!$C$2+1))*('Summary Page'!$C$2+1))*('Summary Page'!$C$2+1)</f>
        <v>33.81941333333333</v>
      </c>
      <c r="CM24" s="7">
        <f>((AVERAGE(CI13:CI24,CK13:CK24)*('Summary Page'!$C$3+1))*('Summary Page'!$C$3+1))*('Summary Page'!$C$3+1)</f>
        <v>42.317708333333343</v>
      </c>
      <c r="CN24" s="8">
        <f>((AVERAGE(CI13:CI24,CK13:CK24)*('Summary Page'!$C$4+1))*('Summary Page'!$C$4+1))*('Summary Page'!$C$4+1)</f>
        <v>37.44</v>
      </c>
      <c r="CQ24" s="40"/>
      <c r="CR24" s="7">
        <f>((AVERAGE(C19:C24)*('Summary Page'!$C$2+1))*('Summary Page'!$C$2+1))*('Summary Page'!$C$2+1)</f>
        <v>70.500469333333314</v>
      </c>
      <c r="CS24" s="7">
        <f>((AVERAGE(C19:C24)*('Summary Page'!$C$3+1))*('Summary Page'!$C$3+1))*('Summary Page'!$C$3+1)</f>
        <v>88.216145833333314</v>
      </c>
      <c r="CT24" s="8">
        <f>((AVERAGE(C19:C24)*('Summary Page'!$C$4+1))*('Summary Page'!$C$4+1))*('Summary Page'!$C$4+1)</f>
        <v>78.047999999999988</v>
      </c>
      <c r="CW24" s="40"/>
      <c r="CX24" s="7">
        <f>((AVERAGE(D19:D24)*('Summary Page'!$C$2+1))*('Summary Page'!$C$2+1))*('Summary Page'!$C$2+1)</f>
        <v>56.972703999999986</v>
      </c>
      <c r="CY24" s="7">
        <f>((AVERAGE(D19:D24)*('Summary Page'!$C$3+1))*('Summary Page'!$C$3+1))*('Summary Page'!$C$3+1)</f>
        <v>71.2890625</v>
      </c>
      <c r="CZ24" s="8">
        <f>((AVERAGE(D19:D24)*('Summary Page'!$C$4+1))*('Summary Page'!$C$4+1))*('Summary Page'!$C$4+1)</f>
        <v>63.071999999999989</v>
      </c>
      <c r="DA24" s="64">
        <v>25</v>
      </c>
      <c r="DB24" s="40"/>
      <c r="DC24" s="40"/>
      <c r="DD24" s="7">
        <f>((AVERAGE(DA13:DA24,DC13:DC24)*('Summary Page'!$C$2+1))*('Summary Page'!$C$2+1))*('Summary Page'!$C$2+1)</f>
        <v>37.981802666666653</v>
      </c>
      <c r="DE24" s="7">
        <f>((AVERAGE(DA13:DA24,DC13:DC24)*('Summary Page'!$C$3+1))*('Summary Page'!$C$3+1))*('Summary Page'!$C$3+1)</f>
        <v>47.526041666666657</v>
      </c>
      <c r="DF24" s="8">
        <f>((AVERAGE(DA13:DA24,DC13:DC24)*('Summary Page'!$C$4+1))*('Summary Page'!$C$4+1))*('Summary Page'!$C$4+1)</f>
        <v>42.047999999999988</v>
      </c>
      <c r="DG24" s="64">
        <v>31</v>
      </c>
      <c r="DH24" s="40"/>
      <c r="DI24" s="40"/>
      <c r="DJ24" s="7">
        <f>((AVERAGE(DG13:DG24,DI13:DI24)*('Summary Page'!$C$2+1))*('Summary Page'!$C$2+1))*('Summary Page'!$C$2+1)</f>
        <v>46.956954666666654</v>
      </c>
      <c r="DK24" s="7">
        <f>((AVERAGE(DG13:DG24,DI13:DI24)*('Summary Page'!$C$3+1))*('Summary Page'!$C$3+1))*('Summary Page'!$C$3+1)</f>
        <v>58.756510416666657</v>
      </c>
      <c r="DL24" s="8">
        <f>((AVERAGE(DG13:DG24,DI13:DI24)*('Summary Page'!$C$4+1))*('Summary Page'!$C$4+1))*('Summary Page'!$C$4+1)</f>
        <v>51.983999999999988</v>
      </c>
      <c r="DO24" s="40"/>
      <c r="DP24" s="7">
        <f>((AVERAGE(F13:F24,DO13:DO24)*('Summary Page'!$C$2+1))*('Summary Page'!$C$2+1))*('Summary Page'!$C$2+1)</f>
        <v>0.78044799999999992</v>
      </c>
      <c r="DQ24" s="7">
        <f>((AVERAGE(F13:F24,DO13:DO24)*('Summary Page'!$C$3+1))*('Summary Page'!$C$3+1))*('Summary Page'!$C$3+1)</f>
        <v>0.9765625</v>
      </c>
      <c r="DR24" s="8">
        <f>((AVERAGE(F13:F24,DO13:DO24)*('Summary Page'!$C$4+1))*('Summary Page'!$C$4+1))*('Summary Page'!$C$4+1)</f>
        <v>0.86399999999999999</v>
      </c>
      <c r="DU24" s="40"/>
      <c r="DV24" s="7">
        <f>((AVERAGE(G13:G24,DU13:DU24)*('Summary Page'!$C$2+1))*('Summary Page'!$C$2+1))*('Summary Page'!$C$2+1)</f>
        <v>29.917173333333331</v>
      </c>
      <c r="DW24" s="7">
        <f>((AVERAGE(G13:G24,DU13:DU24)*('Summary Page'!$C$3+1))*('Summary Page'!$C$3+1))*('Summary Page'!$C$3+1)</f>
        <v>37.434895833333343</v>
      </c>
      <c r="DX24" s="8">
        <f>((AVERAGE(G13:G24,DU13:DU24)*('Summary Page'!$C$4+1))*('Summary Page'!$C$4+1))*('Summary Page'!$C$4+1)</f>
        <v>33.119999999999997</v>
      </c>
      <c r="EA24" s="40"/>
      <c r="EB24" s="7">
        <f>((AVERAGE(H19:H24)*('Summary Page'!$C$2+1))*('Summary Page'!$C$2+1))*('Summary Page'!$C$2+1)</f>
        <v>18.470602666666665</v>
      </c>
      <c r="EC24" s="7">
        <f>((AVERAGE(H19:H24)*('Summary Page'!$C$3+1))*('Summary Page'!$C$3+1))*('Summary Page'!$C$3+1)</f>
        <v>23.111979166666671</v>
      </c>
      <c r="ED24" s="8">
        <f>((AVERAGE(H19:H24)*('Summary Page'!$C$4+1))*('Summary Page'!$C$4+1))*('Summary Page'!$C$4+1)</f>
        <v>20.447999999999997</v>
      </c>
      <c r="EG24" s="40"/>
      <c r="EH24" s="7">
        <f>((AVERAGE(I19:I24)*('Summary Page'!$C$2+1))*('Summary Page'!$C$2+1))*('Summary Page'!$C$2+1)</f>
        <v>60.354645333333316</v>
      </c>
      <c r="EI24" s="7">
        <f>((AVERAGE(I19:I24)*('Summary Page'!$C$3+1))*('Summary Page'!$C$3+1))*('Summary Page'!$C$3+1)</f>
        <v>75.520833333333314</v>
      </c>
      <c r="EJ24" s="8">
        <f>((AVERAGE(I19:I24)*('Summary Page'!$C$4+1))*('Summary Page'!$C$4+1))*('Summary Page'!$C$4+1)</f>
        <v>66.816000000000003</v>
      </c>
      <c r="EM24" s="40">
        <f t="shared" ref="EM24:EM29" si="7">AE24*1.2</f>
        <v>75.599999999999994</v>
      </c>
      <c r="EN24" s="7">
        <f>((AVERAGE(AD19:AD24)*('Summary Page'!$C$2+1))*('Summary Page'!$C$2+1))*('Summary Page'!$C$2+1)</f>
        <v>121.74988799999997</v>
      </c>
      <c r="EO24" s="7">
        <f>((AVERAGE(AD19:AD24)*('Summary Page'!$C$3+1))*('Summary Page'!$C$3+1))*('Summary Page'!$C$3+1)</f>
        <v>152.34375</v>
      </c>
      <c r="EP24" s="7">
        <f>((AVERAGE(AD19:AD24)*('Summary Page'!$C$4+1))*('Summary Page'!$C$4+1))*('Summary Page'!$C$4+1)</f>
        <v>134.78399999999999</v>
      </c>
      <c r="EQ24" s="7">
        <v>100</v>
      </c>
    </row>
    <row r="25" spans="1:159" ht="15.75" x14ac:dyDescent="0.25">
      <c r="A25" s="1">
        <v>43661</v>
      </c>
      <c r="B25" s="40">
        <v>57</v>
      </c>
      <c r="C25" s="64">
        <v>39</v>
      </c>
      <c r="D25" s="64">
        <v>31</v>
      </c>
      <c r="E25" s="7">
        <f t="shared" si="1"/>
        <v>48</v>
      </c>
      <c r="F25" s="64">
        <v>1</v>
      </c>
      <c r="G25" s="64">
        <v>21</v>
      </c>
      <c r="H25" s="64">
        <v>13</v>
      </c>
      <c r="I25" s="64">
        <v>44</v>
      </c>
      <c r="J25" s="64"/>
      <c r="K25" s="5">
        <f t="shared" si="2"/>
        <v>24</v>
      </c>
      <c r="L25" s="99">
        <v>51</v>
      </c>
      <c r="M25" s="40">
        <v>44</v>
      </c>
      <c r="N25" s="40">
        <v>35</v>
      </c>
      <c r="O25" s="7">
        <f t="shared" ref="O25:O51" si="8">AVERAGE(L25:M25)</f>
        <v>47.5</v>
      </c>
      <c r="P25" s="40">
        <v>0.5</v>
      </c>
      <c r="Q25" s="40">
        <v>7</v>
      </c>
      <c r="R25" s="40">
        <v>7</v>
      </c>
      <c r="S25" s="40">
        <v>22</v>
      </c>
      <c r="T25" s="40"/>
      <c r="U25" s="100">
        <f>AVERAGE(BF25,BL25,BR25,BX25,CD25,CJ25,DB25,DH25)</f>
        <v>16.125</v>
      </c>
      <c r="V25" s="13"/>
      <c r="W25" s="13"/>
      <c r="X25" s="13"/>
      <c r="Y25" s="13"/>
      <c r="Z25" s="13"/>
      <c r="AA25" s="13"/>
      <c r="AB25" s="13"/>
      <c r="AC25" s="13"/>
      <c r="AD25" s="40">
        <v>78</v>
      </c>
      <c r="AE25" s="40">
        <v>63</v>
      </c>
      <c r="AF25" s="40"/>
      <c r="AG25" s="40"/>
      <c r="AH25" s="40"/>
      <c r="AI25" s="40"/>
      <c r="AJ25" s="40"/>
      <c r="AK25" s="40"/>
      <c r="AL25" s="40"/>
      <c r="AM25" s="40"/>
      <c r="AN25" s="13">
        <f t="shared" si="4"/>
        <v>19.349999999999998</v>
      </c>
      <c r="AO25" s="7">
        <f>((AVERAGE(K20:K25)*('Summary Page'!$C$2+1))*('Summary Page'!$C$2+1))*('Summary Page'!$C$2+1)</f>
        <v>39.08743733333332</v>
      </c>
      <c r="AP25" s="7">
        <f>((AVERAGE(K20:K25)*('Summary Page'!$C$3+1))*('Summary Page'!$C$3+1))*('Summary Page'!$C$3+1)</f>
        <v>48.909505208333343</v>
      </c>
      <c r="AQ25" s="7">
        <f>((AVERAGE(K20:K25)*('Summary Page'!$C$4+1))*('Summary Page'!$C$4+1))*('Summary Page'!$C$4+1)</f>
        <v>43.271999999999998</v>
      </c>
      <c r="AR25" s="7">
        <v>80</v>
      </c>
      <c r="AS25" s="5">
        <f t="shared" si="3"/>
        <v>34.666666666666664</v>
      </c>
      <c r="AT25" s="13">
        <f>AVERAGE(MAX(M25,N25),MAX(P25,Q25),MAX(R25,S25))</f>
        <v>24.333333333333332</v>
      </c>
      <c r="AU25" s="13">
        <f t="shared" si="5"/>
        <v>29.199999999999996</v>
      </c>
      <c r="AV25" s="7">
        <f>((AVERAGE(AS14:AS25,AU14:AU25)*('Summary Page'!$C$2+1))*('Summary Page'!$C$2+1))*('Summary Page'!$C$2+1)</f>
        <v>54.029300114285704</v>
      </c>
      <c r="AW25" s="7">
        <f>((AVERAGE(AS14:AS25,AU14:AU25)*('Summary Page'!$C$3+1))*('Summary Page'!$C$3+1))*('Summary Page'!$C$3+1)</f>
        <v>67.606026785714278</v>
      </c>
      <c r="AX25" s="7">
        <f>((AVERAGE(AS14:AS25,AU14:AU25)*('Summary Page'!$C$4+1))*('Summary Page'!$C$4+1))*('Summary Page'!$C$4+1)</f>
        <v>59.813485714285704</v>
      </c>
      <c r="BA25" s="40">
        <f t="shared" si="6"/>
        <v>61.199999999999996</v>
      </c>
      <c r="BB25" s="7">
        <f>((AVERAGE(B20:B25)*(+'Summary Page'!$C$2+1))*('Summary Page'!$C$2+1))*('Summary Page'!$C$2+1)</f>
        <v>101.19809066666663</v>
      </c>
      <c r="BC25" s="7">
        <f>((AVERAGE(B20:B25)*('Summary Page'!$C$3+1))*('Summary Page'!$C$3+1))*('Summary Page'!$C$3+1)</f>
        <v>126.62760416666664</v>
      </c>
      <c r="BD25" s="7">
        <f>((AVERAGE(B20:B25)*('Summary Page'!$C$4+1))*('Summary Page'!$C$4+1))*('Summary Page'!$C$4+1)</f>
        <v>112.032</v>
      </c>
      <c r="BE25" s="64">
        <v>22</v>
      </c>
      <c r="BF25" s="69">
        <v>22</v>
      </c>
      <c r="BG25" s="40">
        <f>BF25*1.2</f>
        <v>26.4</v>
      </c>
      <c r="BH25" s="7">
        <f>((AVERAGE(BE14:BE25,BG14:BG25)*('Summary Page'!$C$2+1))*('Summary Page'!$C$2+1))*('Summary Page'!$C$2+1)</f>
        <v>30.905740799999993</v>
      </c>
      <c r="BI25" s="7">
        <f>((AVERAGE(BE14:BE25,BG14:BG25)*('Summary Page'!$C$3+1))*('Summary Page'!$C$3+1))*('Summary Page'!$C$3+1)</f>
        <v>38.671874999999993</v>
      </c>
      <c r="BJ25" s="7">
        <f>((AVERAGE(BE14:BE25,BG14:BG25)*('Summary Page'!$C$4+1))*('Summary Page'!$C$4+1))*('Summary Page'!$C$4+1)</f>
        <v>34.214399999999991</v>
      </c>
      <c r="BK25" s="40">
        <v>19</v>
      </c>
      <c r="BL25" s="40">
        <v>19</v>
      </c>
      <c r="BM25" s="40">
        <f>BL25*1.2</f>
        <v>22.8</v>
      </c>
      <c r="BN25" s="7">
        <f>((AVERAGE(BK14:BK25,BM14:BM25)*('Summary Page'!$C$2+1))*('Summary Page'!$C$2+1))*('Summary Page'!$C$2+1)</f>
        <v>26.631287138461534</v>
      </c>
      <c r="BO25" s="7">
        <f>((AVERAGE(BK14:BK25,BM14:BM25)*('Summary Page'!$C$3+1))*('Summary Page'!$C$3+1))*('Summary Page'!$C$3+1)</f>
        <v>33.323317307692307</v>
      </c>
      <c r="BP25" s="7">
        <f>((AVERAGE(BK14:BK25,BM14:BM25)*('Summary Page'!$C$4+1))*('Summary Page'!$C$4+1))*('Summary Page'!$C$4+1)</f>
        <v>29.482338461538461</v>
      </c>
      <c r="BQ25" s="64">
        <v>33</v>
      </c>
      <c r="BR25" s="40">
        <v>20</v>
      </c>
      <c r="BS25" s="40">
        <f>BR25*1.2</f>
        <v>24</v>
      </c>
      <c r="BT25" s="7">
        <f>((AVERAGE(BQ14:BQ25,BS14:BS25)*('Summary Page'!$C$2+1))*('Summary Page'!$C$2+1))*('Summary Page'!$C$2+1)</f>
        <v>69.159699692307669</v>
      </c>
      <c r="BU25" s="7">
        <f>((AVERAGE(BQ14:BQ25,BS14:BS25)*('Summary Page'!$C$3+1))*('Summary Page'!$C$3+1))*('Summary Page'!$C$3+1)</f>
        <v>86.538461538461533</v>
      </c>
      <c r="BV25" s="8">
        <f>((AVERAGE(BQ14:BQ25,BS14:BS25)*('Summary Page'!$C$4+1))*('Summary Page'!$C$4+1))*('Summary Page'!$C$4+1)</f>
        <v>76.563692307692293</v>
      </c>
      <c r="BW25" s="64">
        <v>20</v>
      </c>
      <c r="BX25" s="40">
        <v>14</v>
      </c>
      <c r="BY25" s="40">
        <f>BX25*1.2</f>
        <v>16.8</v>
      </c>
      <c r="BZ25" s="7">
        <f>((AVERAGE(BW14:BW25,BY14:BY25)*('Summary Page'!$C$2+1))*('Summary Page'!$C$2+1))*('Summary Page'!$C$2+1)</f>
        <v>43.080729599999998</v>
      </c>
      <c r="CA25" s="7">
        <f>((AVERAGE(BW14:BW25,BY14:BY25)*('Summary Page'!$C$3+1))*('Summary Page'!$C$3+1))*('Summary Page'!$C$3+1)</f>
        <v>53.90625</v>
      </c>
      <c r="CB25" s="8">
        <f>((AVERAGE(BW14:BW25,BY14:BY25)*('Summary Page'!$C$4+1))*('Summary Page'!$C$4+1))*('Summary Page'!$C$4+1)</f>
        <v>47.692799999999991</v>
      </c>
      <c r="CC25" s="64">
        <v>27</v>
      </c>
      <c r="CD25" s="40">
        <v>11</v>
      </c>
      <c r="CE25" s="40">
        <f>CD25*1.2</f>
        <v>13.2</v>
      </c>
      <c r="CF25" s="7">
        <f>((AVERAGE(CC14:CC25,CE14:CE25)*('Summary Page'!$C$2+1))*('Summary Page'!$C$2+1))*('Summary Page'!$C$2+1)</f>
        <v>43.488963938461531</v>
      </c>
      <c r="CG25" s="7">
        <f>((AVERAGE(CC14:CC25,CE14:CE25)*('Summary Page'!$C$3+1))*('Summary Page'!$C$3+1))*('Summary Page'!$C$3+1)</f>
        <v>54.417067307692321</v>
      </c>
      <c r="CH25" s="8">
        <f>((AVERAGE(CC14:CC25,CE14:CE25)*('Summary Page'!$C$4+1))*('Summary Page'!$C$4+1))*('Summary Page'!$C$4+1)</f>
        <v>48.144738461538459</v>
      </c>
      <c r="CI25" s="64">
        <v>20</v>
      </c>
      <c r="CJ25" s="40">
        <v>8</v>
      </c>
      <c r="CK25" s="40">
        <f>CJ25*1.2</f>
        <v>9.6</v>
      </c>
      <c r="CL25" s="7">
        <f>((AVERAGE(CI14:CI25,CK14:CK25)*('Summary Page'!$C$2+1))*('Summary Page'!$C$2+1))*('Summary Page'!$C$2+1)</f>
        <v>32.610719507692302</v>
      </c>
      <c r="CM25" s="7">
        <f>((AVERAGE(CI14:CI25,CK14:CK25)*('Summary Page'!$C$3+1))*('Summary Page'!$C$3+1))*('Summary Page'!$C$3+1)</f>
        <v>40.805288461538467</v>
      </c>
      <c r="CN25" s="8">
        <f>((AVERAGE(CI14:CI25,CK14:CK25)*('Summary Page'!$C$4+1))*('Summary Page'!$C$4+1))*('Summary Page'!$C$4+1)</f>
        <v>36.101907692307691</v>
      </c>
      <c r="CQ25" s="40">
        <f t="shared" ref="CQ25:CQ30" si="9">M25*1.2</f>
        <v>52.8</v>
      </c>
      <c r="CR25" s="7">
        <f>((AVERAGE(C20:C25)*('Summary Page'!$C$2+1))*('Summary Page'!$C$2+1))*('Summary Page'!$C$2+1)</f>
        <v>70.240319999999983</v>
      </c>
      <c r="CS25" s="7">
        <f>((AVERAGE(C20:C25)*('Summary Page'!$C$3+1))*('Summary Page'!$C$3+1))*('Summary Page'!$C$3+1)</f>
        <v>87.890625</v>
      </c>
      <c r="CT25" s="8">
        <f>((AVERAGE(C20:C25)*('Summary Page'!$C$4+1))*('Summary Page'!$C$4+1))*('Summary Page'!$C$4+1)</f>
        <v>77.759999999999991</v>
      </c>
      <c r="CW25" s="40">
        <f t="shared" ref="CW25:CW30" si="10">N25*1.2</f>
        <v>42</v>
      </c>
      <c r="CX25" s="7">
        <f>((AVERAGE(D20:D25)*('Summary Page'!$C$2+1))*('Summary Page'!$C$2+1))*('Summary Page'!$C$2+1)</f>
        <v>56.45240533333331</v>
      </c>
      <c r="CY25" s="7">
        <f>((AVERAGE(D20:D25)*('Summary Page'!$C$3+1))*('Summary Page'!$C$3+1))*('Summary Page'!$C$3+1)</f>
        <v>70.638020833333314</v>
      </c>
      <c r="CZ25" s="8">
        <f>((AVERAGE(D20:D25)*('Summary Page'!$C$4+1))*('Summary Page'!$C$4+1))*('Summary Page'!$C$4+1)</f>
        <v>62.495999999999995</v>
      </c>
      <c r="DA25" s="64">
        <v>23</v>
      </c>
      <c r="DB25" s="40">
        <v>16</v>
      </c>
      <c r="DC25" s="40">
        <f>DB25*1.2</f>
        <v>19.2</v>
      </c>
      <c r="DD25" s="7">
        <f>((AVERAGE(DA14:DA25,DC14:DC25)*('Summary Page'!$C$2+1))*('Summary Page'!$C$2+1))*('Summary Page'!$C$2+1)</f>
        <v>37.965793476923068</v>
      </c>
      <c r="DE25" s="7">
        <f>((AVERAGE(DA14:DA25,DC14:DC25)*('Summary Page'!$C$3+1))*('Summary Page'!$C$3+1))*('Summary Page'!$C$3+1)</f>
        <v>47.506009615384613</v>
      </c>
      <c r="DF25" s="8">
        <f>((AVERAGE(DA14:DA25,DC14:DC25)*('Summary Page'!$C$4+1))*('Summary Page'!$C$4+1))*('Summary Page'!$C$4+1)</f>
        <v>42.030276923076919</v>
      </c>
      <c r="DG25" s="64">
        <v>28</v>
      </c>
      <c r="DH25" s="40">
        <v>19</v>
      </c>
      <c r="DI25" s="40">
        <f>DH25*1.2</f>
        <v>22.8</v>
      </c>
      <c r="DJ25" s="7">
        <f>((AVERAGE(DG14:DG25,DI14:DI25)*('Summary Page'!$C$2+1))*('Summary Page'!$C$2+1))*('Summary Page'!$C$2+1)</f>
        <v>46.922935138461533</v>
      </c>
      <c r="DK25" s="7">
        <f>((AVERAGE(DG14:DG25,DI14:DI25)*('Summary Page'!$C$3+1))*('Summary Page'!$C$3+1))*('Summary Page'!$C$3+1)</f>
        <v>58.713942307692321</v>
      </c>
      <c r="DL25" s="8">
        <f>((AVERAGE(DG14:DG25,DI14:DI25)*('Summary Page'!$C$4+1))*('Summary Page'!$C$4+1))*('Summary Page'!$C$4+1)</f>
        <v>51.94633846153846</v>
      </c>
      <c r="DO25" s="40">
        <f>P25*1.2</f>
        <v>0.6</v>
      </c>
      <c r="DP25" s="7">
        <f>((AVERAGE(F14:F25,DO14:DO25)*('Summary Page'!$C$2+1))*('Summary Page'!$C$2+1))*('Summary Page'!$C$2+1)</f>
        <v>0.91252381538461502</v>
      </c>
      <c r="DQ25" s="7">
        <f>((AVERAGE(F14:F25,DO14:DO25)*('Summary Page'!$C$3+1))*('Summary Page'!$C$3+1))*('Summary Page'!$C$3+1)</f>
        <v>1.1418269230769229</v>
      </c>
      <c r="DR25" s="8">
        <f>((AVERAGE(F14:F25,DO14:DO25)*('Summary Page'!$C$4+1))*('Summary Page'!$C$4+1))*('Summary Page'!$C$4+1)</f>
        <v>1.0102153846153843</v>
      </c>
      <c r="DU25" s="40">
        <f>Q25*1.2</f>
        <v>8.4</v>
      </c>
      <c r="DV25" s="7">
        <f>((AVERAGE(G14:G25,DU14:DU25)*('Summary Page'!$C$2+1))*('Summary Page'!$C$2+1))*('Summary Page'!$C$2+1)</f>
        <v>28.864569107692301</v>
      </c>
      <c r="DW25" s="7">
        <f>((AVERAGE(G14:G25,DU14:DU25)*('Summary Page'!$C$3+1))*('Summary Page'!$C$3+1))*('Summary Page'!$C$3+1)</f>
        <v>36.11778846153846</v>
      </c>
      <c r="DX25" s="8">
        <f>((AVERAGE(G14:G25,DU14:DU25)*('Summary Page'!$C$4+1))*('Summary Page'!$C$4+1))*('Summary Page'!$C$4+1)</f>
        <v>31.954707692307689</v>
      </c>
      <c r="EA25" s="40">
        <f t="shared" ref="EA25:EA30" si="11">R25*1.2</f>
        <v>8.4</v>
      </c>
      <c r="EB25" s="7">
        <f>((AVERAGE(H20:H25)*('Summary Page'!$C$2+1))*('Summary Page'!$C$2+1))*('Summary Page'!$C$2+1)</f>
        <v>18.730751999999995</v>
      </c>
      <c r="EC25" s="7">
        <f>((AVERAGE(H20:H25)*('Summary Page'!$C$3+1))*('Summary Page'!$C$3+1))*('Summary Page'!$C$3+1)</f>
        <v>23.4375</v>
      </c>
      <c r="ED25" s="8">
        <f>((AVERAGE(H20:H25)*('Summary Page'!$C$4+1))*('Summary Page'!$C$4+1))*('Summary Page'!$C$4+1)</f>
        <v>20.735999999999997</v>
      </c>
      <c r="EG25" s="40">
        <f t="shared" ref="EG25:EG30" si="12">S25*1.2</f>
        <v>26.4</v>
      </c>
      <c r="EH25" s="7">
        <f>((AVERAGE(I20:I25)*('Summary Page'!$C$2+1))*('Summary Page'!$C$2+1))*('Summary Page'!$C$2+1)</f>
        <v>61.655391999999992</v>
      </c>
      <c r="EI25" s="7">
        <f>((AVERAGE(I20:I25)*('Summary Page'!$C$3+1))*('Summary Page'!$C$3+1))*('Summary Page'!$C$3+1)</f>
        <v>77.1484375</v>
      </c>
      <c r="EJ25" s="8">
        <f>((AVERAGE(I20:I25)*('Summary Page'!$C$4+1))*('Summary Page'!$C$4+1))*('Summary Page'!$C$4+1)</f>
        <v>68.255999999999986</v>
      </c>
      <c r="EM25" s="40">
        <f t="shared" si="7"/>
        <v>75.599999999999994</v>
      </c>
      <c r="EN25" s="7">
        <f>((AVERAGE(AD20:AD25)*('Summary Page'!$C$2+1))*('Summary Page'!$C$2+1))*('Summary Page'!$C$2+1)</f>
        <v>121.74988799999997</v>
      </c>
      <c r="EO25" s="7">
        <f>((AVERAGE(AD20:AD25)*('Summary Page'!$C$3+1))*('Summary Page'!$C$3+1))*('Summary Page'!$C$3+1)</f>
        <v>152.34375</v>
      </c>
      <c r="EP25" s="7">
        <f>((AVERAGE(AD20:AD25)*('Summary Page'!$C$4+1))*('Summary Page'!$C$4+1))*('Summary Page'!$C$4+1)</f>
        <v>134.78399999999999</v>
      </c>
      <c r="EQ25" s="7">
        <v>100</v>
      </c>
    </row>
    <row r="26" spans="1:159" ht="15.75" x14ac:dyDescent="0.25">
      <c r="A26" s="10">
        <v>43678</v>
      </c>
      <c r="B26" s="64">
        <v>56</v>
      </c>
      <c r="C26" s="64">
        <v>43</v>
      </c>
      <c r="D26" s="64">
        <v>33</v>
      </c>
      <c r="E26" s="64">
        <f t="shared" si="1"/>
        <v>49.5</v>
      </c>
      <c r="F26" s="64">
        <v>1</v>
      </c>
      <c r="G26" s="64">
        <v>18</v>
      </c>
      <c r="H26" s="64">
        <v>12</v>
      </c>
      <c r="I26" s="64">
        <v>19</v>
      </c>
      <c r="J26" s="64"/>
      <c r="K26" s="64">
        <v>49</v>
      </c>
      <c r="L26" s="99">
        <v>46</v>
      </c>
      <c r="M26" s="40">
        <v>52</v>
      </c>
      <c r="N26" s="40">
        <v>44</v>
      </c>
      <c r="O26" s="7">
        <f t="shared" si="8"/>
        <v>49</v>
      </c>
      <c r="P26" s="40">
        <v>1</v>
      </c>
      <c r="Q26" s="40">
        <v>15</v>
      </c>
      <c r="R26" s="40">
        <v>9</v>
      </c>
      <c r="S26" s="40">
        <v>17</v>
      </c>
      <c r="T26" s="40"/>
      <c r="U26" s="94">
        <v>41.5</v>
      </c>
      <c r="V26" s="40"/>
      <c r="W26" s="40"/>
      <c r="X26" s="40"/>
      <c r="Y26" s="40"/>
      <c r="Z26" s="40"/>
      <c r="AA26" s="40"/>
      <c r="AB26" s="40"/>
      <c r="AC26" s="40"/>
      <c r="AD26" s="40">
        <v>81</v>
      </c>
      <c r="AE26" s="40">
        <v>74</v>
      </c>
      <c r="AF26" s="40"/>
      <c r="AG26" s="40">
        <v>768</v>
      </c>
      <c r="AH26" s="40">
        <v>768</v>
      </c>
      <c r="AI26" s="40"/>
      <c r="AJ26" s="40"/>
      <c r="AK26" s="40"/>
      <c r="AL26" s="40"/>
      <c r="AM26" s="40"/>
      <c r="AN26" s="13">
        <f t="shared" si="4"/>
        <v>49.8</v>
      </c>
      <c r="AO26" s="7">
        <f>((AVERAGE(K21:K26)*('Summary Page'!$C$2+1))*('Summary Page'!$C$2+1))*('Summary Page'!$C$2+1)</f>
        <v>45.591170666666649</v>
      </c>
      <c r="AP26" s="7">
        <f>((AVERAGE(K21:K26)*('Summary Page'!$C$3+1))*('Summary Page'!$C$3+1))*('Summary Page'!$C$3+1)</f>
        <v>57.047526041666657</v>
      </c>
      <c r="AQ26" s="7">
        <f>((AVERAGE(K21:K26)*('Summary Page'!$C$4+1))*('Summary Page'!$C$4+1))*('Summary Page'!$C$4+1)</f>
        <v>50.471999999999994</v>
      </c>
      <c r="AR26" s="7">
        <v>80</v>
      </c>
      <c r="AS26" s="5">
        <f t="shared" si="3"/>
        <v>26.666666666666668</v>
      </c>
      <c r="AT26" s="13">
        <f>AVERAGE(MAX(M26,N26),MAX(P26,Q26),MAX(R26,S26))</f>
        <v>28</v>
      </c>
      <c r="AU26" s="13">
        <f t="shared" si="5"/>
        <v>33.6</v>
      </c>
      <c r="AV26" s="7">
        <f>((AVERAGE(AS15:AS26,AU15:AU26)*('Summary Page'!$C$2+1))*('Summary Page'!$C$2+1))*('Summary Page'!$C$2+1)</f>
        <v>52.60566385777777</v>
      </c>
      <c r="AW26" s="7">
        <f>((AVERAGE(AS15:AS26,AU15:AU26)*('Summary Page'!$C$3+1))*('Summary Page'!$C$3+1))*('Summary Page'!$C$3+1)</f>
        <v>65.824652777777786</v>
      </c>
      <c r="AX26" s="7">
        <f>((AVERAGE(AS15:AS26,AU15:AU26)*('Summary Page'!$C$4+1))*('Summary Page'!$C$4+1))*('Summary Page'!$C$4+1)</f>
        <v>58.237439999999992</v>
      </c>
      <c r="BA26" s="40">
        <f t="shared" si="6"/>
        <v>55.199999999999996</v>
      </c>
      <c r="BB26" s="7">
        <f>((AVERAGE(B21:B26)*(+'Summary Page'!$C$2+1))*('Summary Page'!$C$2+1))*('Summary Page'!$C$2+1)</f>
        <v>99.89734399999999</v>
      </c>
      <c r="BC26" s="7">
        <f>((AVERAGE(B21:B26)*('Summary Page'!$C$3+1))*('Summary Page'!$C$3+1))*('Summary Page'!$C$3+1)</f>
        <v>125</v>
      </c>
      <c r="BD26" s="7">
        <f>((AVERAGE(B21:B26)*('Summary Page'!$C$4+1))*('Summary Page'!$C$4+1))*('Summary Page'!$C$4+1)</f>
        <v>110.592</v>
      </c>
      <c r="BE26" s="64"/>
      <c r="BF26" s="69"/>
      <c r="BG26" s="40"/>
      <c r="BH26" s="40"/>
      <c r="BI26" s="40"/>
      <c r="BJ26" s="40"/>
      <c r="BK26" s="64"/>
      <c r="BL26" s="40"/>
      <c r="BM26" s="40"/>
      <c r="BN26" s="40"/>
      <c r="BO26" s="40"/>
      <c r="BP26" s="40"/>
      <c r="BQ26" s="64"/>
      <c r="BR26" s="40"/>
      <c r="BS26" s="40"/>
      <c r="BT26" s="40"/>
      <c r="BU26" s="40"/>
      <c r="BV26" s="69"/>
      <c r="BW26" s="64"/>
      <c r="BX26" s="40"/>
      <c r="BY26" s="40"/>
      <c r="BZ26" s="40"/>
      <c r="CA26" s="40"/>
      <c r="CB26" s="69"/>
      <c r="CC26" s="64"/>
      <c r="CD26" s="40"/>
      <c r="CE26" s="40"/>
      <c r="CF26" s="40"/>
      <c r="CG26" s="40"/>
      <c r="CH26" s="69"/>
      <c r="CI26" s="64"/>
      <c r="CJ26" s="40"/>
      <c r="CK26" s="40"/>
      <c r="CL26" s="40"/>
      <c r="CM26" s="40"/>
      <c r="CN26" s="69"/>
      <c r="CQ26" s="40">
        <f t="shared" si="9"/>
        <v>62.4</v>
      </c>
      <c r="CR26" s="7">
        <f>((AVERAGE(C21:C26)*('Summary Page'!$C$2+1))*('Summary Page'!$C$2+1))*('Summary Page'!$C$2+1)</f>
        <v>71.020767999999975</v>
      </c>
      <c r="CS26" s="7">
        <f>((AVERAGE(C21:C26)*('Summary Page'!$C$3+1))*('Summary Page'!$C$3+1))*('Summary Page'!$C$3+1)</f>
        <v>88.8671875</v>
      </c>
      <c r="CT26" s="8">
        <f>((AVERAGE(C21:C26)*('Summary Page'!$C$4+1))*('Summary Page'!$C$4+1))*('Summary Page'!$C$4+1)</f>
        <v>78.623999999999995</v>
      </c>
      <c r="CW26" s="40">
        <f t="shared" si="10"/>
        <v>52.8</v>
      </c>
      <c r="CX26" s="7">
        <f>((AVERAGE(D21:D26)*('Summary Page'!$C$2+1))*('Summary Page'!$C$2+1))*('Summary Page'!$C$2+1)</f>
        <v>56.45240533333331</v>
      </c>
      <c r="CY26" s="7">
        <f>((AVERAGE(D21:D26)*('Summary Page'!$C$3+1))*('Summary Page'!$C$3+1))*('Summary Page'!$C$3+1)</f>
        <v>70.638020833333314</v>
      </c>
      <c r="CZ26" s="8">
        <f>((AVERAGE(D21:D26)*('Summary Page'!$C$4+1))*('Summary Page'!$C$4+1))*('Summary Page'!$C$4+1)</f>
        <v>62.495999999999995</v>
      </c>
      <c r="DA26" s="64"/>
      <c r="DB26" s="40"/>
      <c r="DC26" s="40"/>
      <c r="DD26" s="40"/>
      <c r="DE26" s="40"/>
      <c r="DF26" s="69"/>
      <c r="DG26" s="64"/>
      <c r="DH26" s="40"/>
      <c r="DI26" s="40"/>
      <c r="DJ26" s="40"/>
      <c r="DK26" s="40"/>
      <c r="DL26" s="69"/>
      <c r="DO26" s="40"/>
      <c r="DP26" s="7"/>
      <c r="DQ26" s="7"/>
      <c r="DR26" s="8"/>
      <c r="DU26" s="40"/>
      <c r="DV26" s="7"/>
      <c r="DW26" s="7"/>
      <c r="DX26" s="8"/>
      <c r="EA26" s="40">
        <f t="shared" si="11"/>
        <v>10.799999999999999</v>
      </c>
      <c r="EB26" s="7">
        <f>((AVERAGE(H21:H26)*('Summary Page'!$C$2+1))*('Summary Page'!$C$2+1))*('Summary Page'!$C$2+1)</f>
        <v>18.730751999999995</v>
      </c>
      <c r="EC26" s="7">
        <f>((AVERAGE(H21:H26)*('Summary Page'!$C$3+1))*('Summary Page'!$C$3+1))*('Summary Page'!$C$3+1)</f>
        <v>23.4375</v>
      </c>
      <c r="ED26" s="8">
        <f>((AVERAGE(H21:H26)*('Summary Page'!$C$4+1))*('Summary Page'!$C$4+1))*('Summary Page'!$C$4+1)</f>
        <v>20.735999999999997</v>
      </c>
      <c r="EG26" s="40">
        <f t="shared" si="12"/>
        <v>20.399999999999999</v>
      </c>
      <c r="EH26" s="7">
        <f>((AVERAGE(I21:I26)*('Summary Page'!$C$2+1))*('Summary Page'!$C$2+1))*('Summary Page'!$C$2+1)</f>
        <v>56.45240533333331</v>
      </c>
      <c r="EI26" s="7">
        <f>((AVERAGE(I21:I26)*('Summary Page'!$C$3+1))*('Summary Page'!$C$3+1))*('Summary Page'!$C$3+1)</f>
        <v>70.638020833333314</v>
      </c>
      <c r="EJ26" s="8">
        <f>((AVERAGE(I21:I26)*('Summary Page'!$C$4+1))*('Summary Page'!$C$4+1))*('Summary Page'!$C$4+1)</f>
        <v>62.495999999999995</v>
      </c>
      <c r="EM26" s="40">
        <f t="shared" si="7"/>
        <v>88.8</v>
      </c>
      <c r="EN26" s="7">
        <f>((AVERAGE(AD21:AD26)*('Summary Page'!$C$2+1))*('Summary Page'!$C$2+1))*('Summary Page'!$C$2+1)</f>
        <v>123.31078399999998</v>
      </c>
      <c r="EO26" s="7">
        <f>((AVERAGE(AD21:AD26)*('Summary Page'!$C$3+1))*('Summary Page'!$C$3+1))*('Summary Page'!$C$3+1)</f>
        <v>154.296875</v>
      </c>
      <c r="EP26" s="7">
        <f>((AVERAGE(AD21:AD26)*('Summary Page'!$C$4+1))*('Summary Page'!$C$4+1))*('Summary Page'!$C$4+1)</f>
        <v>136.51199999999997</v>
      </c>
      <c r="EQ26" s="7">
        <v>100</v>
      </c>
      <c r="ER26" s="16">
        <f t="shared" ref="ER26:ES28" si="13">AG26/7.5/0.89/5</f>
        <v>23.011235955056183</v>
      </c>
      <c r="ES26" s="16">
        <f t="shared" si="13"/>
        <v>23.011235955056183</v>
      </c>
      <c r="ET26" s="7">
        <f t="shared" ref="ET26:ET31" si="14">ES26*1.2</f>
        <v>27.61348314606742</v>
      </c>
      <c r="EU26" s="7">
        <f>((AVERAGE(ER21:ER26)*('Summary Page'!$C$2+1))*('Summary Page'!$C$2+1))*('Summary Page'!$C$2+1)</f>
        <v>35.918146157303369</v>
      </c>
      <c r="EV26" s="7">
        <f>((AVERAGE(ER21:ER26)*('Summary Page'!$C$3+1))*('Summary Page'!$C$3+1))*('Summary Page'!$C$3+1)</f>
        <v>44.943820224719104</v>
      </c>
      <c r="EW26" s="7">
        <f>((AVERAGE(ER21:ER26)*('Summary Page'!$C$4+1))*('Summary Page'!$C$4+1))*('Summary Page'!$C$4+1)</f>
        <v>39.76341573033708</v>
      </c>
      <c r="EX26" s="11">
        <f t="shared" ref="EX26:EX31" si="15">(ER26/6)+ER26</f>
        <v>26.846441947565545</v>
      </c>
      <c r="EY26" s="11">
        <f t="shared" ref="EY26:FC31" si="16">(ES26/6)+ES26</f>
        <v>26.846441947565545</v>
      </c>
      <c r="EZ26" s="11">
        <f t="shared" si="16"/>
        <v>32.215730337078654</v>
      </c>
      <c r="FA26" s="11">
        <f t="shared" si="16"/>
        <v>41.904503850187261</v>
      </c>
      <c r="FB26" s="11">
        <f t="shared" si="16"/>
        <v>52.434456928838955</v>
      </c>
      <c r="FC26" s="11">
        <f t="shared" si="16"/>
        <v>46.390651685393259</v>
      </c>
    </row>
    <row r="27" spans="1:159" ht="15.75" x14ac:dyDescent="0.25">
      <c r="A27" s="10">
        <v>43710</v>
      </c>
      <c r="B27" s="64">
        <v>63</v>
      </c>
      <c r="C27" s="64">
        <v>51</v>
      </c>
      <c r="D27" s="64">
        <v>43</v>
      </c>
      <c r="E27" s="64">
        <f t="shared" si="1"/>
        <v>57</v>
      </c>
      <c r="F27" s="64">
        <v>1</v>
      </c>
      <c r="G27" s="64">
        <v>14</v>
      </c>
      <c r="H27" s="64">
        <v>11</v>
      </c>
      <c r="I27" s="64">
        <v>19</v>
      </c>
      <c r="J27" s="64"/>
      <c r="K27" s="64">
        <v>55</v>
      </c>
      <c r="L27" s="99">
        <v>48</v>
      </c>
      <c r="M27" s="40">
        <v>38</v>
      </c>
      <c r="N27" s="40">
        <v>30</v>
      </c>
      <c r="O27" s="7">
        <f t="shared" si="8"/>
        <v>43</v>
      </c>
      <c r="P27" s="40">
        <v>0</v>
      </c>
      <c r="Q27" s="40">
        <v>14</v>
      </c>
      <c r="R27" s="40">
        <v>8</v>
      </c>
      <c r="S27" s="40">
        <v>16</v>
      </c>
      <c r="T27" s="40"/>
      <c r="U27" s="94">
        <v>36</v>
      </c>
      <c r="V27" s="40"/>
      <c r="W27" s="40"/>
      <c r="X27" s="40"/>
      <c r="Y27" s="40"/>
      <c r="Z27" s="40"/>
      <c r="AA27" s="40"/>
      <c r="AB27" s="40"/>
      <c r="AC27" s="40"/>
      <c r="AD27" s="40">
        <v>89</v>
      </c>
      <c r="AE27" s="40">
        <v>62</v>
      </c>
      <c r="AF27" s="40"/>
      <c r="AG27">
        <v>738</v>
      </c>
      <c r="AH27">
        <v>726</v>
      </c>
      <c r="AN27" s="13">
        <f t="shared" si="4"/>
        <v>43.199999999999996</v>
      </c>
      <c r="AO27" s="7">
        <f>((AVERAGE(K22:K27)*('Summary Page'!$C$2+1))*('Summary Page'!$C$2+1))*('Summary Page'!$C$2+1)</f>
        <v>53.298094666666657</v>
      </c>
      <c r="AP27" s="7">
        <f>((AVERAGE(K22:K27)*('Summary Page'!$C$3+1))*('Summary Page'!$C$3+1))*('Summary Page'!$C$3+1)</f>
        <v>66.691080729166686</v>
      </c>
      <c r="AQ27" s="7">
        <f>((AVERAGE(K22:K27)*('Summary Page'!$C$4+1))*('Summary Page'!$C$4+1))*('Summary Page'!$C$4+1)</f>
        <v>59.003999999999998</v>
      </c>
      <c r="AR27" s="7">
        <v>80</v>
      </c>
      <c r="AS27" s="5">
        <f t="shared" si="3"/>
        <v>28</v>
      </c>
      <c r="AT27" s="13">
        <f>AVERAGE(MAX(M27,N27),MAX(P27,Q27),MAX(R27,S27))</f>
        <v>22.666666666666668</v>
      </c>
      <c r="AU27" s="13">
        <f t="shared" si="5"/>
        <v>27.2</v>
      </c>
      <c r="AV27" s="7">
        <f>((AVERAGE(AS16:AS27,AU16:AU27)*('Summary Page'!$C$2+1))*('Summary Page'!$C$2+1))*('Summary Page'!$C$2+1)</f>
        <v>50.800661066666663</v>
      </c>
      <c r="AW27" s="7">
        <f>((AVERAGE(AS16:AS27,AU16:AU27)*('Summary Page'!$C$3+1))*('Summary Page'!$C$3+1))*('Summary Page'!$C$3+1)</f>
        <v>63.566080729166679</v>
      </c>
      <c r="AX27" s="7">
        <f>((AVERAGE(AS16:AS27,AU16:AU27)*('Summary Page'!$C$4+1))*('Summary Page'!$C$4+1))*('Summary Page'!$C$4+1)</f>
        <v>56.239199999999997</v>
      </c>
      <c r="BA27" s="40">
        <f t="shared" si="6"/>
        <v>57.599999999999994</v>
      </c>
      <c r="BB27" s="7">
        <f>((AVERAGE(B22:B27)*(+'Summary Page'!$C$2+1))*('Summary Page'!$C$2+1))*('Summary Page'!$C$2+1)</f>
        <v>99.116895999999969</v>
      </c>
      <c r="BC27" s="7">
        <f>((AVERAGE(B22:B27)*('Summary Page'!$C$3+1))*('Summary Page'!$C$3+1))*('Summary Page'!$C$3+1)</f>
        <v>124.0234375</v>
      </c>
      <c r="BD27" s="7">
        <f>((AVERAGE(B22:B27)*('Summary Page'!$C$4+1))*('Summary Page'!$C$4+1))*('Summary Page'!$C$4+1)</f>
        <v>109.72799999999999</v>
      </c>
      <c r="CQ27" s="40">
        <f t="shared" si="9"/>
        <v>45.6</v>
      </c>
      <c r="CR27" s="7">
        <f>((AVERAGE(C22:C27)*('Summary Page'!$C$2+1))*('Summary Page'!$C$2+1))*('Summary Page'!$C$2+1)</f>
        <v>73.101962666666651</v>
      </c>
      <c r="CS27" s="7">
        <f>((AVERAGE(C22:C27)*('Summary Page'!$C$3+1))*('Summary Page'!$C$3+1))*('Summary Page'!$C$3+1)</f>
        <v>91.471354166666686</v>
      </c>
      <c r="CT27" s="8">
        <f>((AVERAGE(C22:C27)*('Summary Page'!$C$4+1))*('Summary Page'!$C$4+1))*('Summary Page'!$C$4+1)</f>
        <v>80.927999999999997</v>
      </c>
      <c r="CW27" s="40">
        <f t="shared" si="10"/>
        <v>36</v>
      </c>
      <c r="CX27" s="7">
        <f>((AVERAGE(D22:D27)*('Summary Page'!$C$2+1))*('Summary Page'!$C$2+1))*('Summary Page'!$C$2+1)</f>
        <v>58.013301333333317</v>
      </c>
      <c r="CY27" s="7">
        <f>((AVERAGE(D22:D27)*('Summary Page'!$C$3+1))*('Summary Page'!$C$3+1))*('Summary Page'!$C$3+1)</f>
        <v>72.591145833333314</v>
      </c>
      <c r="CZ27" s="8">
        <f>((AVERAGE(D22:D27)*('Summary Page'!$C$4+1))*('Summary Page'!$C$4+1))*('Summary Page'!$C$4+1)</f>
        <v>64.22399999999999</v>
      </c>
      <c r="DO27" s="40"/>
      <c r="DP27" s="7"/>
      <c r="DQ27" s="7"/>
      <c r="DR27" s="8"/>
      <c r="DU27" s="40"/>
      <c r="DV27" s="7"/>
      <c r="DW27" s="7"/>
      <c r="DX27" s="8"/>
      <c r="EA27" s="40">
        <f t="shared" si="11"/>
        <v>9.6</v>
      </c>
      <c r="EB27" s="7">
        <f>((AVERAGE(H22:H27)*('Summary Page'!$C$2+1))*('Summary Page'!$C$2+1))*('Summary Page'!$C$2+1)</f>
        <v>18.730751999999995</v>
      </c>
      <c r="EC27" s="7">
        <f>((AVERAGE(H22:H27)*('Summary Page'!$C$3+1))*('Summary Page'!$C$3+1))*('Summary Page'!$C$3+1)</f>
        <v>23.4375</v>
      </c>
      <c r="ED27" s="8">
        <f>((AVERAGE(H22:H27)*('Summary Page'!$C$4+1))*('Summary Page'!$C$4+1))*('Summary Page'!$C$4+1)</f>
        <v>20.735999999999997</v>
      </c>
      <c r="EG27" s="40">
        <f t="shared" si="12"/>
        <v>19.2</v>
      </c>
      <c r="EH27" s="7">
        <f>((AVERAGE(I22:I27)*('Summary Page'!$C$2+1))*('Summary Page'!$C$2+1))*('Summary Page'!$C$2+1)</f>
        <v>51.249418666666656</v>
      </c>
      <c r="EI27" s="7">
        <f>((AVERAGE(I22:I27)*('Summary Page'!$C$3+1))*('Summary Page'!$C$3+1))*('Summary Page'!$C$3+1)</f>
        <v>64.127604166666686</v>
      </c>
      <c r="EJ27" s="8">
        <f>((AVERAGE(I22:I27)*('Summary Page'!$C$4+1))*('Summary Page'!$C$4+1))*('Summary Page'!$C$4+1)</f>
        <v>56.73599999999999</v>
      </c>
      <c r="EM27" s="40">
        <f t="shared" si="7"/>
        <v>74.399999999999991</v>
      </c>
      <c r="EN27" s="7">
        <f>((AVERAGE(AD22:AD27)*('Summary Page'!$C$2+1))*('Summary Page'!$C$2+1))*('Summary Page'!$C$2+1)</f>
        <v>127.21302399999998</v>
      </c>
      <c r="EO27" s="7">
        <f>((AVERAGE(AD22:AD27)*('Summary Page'!$C$3+1))*('Summary Page'!$C$3+1))*('Summary Page'!$C$3+1)</f>
        <v>159.1796875</v>
      </c>
      <c r="EP27" s="7">
        <f>((AVERAGE(AD22:AD27)*('Summary Page'!$C$4+1))*('Summary Page'!$C$4+1))*('Summary Page'!$C$4+1)</f>
        <v>140.83199999999997</v>
      </c>
      <c r="EQ27" s="7">
        <v>100</v>
      </c>
      <c r="ER27" s="16">
        <f t="shared" si="13"/>
        <v>22.112359550561798</v>
      </c>
      <c r="ES27" s="16">
        <f t="shared" si="13"/>
        <v>21.752808988764045</v>
      </c>
      <c r="ET27" s="7">
        <f t="shared" si="14"/>
        <v>26.103370786516852</v>
      </c>
      <c r="EU27" s="7">
        <f>((AVERAGE(ER22:ER27)*('Summary Page'!$C$2+1))*('Summary Page'!$C$2+1))*('Summary Page'!$C$2+1)</f>
        <v>35.216619865168539</v>
      </c>
      <c r="EV27" s="7">
        <f>((AVERAGE(ER22:ER27)*('Summary Page'!$C$3+1))*('Summary Page'!$C$3+1))*('Summary Page'!$C$3+1)</f>
        <v>44.06601123595506</v>
      </c>
      <c r="EW27" s="7">
        <f>((AVERAGE(ER22:ER27)*('Summary Page'!$C$4+1))*('Summary Page'!$C$4+1))*('Summary Page'!$C$4+1)</f>
        <v>38.986786516853932</v>
      </c>
      <c r="EX27" s="11">
        <f t="shared" si="15"/>
        <v>25.797752808988765</v>
      </c>
      <c r="EY27" s="11">
        <f t="shared" si="16"/>
        <v>25.378277153558052</v>
      </c>
      <c r="EZ27" s="11">
        <f t="shared" si="16"/>
        <v>30.453932584269658</v>
      </c>
      <c r="FA27" s="11">
        <f t="shared" si="16"/>
        <v>41.086056509363296</v>
      </c>
      <c r="FB27" s="11">
        <f t="shared" si="16"/>
        <v>51.410346441947567</v>
      </c>
      <c r="FC27" s="11">
        <f t="shared" si="16"/>
        <v>45.484584269662918</v>
      </c>
    </row>
    <row r="28" spans="1:159" ht="15.75" x14ac:dyDescent="0.25">
      <c r="A28" s="10">
        <v>43740</v>
      </c>
      <c r="B28" s="64">
        <v>61</v>
      </c>
      <c r="C28" s="64">
        <v>64</v>
      </c>
      <c r="D28" s="64">
        <v>58</v>
      </c>
      <c r="E28" s="64">
        <f t="shared" si="1"/>
        <v>62.5</v>
      </c>
      <c r="F28" s="64">
        <v>0</v>
      </c>
      <c r="G28" s="64">
        <v>15</v>
      </c>
      <c r="H28" s="64">
        <v>11</v>
      </c>
      <c r="I28" s="64">
        <v>17</v>
      </c>
      <c r="J28" s="64"/>
      <c r="K28" s="64">
        <v>52</v>
      </c>
      <c r="L28" s="64">
        <v>67</v>
      </c>
      <c r="M28" s="64">
        <v>54</v>
      </c>
      <c r="N28" s="64">
        <v>44</v>
      </c>
      <c r="O28" s="64">
        <f t="shared" si="8"/>
        <v>60.5</v>
      </c>
      <c r="P28" s="64">
        <v>1</v>
      </c>
      <c r="Q28" s="64">
        <v>26</v>
      </c>
      <c r="R28" s="64">
        <v>9</v>
      </c>
      <c r="S28" s="64">
        <v>15</v>
      </c>
      <c r="T28" s="64"/>
      <c r="U28" s="64">
        <v>44</v>
      </c>
      <c r="V28" s="13"/>
      <c r="W28" s="13"/>
      <c r="X28" s="13"/>
      <c r="Y28" s="13"/>
      <c r="Z28" s="13"/>
      <c r="AA28" s="13"/>
      <c r="AB28" s="13"/>
      <c r="AC28" s="13"/>
      <c r="AD28" s="40">
        <v>99</v>
      </c>
      <c r="AE28" s="40">
        <v>94</v>
      </c>
      <c r="AF28" s="40"/>
      <c r="AG28">
        <v>645</v>
      </c>
      <c r="AH28">
        <v>647</v>
      </c>
      <c r="AN28" s="13">
        <f t="shared" si="4"/>
        <v>52.8</v>
      </c>
      <c r="AO28" s="7">
        <f>((AVERAGE(K23:K28)*('Summary Page'!$C$2+1))*('Summary Page'!$C$2+1))*('Summary Page'!$C$2+1)</f>
        <v>60.224570666666658</v>
      </c>
      <c r="AP28" s="7">
        <f>((AVERAGE(K23:K28)*('Summary Page'!$C$3+1))*('Summary Page'!$C$3+1))*('Summary Page'!$C$3+1)</f>
        <v>75.358072916666686</v>
      </c>
      <c r="AQ28" s="7">
        <f>((AVERAGE(K23:K28)*('Summary Page'!$C$4+1))*('Summary Page'!$C$4+1))*('Summary Page'!$C$4+1)</f>
        <v>66.671999999999997</v>
      </c>
      <c r="AR28" s="7">
        <v>80</v>
      </c>
      <c r="AS28" s="5">
        <f t="shared" si="3"/>
        <v>32</v>
      </c>
      <c r="AT28" s="13">
        <f>AVERAGE(MAX(M28,N28),MAX(P28,Q28),MAX(R28,S28))</f>
        <v>31.666666666666668</v>
      </c>
      <c r="AU28" s="13">
        <f t="shared" si="5"/>
        <v>38</v>
      </c>
      <c r="AV28" s="7">
        <f>((AVERAGE(AS17:AS28,AU17:AU28)*('Summary Page'!$C$2+1))*('Summary Page'!$C$2+1))*('Summary Page'!$C$2+1)</f>
        <v>50.719938258823525</v>
      </c>
      <c r="AW28" s="7">
        <f>((AVERAGE(AS17:AS28,AU17:AU28)*('Summary Page'!$C$3+1))*('Summary Page'!$C$3+1))*('Summary Page'!$C$3+1)</f>
        <v>63.465073529411775</v>
      </c>
      <c r="AX28" s="7">
        <f>((AVERAGE(AS17:AS28,AU17:AU28)*('Summary Page'!$C$4+1))*('Summary Page'!$C$4+1))*('Summary Page'!$C$4+1)</f>
        <v>56.149835294117658</v>
      </c>
      <c r="BA28" s="40">
        <f t="shared" si="6"/>
        <v>80.399999999999991</v>
      </c>
      <c r="BB28" s="7">
        <f>((AVERAGE(B23:B28)*(+'Summary Page'!$C$2+1))*('Summary Page'!$C$2+1))*('Summary Page'!$C$2+1)</f>
        <v>97.555999999999983</v>
      </c>
      <c r="BC28" s="7">
        <f>((AVERAGE(B23:B28)*('Summary Page'!$C$3+1))*('Summary Page'!$C$3+1))*('Summary Page'!$C$3+1)</f>
        <v>122.0703125</v>
      </c>
      <c r="BD28" s="7">
        <f>((AVERAGE(B23:B28)*('Summary Page'!$C$4+1))*('Summary Page'!$C$4+1))*('Summary Page'!$C$4+1)</f>
        <v>108</v>
      </c>
      <c r="CQ28" s="40">
        <f t="shared" si="9"/>
        <v>64.8</v>
      </c>
      <c r="CR28" s="7">
        <f>((AVERAGE(C23:C28)*('Summary Page'!$C$2+1))*('Summary Page'!$C$2+1))*('Summary Page'!$C$2+1)</f>
        <v>75.443306666666643</v>
      </c>
      <c r="CS28" s="7">
        <f>((AVERAGE(C23:C28)*('Summary Page'!$C$3+1))*('Summary Page'!$C$3+1))*('Summary Page'!$C$3+1)</f>
        <v>94.401041666666686</v>
      </c>
      <c r="CT28" s="8">
        <f>((AVERAGE(C23:C28)*('Summary Page'!$C$4+1))*('Summary Page'!$C$4+1))*('Summary Page'!$C$4+1)</f>
        <v>83.52</v>
      </c>
      <c r="CW28" s="40">
        <f t="shared" si="10"/>
        <v>52.8</v>
      </c>
      <c r="CX28" s="7">
        <f>((AVERAGE(D23:D28)*('Summary Page'!$C$2+1))*('Summary Page'!$C$2+1))*('Summary Page'!$C$2+1)</f>
        <v>61.655391999999992</v>
      </c>
      <c r="CY28" s="7">
        <f>((AVERAGE(D23:D28)*('Summary Page'!$C$3+1))*('Summary Page'!$C$3+1))*('Summary Page'!$C$3+1)</f>
        <v>77.1484375</v>
      </c>
      <c r="CZ28" s="8">
        <f>((AVERAGE(D23:D28)*('Summary Page'!$C$4+1))*('Summary Page'!$C$4+1))*('Summary Page'!$C$4+1)</f>
        <v>68.255999999999986</v>
      </c>
      <c r="DO28" s="40"/>
      <c r="DP28" s="7"/>
      <c r="DQ28" s="7"/>
      <c r="DR28" s="8"/>
      <c r="DU28" s="40"/>
      <c r="DV28" s="7"/>
      <c r="DW28" s="7"/>
      <c r="DX28" s="8"/>
      <c r="EA28" s="40">
        <f t="shared" si="11"/>
        <v>10.799999999999999</v>
      </c>
      <c r="EB28" s="7">
        <f>((AVERAGE(H23:H28)*('Summary Page'!$C$2+1))*('Summary Page'!$C$2+1))*('Summary Page'!$C$2+1)</f>
        <v>18.470602666666665</v>
      </c>
      <c r="EC28" s="7">
        <f>((AVERAGE(H23:H28)*('Summary Page'!$C$3+1))*('Summary Page'!$C$3+1))*('Summary Page'!$C$3+1)</f>
        <v>23.111979166666671</v>
      </c>
      <c r="ED28" s="8">
        <f>((AVERAGE(H23:H28)*('Summary Page'!$C$4+1))*('Summary Page'!$C$4+1))*('Summary Page'!$C$4+1)</f>
        <v>20.447999999999997</v>
      </c>
      <c r="EG28" s="40">
        <f t="shared" si="12"/>
        <v>18</v>
      </c>
      <c r="EH28" s="7">
        <f>((AVERAGE(I23:I28)*('Summary Page'!$C$2+1))*('Summary Page'!$C$2+1))*('Summary Page'!$C$2+1)</f>
        <v>45.526133333333334</v>
      </c>
      <c r="EI28" s="7">
        <f>((AVERAGE(I23:I28)*('Summary Page'!$C$3+1))*('Summary Page'!$C$3+1))*('Summary Page'!$C$3+1)</f>
        <v>56.966145833333343</v>
      </c>
      <c r="EJ28" s="8">
        <f>((AVERAGE(I23:I28)*('Summary Page'!$C$4+1))*('Summary Page'!$C$4+1))*('Summary Page'!$C$4+1)</f>
        <v>50.4</v>
      </c>
      <c r="EM28" s="40">
        <f t="shared" si="7"/>
        <v>112.8</v>
      </c>
      <c r="EN28" s="7">
        <f>((AVERAGE(AD23:AD28)*('Summary Page'!$C$2+1))*('Summary Page'!$C$2+1))*('Summary Page'!$C$2+1)</f>
        <v>132.67615999999998</v>
      </c>
      <c r="EO28" s="7">
        <f>((AVERAGE(AD23:AD28)*('Summary Page'!$C$3+1))*('Summary Page'!$C$3+1))*('Summary Page'!$C$3+1)</f>
        <v>166.015625</v>
      </c>
      <c r="EP28" s="7">
        <f>((AVERAGE(AD23:AD28)*('Summary Page'!$C$4+1))*('Summary Page'!$C$4+1))*('Summary Page'!$C$4+1)</f>
        <v>146.88</v>
      </c>
      <c r="EQ28" s="7">
        <v>100</v>
      </c>
      <c r="ER28" s="16">
        <f t="shared" si="13"/>
        <v>19.325842696629213</v>
      </c>
      <c r="ES28" s="16">
        <f t="shared" si="13"/>
        <v>19.385767790262172</v>
      </c>
      <c r="ET28" s="7">
        <f t="shared" si="14"/>
        <v>23.262921348314606</v>
      </c>
      <c r="EU28" s="7">
        <f>((AVERAGE(ER23:ER28)*('Summary Page'!$C$2+1))*('Summary Page'!$C$2+1))*('Summary Page'!$C$2+1)</f>
        <v>33.53295676404494</v>
      </c>
      <c r="EV28" s="7">
        <f>((AVERAGE(ER23:ER28)*('Summary Page'!$C$3+1))*('Summary Page'!$C$3+1))*('Summary Page'!$C$3+1)</f>
        <v>41.959269662921351</v>
      </c>
      <c r="EW28" s="7">
        <f>((AVERAGE(ER23:ER28)*('Summary Page'!$C$4+1))*('Summary Page'!$C$4+1))*('Summary Page'!$C$4+1)</f>
        <v>37.122876404494384</v>
      </c>
      <c r="EX28" s="11">
        <f t="shared" si="15"/>
        <v>22.546816479400746</v>
      </c>
      <c r="EY28" s="11">
        <f t="shared" si="16"/>
        <v>22.6167290886392</v>
      </c>
      <c r="EZ28" s="11">
        <f t="shared" si="16"/>
        <v>27.14007490636704</v>
      </c>
      <c r="FA28" s="11">
        <f t="shared" si="16"/>
        <v>39.121782891385763</v>
      </c>
      <c r="FB28" s="11">
        <f t="shared" si="16"/>
        <v>48.952481273408239</v>
      </c>
      <c r="FC28" s="11">
        <f t="shared" si="16"/>
        <v>43.310022471910116</v>
      </c>
    </row>
    <row r="29" spans="1:159" ht="15.75" x14ac:dyDescent="0.25">
      <c r="A29" s="10">
        <v>43773</v>
      </c>
      <c r="B29" s="64">
        <v>71</v>
      </c>
      <c r="C29" s="64">
        <v>77</v>
      </c>
      <c r="D29" s="64">
        <v>73</v>
      </c>
      <c r="E29" s="64">
        <f t="shared" si="1"/>
        <v>74</v>
      </c>
      <c r="F29" s="64">
        <v>1</v>
      </c>
      <c r="G29" s="64">
        <v>15</v>
      </c>
      <c r="H29" s="64">
        <v>10</v>
      </c>
      <c r="I29" s="64">
        <v>16</v>
      </c>
      <c r="J29" s="64"/>
      <c r="K29" s="64">
        <v>59</v>
      </c>
      <c r="L29" s="64">
        <v>53</v>
      </c>
      <c r="M29" s="64">
        <v>29</v>
      </c>
      <c r="N29" s="64">
        <v>23</v>
      </c>
      <c r="O29" s="64">
        <f t="shared" si="8"/>
        <v>41</v>
      </c>
      <c r="P29" s="64">
        <v>1</v>
      </c>
      <c r="Q29" s="64">
        <v>24</v>
      </c>
      <c r="R29" s="64">
        <v>9</v>
      </c>
      <c r="S29" s="64">
        <v>15</v>
      </c>
      <c r="T29" s="64"/>
      <c r="U29" s="64">
        <v>34</v>
      </c>
      <c r="V29" s="13"/>
      <c r="W29" s="13"/>
      <c r="X29" s="13"/>
      <c r="Y29" s="13"/>
      <c r="Z29" s="13"/>
      <c r="AA29" s="13"/>
      <c r="AB29" s="13"/>
      <c r="AC29" s="13"/>
      <c r="AD29" s="40">
        <v>116</v>
      </c>
      <c r="AE29" s="40">
        <v>73</v>
      </c>
      <c r="AF29" s="40"/>
      <c r="AG29">
        <v>617</v>
      </c>
      <c r="AH29">
        <v>637</v>
      </c>
      <c r="AN29" s="13">
        <f t="shared" si="4"/>
        <v>40.799999999999997</v>
      </c>
      <c r="AO29" s="7">
        <f>((AVERAGE(K24:K29)*('Summary Page'!$C$2+1))*('Summary Page'!$C$2+1))*('Summary Page'!$C$2+1)</f>
        <v>68.744461333333319</v>
      </c>
      <c r="AP29" s="7">
        <f>((AVERAGE(K24:K29)*('Summary Page'!$C$3+1))*('Summary Page'!$C$3+1))*('Summary Page'!$C$3+1)</f>
        <v>86.018880208333314</v>
      </c>
      <c r="AQ29" s="7">
        <f>((AVERAGE(K24:K29)*('Summary Page'!$C$4+1))*('Summary Page'!$C$4+1))*('Summary Page'!$C$4+1)</f>
        <v>76.103999999999985</v>
      </c>
      <c r="AR29" s="7">
        <v>80</v>
      </c>
      <c r="AS29" s="5">
        <f t="shared" si="3"/>
        <v>36</v>
      </c>
      <c r="AT29" s="13">
        <f>AVERAGE(MAX(M29,N29),MAX(P29,Q29),MAX(R29,S29))</f>
        <v>22.666666666666668</v>
      </c>
      <c r="AU29" s="13">
        <f t="shared" si="5"/>
        <v>27.2</v>
      </c>
      <c r="AV29" s="7">
        <f>((AVERAGE(AS18:AS29,AU18:AU29)*('Summary Page'!$C$2+1))*('Summary Page'!$C$2+1))*('Summary Page'!$C$2+1)</f>
        <v>50.260851200000012</v>
      </c>
      <c r="AW29" s="7">
        <f>((AVERAGE(AS18:AS29,AU18:AU29)*('Summary Page'!$C$3+1))*('Summary Page'!$C$3+1))*('Summary Page'!$C$3+1)</f>
        <v>62.890625000000014</v>
      </c>
      <c r="AX29" s="7">
        <f>((AVERAGE(AS18:AS29,AU18:AU29)*('Summary Page'!$C$4+1))*('Summary Page'!$C$4+1))*('Summary Page'!$C$4+1)</f>
        <v>55.641600000000011</v>
      </c>
      <c r="BA29" s="40">
        <f t="shared" si="6"/>
        <v>63.599999999999994</v>
      </c>
      <c r="BB29" s="7">
        <f>((AVERAGE(B24:B29)*(+'Summary Page'!$C$2+1))*('Summary Page'!$C$2+1))*('Summary Page'!$C$2+1)</f>
        <v>97.295850666666638</v>
      </c>
      <c r="BC29" s="7">
        <f>((AVERAGE(B24:B29)*('Summary Page'!$C$3+1))*('Summary Page'!$C$3+1))*('Summary Page'!$C$3+1)</f>
        <v>121.74479166666669</v>
      </c>
      <c r="BD29" s="7">
        <f>((AVERAGE(B24:B29)*('Summary Page'!$C$4+1))*('Summary Page'!$C$4+1))*('Summary Page'!$C$4+1)</f>
        <v>107.71199999999999</v>
      </c>
      <c r="CQ29" s="40">
        <f t="shared" si="9"/>
        <v>34.799999999999997</v>
      </c>
      <c r="CR29" s="7">
        <f>((AVERAGE(C24:C29)*('Summary Page'!$C$2+1))*('Summary Page'!$C$2+1))*('Summary Page'!$C$2+1)</f>
        <v>82.72748799999998</v>
      </c>
      <c r="CS29" s="7">
        <f>((AVERAGE(C24:C29)*('Summary Page'!$C$3+1))*('Summary Page'!$C$3+1))*('Summary Page'!$C$3+1)</f>
        <v>103.515625</v>
      </c>
      <c r="CT29" s="8">
        <f>((AVERAGE(C24:C29)*('Summary Page'!$C$4+1))*('Summary Page'!$C$4+1))*('Summary Page'!$C$4+1)</f>
        <v>91.583999999999989</v>
      </c>
      <c r="CW29" s="40">
        <f t="shared" si="10"/>
        <v>27.599999999999998</v>
      </c>
      <c r="CX29" s="7">
        <f>((AVERAGE(D24:D29)*('Summary Page'!$C$2+1))*('Summary Page'!$C$2+1))*('Summary Page'!$C$2+1)</f>
        <v>70.760618666666659</v>
      </c>
      <c r="CY29" s="7">
        <f>((AVERAGE(D24:D29)*('Summary Page'!$C$3+1))*('Summary Page'!$C$3+1))*('Summary Page'!$C$3+1)</f>
        <v>88.541666666666686</v>
      </c>
      <c r="CZ29" s="8">
        <f>((AVERAGE(D24:D29)*('Summary Page'!$C$4+1))*('Summary Page'!$C$4+1))*('Summary Page'!$C$4+1)</f>
        <v>78.335999999999999</v>
      </c>
      <c r="DO29" s="40"/>
      <c r="DP29" s="7"/>
      <c r="DQ29" s="7"/>
      <c r="DR29" s="8"/>
      <c r="DU29" s="40"/>
      <c r="DV29" s="7"/>
      <c r="DW29" s="7"/>
      <c r="DX29" s="8"/>
      <c r="EA29" s="40">
        <f t="shared" si="11"/>
        <v>10.799999999999999</v>
      </c>
      <c r="EB29" s="7">
        <f>((AVERAGE(H24:H29)*('Summary Page'!$C$2+1))*('Summary Page'!$C$2+1))*('Summary Page'!$C$2+1)</f>
        <v>17.690154666666665</v>
      </c>
      <c r="EC29" s="7">
        <f>((AVERAGE(H24:H29)*('Summary Page'!$C$3+1))*('Summary Page'!$C$3+1))*('Summary Page'!$C$3+1)</f>
        <v>22.135416666666671</v>
      </c>
      <c r="ED29" s="8">
        <f>((AVERAGE(H24:H29)*('Summary Page'!$C$4+1))*('Summary Page'!$C$4+1))*('Summary Page'!$C$4+1)</f>
        <v>19.584</v>
      </c>
      <c r="EG29" s="40">
        <f t="shared" si="12"/>
        <v>18</v>
      </c>
      <c r="EH29" s="7">
        <f>((AVERAGE(I24:I29)*('Summary Page'!$C$2+1))*('Summary Page'!$C$2+1))*('Summary Page'!$C$2+1)</f>
        <v>39.282549333333328</v>
      </c>
      <c r="EI29" s="7">
        <f>((AVERAGE(I24:I29)*('Summary Page'!$C$3+1))*('Summary Page'!$C$3+1))*('Summary Page'!$C$3+1)</f>
        <v>49.153645833333343</v>
      </c>
      <c r="EJ29" s="8">
        <f>((AVERAGE(I24:I29)*('Summary Page'!$C$4+1))*('Summary Page'!$C$4+1))*('Summary Page'!$C$4+1)</f>
        <v>43.487999999999992</v>
      </c>
      <c r="EM29" s="40">
        <f t="shared" si="7"/>
        <v>87.6</v>
      </c>
      <c r="EN29" s="7">
        <f>((AVERAGE(AD24:AD29)*('Summary Page'!$C$2+1))*('Summary Page'!$C$2+1))*('Summary Page'!$C$2+1)</f>
        <v>140.74078933333331</v>
      </c>
      <c r="EO29" s="7">
        <f>((AVERAGE(AD24:AD29)*('Summary Page'!$C$3+1))*('Summary Page'!$C$3+1))*('Summary Page'!$C$3+1)</f>
        <v>176.10677083333337</v>
      </c>
      <c r="EP29" s="7">
        <f>((AVERAGE(AD24:AD29)*('Summary Page'!$C$4+1))*('Summary Page'!$C$4+1))*('Summary Page'!$C$4+1)</f>
        <v>155.80799999999999</v>
      </c>
      <c r="EQ29" s="7">
        <v>100</v>
      </c>
      <c r="ER29" s="16">
        <f t="shared" ref="ER29:ER50" si="17">AG29/7.5/0.89/5</f>
        <v>18.486891385767791</v>
      </c>
      <c r="ES29" s="16">
        <f t="shared" ref="ES29:ES50" si="18">AH29/7.5/0.89/5</f>
        <v>19.08614232209738</v>
      </c>
      <c r="ET29" s="7">
        <f t="shared" si="14"/>
        <v>22.903370786516856</v>
      </c>
      <c r="EU29" s="7">
        <f>((AVERAGE(ER24:ER29)*('Summary Page'!$C$2+1))*('Summary Page'!$C$2+1))*('Summary Page'!$C$2+1)</f>
        <v>32.363746277153552</v>
      </c>
      <c r="EV29" s="7">
        <f>((AVERAGE(ER24:ER29)*('Summary Page'!$C$3+1))*('Summary Page'!$C$3+1))*('Summary Page'!$C$3+1)</f>
        <v>40.49625468164794</v>
      </c>
      <c r="EW29" s="7">
        <f>((AVERAGE(ER24:ER29)*('Summary Page'!$C$4+1))*('Summary Page'!$C$4+1))*('Summary Page'!$C$4+1)</f>
        <v>35.82849438202247</v>
      </c>
      <c r="EX29" s="11">
        <f t="shared" si="15"/>
        <v>21.568039950062424</v>
      </c>
      <c r="EY29" s="11">
        <f t="shared" si="16"/>
        <v>22.267166042446945</v>
      </c>
      <c r="EZ29" s="11">
        <f t="shared" si="16"/>
        <v>26.720599250936331</v>
      </c>
      <c r="FA29" s="11">
        <f t="shared" si="16"/>
        <v>37.75770399001248</v>
      </c>
      <c r="FB29" s="11">
        <f t="shared" si="16"/>
        <v>47.245630461922595</v>
      </c>
      <c r="FC29" s="11">
        <f t="shared" si="16"/>
        <v>41.799910112359548</v>
      </c>
    </row>
    <row r="30" spans="1:159" ht="15.75" x14ac:dyDescent="0.25">
      <c r="A30" s="10">
        <v>43801</v>
      </c>
      <c r="B30" s="64">
        <v>75</v>
      </c>
      <c r="C30" s="64">
        <v>62</v>
      </c>
      <c r="D30" s="64">
        <v>55</v>
      </c>
      <c r="E30" s="64">
        <f t="shared" si="1"/>
        <v>68.5</v>
      </c>
      <c r="F30" s="64">
        <v>0</v>
      </c>
      <c r="G30" s="64">
        <v>0</v>
      </c>
      <c r="H30" s="64">
        <v>13</v>
      </c>
      <c r="I30" s="64">
        <v>32</v>
      </c>
      <c r="J30" s="64"/>
      <c r="K30" s="64">
        <v>56</v>
      </c>
      <c r="L30" s="64">
        <v>55</v>
      </c>
      <c r="M30" s="64">
        <v>42</v>
      </c>
      <c r="N30" s="64">
        <v>37</v>
      </c>
      <c r="O30" s="64">
        <f t="shared" si="8"/>
        <v>48.5</v>
      </c>
      <c r="P30" s="64">
        <v>0</v>
      </c>
      <c r="Q30" s="64">
        <v>0</v>
      </c>
      <c r="R30" s="64">
        <v>8</v>
      </c>
      <c r="S30" s="64">
        <v>47</v>
      </c>
      <c r="T30" s="64"/>
      <c r="U30" s="64">
        <v>40</v>
      </c>
      <c r="V30" s="13"/>
      <c r="W30" s="13"/>
      <c r="X30" s="13"/>
      <c r="Y30" s="13"/>
      <c r="Z30" s="13"/>
      <c r="AA30" s="13"/>
      <c r="AB30" s="13"/>
      <c r="AC30" s="13"/>
      <c r="AD30" s="40">
        <v>110</v>
      </c>
      <c r="AE30" s="40">
        <v>83</v>
      </c>
      <c r="AF30" s="40"/>
      <c r="AG30" s="40">
        <v>685</v>
      </c>
      <c r="AH30">
        <v>522</v>
      </c>
      <c r="AN30" s="13">
        <f t="shared" si="4"/>
        <v>48</v>
      </c>
      <c r="AO30" s="7">
        <f>((AVERAGE(K25:K30)*('Summary Page'!$C$2+1))*('Summary Page'!$C$2+1))*('Summary Page'!$C$2+1)</f>
        <v>76.744053333333312</v>
      </c>
      <c r="AP30" s="7">
        <f>((AVERAGE(K25:K30)*('Summary Page'!$C$3+1))*('Summary Page'!$C$3+1))*('Summary Page'!$C$3+1)</f>
        <v>96.028645833333314</v>
      </c>
      <c r="AQ30" s="7">
        <f>((AVERAGE(K25:K30)*('Summary Page'!$C$4+1))*('Summary Page'!$C$4+1))*('Summary Page'!$C$4+1)</f>
        <v>84.95999999999998</v>
      </c>
      <c r="AR30" s="7">
        <v>80</v>
      </c>
      <c r="AS30" s="5">
        <f t="shared" ref="AS30:AS35" si="19">AVERAGE(MAX(C30,D30),MAX(H30,I30))</f>
        <v>47</v>
      </c>
      <c r="AT30" s="13">
        <f t="shared" ref="AT30:AT35" si="20">AVERAGE(MAX(M30,N30),MAX(R30,S30))</f>
        <v>44.5</v>
      </c>
      <c r="AU30" s="13">
        <f t="shared" ref="AU30:AU35" si="21">AT30*1.2</f>
        <v>53.4</v>
      </c>
      <c r="AV30" s="7">
        <f>((AVERAGE(AS19:AS30,AU19:AU30)*('Summary Page'!$C$2+1))*('Summary Page'!$C$2+1))*('Summary Page'!$C$2+1)</f>
        <v>52.960927438596485</v>
      </c>
      <c r="AW30" s="7">
        <f>((AVERAGE(AS19:AS30,AU19:AU30)*('Summary Page'!$C$3+1))*('Summary Page'!$C$3+1))*('Summary Page'!$C$3+1)</f>
        <v>66.269188596491233</v>
      </c>
      <c r="AX30" s="7">
        <f>((AVERAGE(AS19:AS30,AU19:AU30)*('Summary Page'!$C$4+1))*('Summary Page'!$C$4+1))*('Summary Page'!$C$4+1)</f>
        <v>58.630736842105271</v>
      </c>
      <c r="BA30" s="40">
        <f>L30*1.2</f>
        <v>66</v>
      </c>
      <c r="BB30" s="7">
        <f>((AVERAGE(B25:B30)*(+'Summary Page'!$C$2+1))*('Summary Page'!$C$2+1))*('Summary Page'!$C$2+1)</f>
        <v>99.637194666666659</v>
      </c>
      <c r="BC30" s="7">
        <f>((AVERAGE(B25:B30)*('Summary Page'!$C$3+1))*('Summary Page'!$C$3+1))*('Summary Page'!$C$3+1)</f>
        <v>124.67447916666669</v>
      </c>
      <c r="BD30" s="7">
        <f>((AVERAGE(B25:B30)*('Summary Page'!$C$4+1))*('Summary Page'!$C$4+1))*('Summary Page'!$C$4+1)</f>
        <v>110.30399999999999</v>
      </c>
      <c r="CQ30" s="40">
        <f t="shared" si="9"/>
        <v>50.4</v>
      </c>
      <c r="CR30" s="7">
        <f>((AVERAGE(C25:C30)*('Summary Page'!$C$2+1))*('Summary Page'!$C$2+1))*('Summary Page'!$C$2+1)</f>
        <v>87.410175999999979</v>
      </c>
      <c r="CS30" s="7">
        <f>((AVERAGE(C25:C30)*('Summary Page'!$C$3+1))*('Summary Page'!$C$3+1))*('Summary Page'!$C$3+1)</f>
        <v>109.375</v>
      </c>
      <c r="CT30" s="8">
        <f>((AVERAGE(C25:C30)*('Summary Page'!$C$4+1))*('Summary Page'!$C$4+1))*('Summary Page'!$C$4+1)</f>
        <v>96.768000000000001</v>
      </c>
      <c r="CW30" s="40">
        <f t="shared" si="10"/>
        <v>44.4</v>
      </c>
      <c r="CX30" s="7">
        <f>((AVERAGE(D25:D30)*('Summary Page'!$C$2+1))*('Summary Page'!$C$2+1))*('Summary Page'!$C$2+1)</f>
        <v>76.223754666666665</v>
      </c>
      <c r="CY30" s="7">
        <f>((AVERAGE(D25:D30)*('Summary Page'!$C$3+1))*('Summary Page'!$C$3+1))*('Summary Page'!$C$3+1)</f>
        <v>95.377604166666686</v>
      </c>
      <c r="CZ30" s="8">
        <f>((AVERAGE(D25:D30)*('Summary Page'!$C$4+1))*('Summary Page'!$C$4+1))*('Summary Page'!$C$4+1)</f>
        <v>84.383999999999986</v>
      </c>
      <c r="DO30" s="40"/>
      <c r="DP30" s="7"/>
      <c r="DQ30" s="7"/>
      <c r="DR30" s="8"/>
      <c r="DU30" s="40"/>
      <c r="DV30" s="7"/>
      <c r="DW30" s="7"/>
      <c r="DX30" s="8"/>
      <c r="EA30" s="40">
        <f t="shared" si="11"/>
        <v>9.6</v>
      </c>
      <c r="EB30" s="7">
        <f>((AVERAGE(H25:H30)*('Summary Page'!$C$2+1))*('Summary Page'!$C$2+1))*('Summary Page'!$C$2+1)</f>
        <v>18.210453333333326</v>
      </c>
      <c r="EC30" s="7">
        <f>((AVERAGE(H25:H30)*('Summary Page'!$C$3+1))*('Summary Page'!$C$3+1))*('Summary Page'!$C$3+1)</f>
        <v>22.786458333333329</v>
      </c>
      <c r="ED30" s="8">
        <f>((AVERAGE(H25:H30)*('Summary Page'!$C$4+1))*('Summary Page'!$C$4+1))*('Summary Page'!$C$4+1)</f>
        <v>20.159999999999997</v>
      </c>
      <c r="EG30" s="40">
        <f t="shared" si="12"/>
        <v>56.4</v>
      </c>
      <c r="EH30" s="7">
        <f>((AVERAGE(I25:I30)*('Summary Page'!$C$2+1))*('Summary Page'!$C$2+1))*('Summary Page'!$C$2+1)</f>
        <v>38.241951999999998</v>
      </c>
      <c r="EI30" s="7">
        <f>((AVERAGE(I25:I30)*('Summary Page'!$C$3+1))*('Summary Page'!$C$3+1))*('Summary Page'!$C$3+1)</f>
        <v>47.8515625</v>
      </c>
      <c r="EJ30" s="8">
        <f>((AVERAGE(I25:I30)*('Summary Page'!$C$4+1))*('Summary Page'!$C$4+1))*('Summary Page'!$C$4+1)</f>
        <v>42.335999999999991</v>
      </c>
      <c r="EM30" s="40">
        <f t="shared" ref="EM30:EM50" si="22">AE30*1.2</f>
        <v>99.6</v>
      </c>
      <c r="EN30" s="7">
        <f>((AVERAGE(AD25:AD30)*('Summary Page'!$C$2+1))*('Summary Page'!$C$2+1))*('Summary Page'!$C$2+1)</f>
        <v>149.06556799999998</v>
      </c>
      <c r="EO30" s="7">
        <f>((AVERAGE(AD25:AD30)*('Summary Page'!$C$3+1))*('Summary Page'!$C$3+1))*('Summary Page'!$C$3+1)</f>
        <v>186.5234375</v>
      </c>
      <c r="EP30" s="7">
        <f>((AVERAGE(AD25:AD30)*('Summary Page'!$C$4+1))*('Summary Page'!$C$4+1))*('Summary Page'!$C$4+1)</f>
        <v>165.02399999999997</v>
      </c>
      <c r="EQ30" s="7">
        <v>100</v>
      </c>
      <c r="ER30" s="16">
        <f t="shared" si="17"/>
        <v>20.524344569288388</v>
      </c>
      <c r="ES30" s="16">
        <f t="shared" si="18"/>
        <v>15.640449438202245</v>
      </c>
      <c r="ET30" s="7">
        <f t="shared" si="14"/>
        <v>18.768539325842692</v>
      </c>
      <c r="EU30" s="7">
        <f>((AVERAGE(ER25:ER30)*('Summary Page'!$C$2+1))*('Summary Page'!$C$2+1))*('Summary Page'!$C$2+1)</f>
        <v>32.298270489887635</v>
      </c>
      <c r="EV30" s="7">
        <f>((AVERAGE(ER25:ER30)*('Summary Page'!$C$3+1))*('Summary Page'!$C$3+1))*('Summary Page'!$C$3+1)</f>
        <v>40.414325842696634</v>
      </c>
      <c r="EW30" s="7">
        <f>((AVERAGE(ER25:ER30)*('Summary Page'!$C$4+1))*('Summary Page'!$C$4+1))*('Summary Page'!$C$4+1)</f>
        <v>35.756008988764037</v>
      </c>
      <c r="EX30" s="11">
        <f t="shared" si="15"/>
        <v>23.945068664169785</v>
      </c>
      <c r="EY30" s="11">
        <f t="shared" si="16"/>
        <v>18.247191011235952</v>
      </c>
      <c r="EZ30" s="11">
        <f t="shared" si="16"/>
        <v>21.896629213483141</v>
      </c>
      <c r="FA30" s="11">
        <f t="shared" si="16"/>
        <v>37.681315571535578</v>
      </c>
      <c r="FB30" s="11">
        <f t="shared" si="16"/>
        <v>47.150046816479403</v>
      </c>
      <c r="FC30" s="11">
        <f t="shared" si="16"/>
        <v>41.71534382022471</v>
      </c>
    </row>
    <row r="31" spans="1:159" ht="15.75" x14ac:dyDescent="0.25">
      <c r="A31" s="10">
        <v>43838</v>
      </c>
      <c r="B31" s="64">
        <v>76</v>
      </c>
      <c r="C31" s="64">
        <v>59</v>
      </c>
      <c r="D31" s="64">
        <v>52</v>
      </c>
      <c r="E31" s="64">
        <f t="shared" si="1"/>
        <v>67.5</v>
      </c>
      <c r="F31" s="64">
        <v>0</v>
      </c>
      <c r="G31" s="64">
        <v>0</v>
      </c>
      <c r="H31" s="64">
        <v>14</v>
      </c>
      <c r="I31" s="64">
        <v>53</v>
      </c>
      <c r="J31" s="64"/>
      <c r="K31" s="64">
        <v>50</v>
      </c>
      <c r="L31" s="64">
        <v>49</v>
      </c>
      <c r="M31" s="64">
        <v>38</v>
      </c>
      <c r="N31" s="64">
        <v>31</v>
      </c>
      <c r="O31" s="64">
        <f t="shared" si="8"/>
        <v>43.5</v>
      </c>
      <c r="P31" s="64">
        <v>0</v>
      </c>
      <c r="Q31" s="64">
        <v>0</v>
      </c>
      <c r="R31" s="64">
        <v>9</v>
      </c>
      <c r="S31" s="64">
        <v>44</v>
      </c>
      <c r="T31" s="64"/>
      <c r="U31" s="64">
        <v>37</v>
      </c>
      <c r="V31" s="13"/>
      <c r="W31" s="13"/>
      <c r="X31" s="13"/>
      <c r="Y31" s="13"/>
      <c r="Z31" s="13"/>
      <c r="AA31" s="13"/>
      <c r="AB31" s="13"/>
      <c r="AC31" s="13"/>
      <c r="AD31" s="40">
        <v>110</v>
      </c>
      <c r="AE31" s="40">
        <v>77</v>
      </c>
      <c r="AF31" s="40"/>
      <c r="AG31">
        <v>610</v>
      </c>
      <c r="AH31">
        <v>637</v>
      </c>
      <c r="AN31" s="13">
        <f t="shared" ref="AN31:AN46" si="23">U31*1.2</f>
        <v>44.4</v>
      </c>
      <c r="AO31" s="7">
        <f>((AVERAGE(K26:K31)*('Summary Page'!$C$2+1))*('Summary Page'!$C$2+1))*('Summary Page'!$C$2+1)</f>
        <v>83.507935999999987</v>
      </c>
      <c r="AP31" s="7">
        <f>((AVERAGE(K26:K31)*('Summary Page'!$C$3+1))*('Summary Page'!$C$3+1))*('Summary Page'!$C$3+1)</f>
        <v>104.4921875</v>
      </c>
      <c r="AQ31" s="7">
        <f>((AVERAGE(K26:K31)*('Summary Page'!$C$4+1))*('Summary Page'!$C$4+1))*('Summary Page'!$C$4+1)</f>
        <v>92.448000000000008</v>
      </c>
      <c r="AR31" s="7">
        <f t="shared" ref="AR31:AR48" si="24">AR30</f>
        <v>80</v>
      </c>
      <c r="AS31" s="5">
        <f t="shared" si="19"/>
        <v>56</v>
      </c>
      <c r="AT31" s="13">
        <f t="shared" si="20"/>
        <v>41</v>
      </c>
      <c r="AU31" s="13">
        <f t="shared" si="21"/>
        <v>49.199999999999996</v>
      </c>
      <c r="AV31" s="7">
        <f>((AVERAGE(AS20:AS31,AU20:AU31)*('Summary Page'!$C$2+1))*('Summary Page'!$C$2+1))*('Summary Page'!$C$2+1)</f>
        <v>56.103805226666658</v>
      </c>
      <c r="AW31" s="7">
        <f>((AVERAGE(AS20:AS31,AU20:AU31)*('Summary Page'!$C$3+1))*('Summary Page'!$C$3+1))*('Summary Page'!$C$3+1)</f>
        <v>70.201822916666671</v>
      </c>
      <c r="AX31" s="7">
        <f>((AVERAGE(AS20:AS31,AU20:AU31)*('Summary Page'!$C$4+1))*('Summary Page'!$C$4+1))*('Summary Page'!$C$4+1)</f>
        <v>62.110079999999989</v>
      </c>
      <c r="BA31" s="40">
        <f>L31*1.2</f>
        <v>58.8</v>
      </c>
      <c r="BB31" s="7">
        <f>((AVERAGE(B26:B31)*(+'Summary Page'!$C$2+1))*('Summary Page'!$C$2+1))*('Summary Page'!$C$2+1)</f>
        <v>104.58003199999999</v>
      </c>
      <c r="BC31" s="7">
        <f>((AVERAGE(B26:B31)*('Summary Page'!$C$3+1))*('Summary Page'!$C$3+1))*('Summary Page'!$C$3+1)</f>
        <v>130.859375</v>
      </c>
      <c r="BD31" s="7">
        <f>((AVERAGE(B26:B31)*('Summary Page'!$C$4+1))*('Summary Page'!$C$4+1))*('Summary Page'!$C$4+1)</f>
        <v>115.77599999999998</v>
      </c>
      <c r="CQ31" s="40">
        <f t="shared" ref="CQ31:CQ49" si="25">M31*1.2</f>
        <v>45.6</v>
      </c>
      <c r="CR31" s="7">
        <f>((AVERAGE(C26:C31)*('Summary Page'!$C$2+1))*('Summary Page'!$C$2+1))*('Summary Page'!$C$2+1)</f>
        <v>92.613162666666653</v>
      </c>
      <c r="CS31" s="7">
        <f>((AVERAGE(C26:C31)*('Summary Page'!$C$3+1))*('Summary Page'!$C$3+1))*('Summary Page'!$C$3+1)</f>
        <v>115.88541666666669</v>
      </c>
      <c r="CT31" s="8">
        <f>((AVERAGE(C26:C31)*('Summary Page'!$C$4+1))*('Summary Page'!$C$4+1))*('Summary Page'!$C$4+1)</f>
        <v>102.52799999999999</v>
      </c>
      <c r="CW31" s="40">
        <f t="shared" ref="CW31:CW49" si="26">N31*1.2</f>
        <v>37.199999999999996</v>
      </c>
      <c r="CX31" s="7">
        <f>((AVERAGE(D26:D31)*('Summary Page'!$C$2+1))*('Summary Page'!$C$2+1))*('Summary Page'!$C$2+1)</f>
        <v>81.686890666666656</v>
      </c>
      <c r="CY31" s="7">
        <f>((AVERAGE(D26:D31)*('Summary Page'!$C$3+1))*('Summary Page'!$C$3+1))*('Summary Page'!$C$3+1)</f>
        <v>102.21354166666669</v>
      </c>
      <c r="CZ31" s="8">
        <f>((AVERAGE(D26:D31)*('Summary Page'!$C$4+1))*('Summary Page'!$C$4+1))*('Summary Page'!$C$4+1)</f>
        <v>90.432000000000002</v>
      </c>
      <c r="DO31" s="40"/>
      <c r="DP31" s="7"/>
      <c r="DQ31" s="7"/>
      <c r="DR31" s="8"/>
      <c r="DU31" s="40"/>
      <c r="DV31" s="7"/>
      <c r="DW31" s="7"/>
      <c r="DX31" s="8"/>
      <c r="EA31" s="40">
        <f t="shared" ref="EA31:EA49" si="27">R31*1.2</f>
        <v>10.799999999999999</v>
      </c>
      <c r="EB31" s="7">
        <f>((AVERAGE(H26:H31)*('Summary Page'!$C$2+1))*('Summary Page'!$C$2+1))*('Summary Page'!$C$2+1)</f>
        <v>18.470602666666665</v>
      </c>
      <c r="EC31" s="7">
        <f>((AVERAGE(H26:H31)*('Summary Page'!$C$3+1))*('Summary Page'!$C$3+1))*('Summary Page'!$C$3+1)</f>
        <v>23.111979166666671</v>
      </c>
      <c r="ED31" s="8">
        <f>((AVERAGE(H26:H31)*('Summary Page'!$C$4+1))*('Summary Page'!$C$4+1))*('Summary Page'!$C$4+1)</f>
        <v>20.447999999999997</v>
      </c>
      <c r="EG31" s="40">
        <f t="shared" ref="EG31:EG49" si="28">S31*1.2</f>
        <v>52.8</v>
      </c>
      <c r="EH31" s="7">
        <f>((AVERAGE(I26:I31)*('Summary Page'!$C$2+1))*('Summary Page'!$C$2+1))*('Summary Page'!$C$2+1)</f>
        <v>40.58329599999999</v>
      </c>
      <c r="EI31" s="7">
        <f>((AVERAGE(I26:I31)*('Summary Page'!$C$3+1))*('Summary Page'!$C$3+1))*('Summary Page'!$C$3+1)</f>
        <v>50.78125</v>
      </c>
      <c r="EJ31" s="8">
        <f>((AVERAGE(I26:I31)*('Summary Page'!$C$4+1))*('Summary Page'!$C$4+1))*('Summary Page'!$C$4+1)</f>
        <v>44.927999999999997</v>
      </c>
      <c r="EM31" s="40">
        <f t="shared" si="22"/>
        <v>92.399999999999991</v>
      </c>
      <c r="EN31" s="7">
        <f>((AVERAGE(AD26:AD31)*('Summary Page'!$C$2+1))*('Summary Page'!$C$2+1))*('Summary Page'!$C$2+1)</f>
        <v>157.3903466666666</v>
      </c>
      <c r="EO31" s="7">
        <f>((AVERAGE(AD26:AD31)*('Summary Page'!$C$3+1))*('Summary Page'!$C$3+1))*('Summary Page'!$C$3+1)</f>
        <v>196.94010416666663</v>
      </c>
      <c r="EP31" s="7">
        <f>((AVERAGE(AD26:AD31)*('Summary Page'!$C$4+1))*('Summary Page'!$C$4+1))*('Summary Page'!$C$4+1)</f>
        <v>174.23999999999998</v>
      </c>
      <c r="EQ31" s="7">
        <f t="shared" ref="EQ31:EQ48" si="29">EQ30</f>
        <v>100</v>
      </c>
      <c r="ER31" s="16">
        <f t="shared" si="17"/>
        <v>18.277153558052433</v>
      </c>
      <c r="ES31" s="16">
        <f t="shared" si="18"/>
        <v>19.08614232209738</v>
      </c>
      <c r="ET31" s="7">
        <f t="shared" si="14"/>
        <v>22.903370786516856</v>
      </c>
      <c r="EU31" s="7">
        <f>((AVERAGE(ER26:ER31)*('Summary Page'!$C$2+1))*('Summary Page'!$C$2+1))*('Summary Page'!$C$2+1)</f>
        <v>31.670014721597994</v>
      </c>
      <c r="EV31" s="7">
        <f>((AVERAGE(ER26:ER31)*('Summary Page'!$C$3+1))*('Summary Page'!$C$3+1))*('Summary Page'!$C$3+1)</f>
        <v>39.628199126092383</v>
      </c>
      <c r="EW31" s="7">
        <f>((AVERAGE(ER26:ER31)*('Summary Page'!$C$4+1))*('Summary Page'!$C$4+1))*('Summary Page'!$C$4+1)</f>
        <v>35.060494382022469</v>
      </c>
      <c r="EX31" s="11">
        <f t="shared" si="15"/>
        <v>21.323345817727837</v>
      </c>
      <c r="EY31" s="11">
        <f t="shared" si="16"/>
        <v>22.267166042446945</v>
      </c>
      <c r="EZ31" s="11">
        <f t="shared" si="16"/>
        <v>26.720599250936331</v>
      </c>
      <c r="FA31" s="11">
        <f t="shared" si="16"/>
        <v>36.948350508530993</v>
      </c>
      <c r="FB31" s="11">
        <f t="shared" si="16"/>
        <v>46.232898980441114</v>
      </c>
      <c r="FC31" s="11">
        <f t="shared" si="16"/>
        <v>40.903910112359547</v>
      </c>
    </row>
    <row r="32" spans="1:159" ht="15.75" x14ac:dyDescent="0.25">
      <c r="A32" s="10">
        <v>43864</v>
      </c>
      <c r="B32" s="64">
        <v>74</v>
      </c>
      <c r="C32" s="64">
        <v>50</v>
      </c>
      <c r="D32" s="64">
        <v>43</v>
      </c>
      <c r="E32" s="64">
        <f t="shared" si="1"/>
        <v>62</v>
      </c>
      <c r="F32" s="64">
        <v>0</v>
      </c>
      <c r="G32" s="64">
        <v>0</v>
      </c>
      <c r="H32" s="64">
        <v>16</v>
      </c>
      <c r="I32" s="64">
        <v>59</v>
      </c>
      <c r="J32" s="64"/>
      <c r="K32" s="64">
        <v>48.5</v>
      </c>
      <c r="L32" s="64">
        <v>34</v>
      </c>
      <c r="M32" s="64">
        <v>30</v>
      </c>
      <c r="N32" s="64">
        <v>23</v>
      </c>
      <c r="O32" s="64">
        <f t="shared" si="8"/>
        <v>32</v>
      </c>
      <c r="P32" s="64"/>
      <c r="Q32" s="64"/>
      <c r="R32" s="64">
        <v>9</v>
      </c>
      <c r="S32" s="64">
        <v>35</v>
      </c>
      <c r="T32" s="64"/>
      <c r="U32" s="64">
        <v>30</v>
      </c>
      <c r="V32" s="13"/>
      <c r="W32" s="13"/>
      <c r="X32" s="13"/>
      <c r="Y32" s="13"/>
      <c r="Z32" s="13"/>
      <c r="AA32" s="13"/>
      <c r="AB32" s="13"/>
      <c r="AC32" s="13"/>
      <c r="AD32" s="40">
        <v>102</v>
      </c>
      <c r="AE32" s="40">
        <v>56</v>
      </c>
      <c r="AF32" s="40"/>
      <c r="AG32">
        <v>660</v>
      </c>
      <c r="AH32">
        <v>690</v>
      </c>
      <c r="AN32" s="13">
        <f t="shared" si="23"/>
        <v>36</v>
      </c>
      <c r="AO32" s="7">
        <f>((AVERAGE(K27:K32)*('Summary Page'!$C$2+1))*('Summary Page'!$C$2+1))*('Summary Page'!$C$2+1)</f>
        <v>83.377861333333314</v>
      </c>
      <c r="AP32" s="7">
        <f>((AVERAGE(K27:K32)*('Summary Page'!$C$3+1))*('Summary Page'!$C$3+1))*('Summary Page'!$C$3+1)</f>
        <v>104.32942708333331</v>
      </c>
      <c r="AQ32" s="7">
        <f>((AVERAGE(K27:K32)*('Summary Page'!$C$4+1))*('Summary Page'!$C$4+1))*('Summary Page'!$C$4+1)</f>
        <v>92.303999999999988</v>
      </c>
      <c r="AR32" s="7">
        <f t="shared" si="24"/>
        <v>80</v>
      </c>
      <c r="AS32" s="5">
        <f t="shared" si="19"/>
        <v>54.5</v>
      </c>
      <c r="AT32" s="13">
        <f t="shared" si="20"/>
        <v>32.5</v>
      </c>
      <c r="AU32" s="13">
        <f t="shared" si="21"/>
        <v>39</v>
      </c>
      <c r="AV32" s="7">
        <f>((AVERAGE(AS21:AS32,AU21:AU32)*('Summary Page'!$C$2+1))*('Summary Page'!$C$2+1))*('Summary Page'!$C$2+1)</f>
        <v>58.077719263492064</v>
      </c>
      <c r="AW32" s="7">
        <f>((AVERAGE(AS21:AS32,AU21:AU32)*('Summary Page'!$C$3+1))*('Summary Page'!$C$3+1))*('Summary Page'!$C$3+1)</f>
        <v>72.671750992063522</v>
      </c>
      <c r="AX32" s="7">
        <f>((AVERAGE(AS21:AS32,AU21:AU32)*('Summary Page'!$C$4+1))*('Summary Page'!$C$4+1))*('Summary Page'!$C$4+1)</f>
        <v>64.295314285714298</v>
      </c>
      <c r="BA32" s="40">
        <f>L32*1.2</f>
        <v>40.799999999999997</v>
      </c>
      <c r="BB32" s="7">
        <f>((AVERAGE(B27:B32)*(+'Summary Page'!$C$2+1))*('Summary Page'!$C$2+1))*('Summary Page'!$C$2+1)</f>
        <v>109.26271999999997</v>
      </c>
      <c r="BC32" s="7">
        <f>((AVERAGE(B27:B32)*('Summary Page'!$C$3+1))*('Summary Page'!$C$3+1))*('Summary Page'!$C$3+1)</f>
        <v>136.71875</v>
      </c>
      <c r="BD32" s="7">
        <f>((AVERAGE(B27:B32)*('Summary Page'!$C$4+1))*('Summary Page'!$C$4+1))*('Summary Page'!$C$4+1)</f>
        <v>120.96</v>
      </c>
      <c r="CQ32" s="40">
        <f t="shared" si="25"/>
        <v>36</v>
      </c>
      <c r="CR32" s="7">
        <f>((AVERAGE(C27:C32)*('Summary Page'!$C$2+1))*('Summary Page'!$C$2+1))*('Summary Page'!$C$2+1)</f>
        <v>94.43420799999997</v>
      </c>
      <c r="CS32" s="7">
        <f>((AVERAGE(C27:C32)*('Summary Page'!$C$3+1))*('Summary Page'!$C$3+1))*('Summary Page'!$C$3+1)</f>
        <v>118.1640625</v>
      </c>
      <c r="CT32" s="8">
        <f>((AVERAGE(C27:C32)*('Summary Page'!$C$4+1))*('Summary Page'!$C$4+1))*('Summary Page'!$C$4+1)</f>
        <v>104.54399999999998</v>
      </c>
      <c r="CW32" s="40">
        <f t="shared" si="26"/>
        <v>27.599999999999998</v>
      </c>
      <c r="CX32" s="7">
        <f>((AVERAGE(D27:D32)*('Summary Page'!$C$2+1))*('Summary Page'!$C$2+1))*('Summary Page'!$C$2+1)</f>
        <v>84.288383999999979</v>
      </c>
      <c r="CY32" s="7">
        <f>((AVERAGE(D27:D32)*('Summary Page'!$C$3+1))*('Summary Page'!$C$3+1))*('Summary Page'!$C$3+1)</f>
        <v>105.46875</v>
      </c>
      <c r="CZ32" s="8">
        <f>((AVERAGE(D27:D32)*('Summary Page'!$C$4+1))*('Summary Page'!$C$4+1))*('Summary Page'!$C$4+1)</f>
        <v>93.311999999999983</v>
      </c>
      <c r="DO32" s="40"/>
      <c r="DP32" s="7"/>
      <c r="DQ32" s="7"/>
      <c r="DR32" s="8"/>
      <c r="DU32" s="40"/>
      <c r="DV32" s="7"/>
      <c r="DW32" s="7"/>
      <c r="DX32" s="8"/>
      <c r="EA32" s="40">
        <f t="shared" si="27"/>
        <v>10.799999999999999</v>
      </c>
      <c r="EB32" s="7">
        <f>((AVERAGE(H27:H32)*('Summary Page'!$C$2+1))*('Summary Page'!$C$2+1))*('Summary Page'!$C$2+1)</f>
        <v>19.511199999999995</v>
      </c>
      <c r="EC32" s="7">
        <f>((AVERAGE(H27:H32)*('Summary Page'!$C$3+1))*('Summary Page'!$C$3+1))*('Summary Page'!$C$3+1)</f>
        <v>24.4140625</v>
      </c>
      <c r="ED32" s="8">
        <f>((AVERAGE(H27:H32)*('Summary Page'!$C$4+1))*('Summary Page'!$C$4+1))*('Summary Page'!$C$4+1)</f>
        <v>21.599999999999998</v>
      </c>
      <c r="EG32" s="40">
        <f t="shared" si="28"/>
        <v>42</v>
      </c>
      <c r="EH32" s="7">
        <f>((AVERAGE(I27:I32)*('Summary Page'!$C$2+1))*('Summary Page'!$C$2+1))*('Summary Page'!$C$2+1)</f>
        <v>50.989269333333318</v>
      </c>
      <c r="EI32" s="7">
        <f>((AVERAGE(I27:I32)*('Summary Page'!$C$3+1))*('Summary Page'!$C$3+1))*('Summary Page'!$C$3+1)</f>
        <v>63.802083333333321</v>
      </c>
      <c r="EJ32" s="8">
        <f>((AVERAGE(I27:I32)*('Summary Page'!$C$4+1))*('Summary Page'!$C$4+1))*('Summary Page'!$C$4+1)</f>
        <v>56.447999999999986</v>
      </c>
      <c r="EM32" s="40">
        <f t="shared" si="22"/>
        <v>67.2</v>
      </c>
      <c r="EN32" s="7">
        <f>((AVERAGE(AD27:AD32)*('Summary Page'!$C$2+1))*('Summary Page'!$C$2+1))*('Summary Page'!$C$2+1)</f>
        <v>162.85348266666665</v>
      </c>
      <c r="EO32" s="7">
        <f>((AVERAGE(AD27:AD32)*('Summary Page'!$C$3+1))*('Summary Page'!$C$3+1))*('Summary Page'!$C$3+1)</f>
        <v>203.77604166666663</v>
      </c>
      <c r="EP32" s="7">
        <f>((AVERAGE(AD27:AD32)*('Summary Page'!$C$4+1))*('Summary Page'!$C$4+1))*('Summary Page'!$C$4+1)</f>
        <v>180.28799999999998</v>
      </c>
      <c r="EQ32" s="7">
        <f t="shared" si="29"/>
        <v>100</v>
      </c>
      <c r="ER32" s="16">
        <f t="shared" si="17"/>
        <v>19.775280898876403</v>
      </c>
      <c r="ES32" s="16">
        <f t="shared" si="18"/>
        <v>20.674157303370784</v>
      </c>
      <c r="ET32" s="7">
        <f t="shared" ref="ET32:ET50" si="30">ES32*1.2</f>
        <v>24.80898876404494</v>
      </c>
      <c r="EU32" s="7">
        <f>((AVERAGE(ER27:ER32)*('Summary Page'!$C$2+1))*('Summary Page'!$C$2+1))*('Summary Page'!$C$2+1)</f>
        <v>30.828183171036198</v>
      </c>
      <c r="EV32" s="7">
        <f>((AVERAGE(ER27:ER32)*('Summary Page'!$C$3+1))*('Summary Page'!$C$3+1))*('Summary Page'!$C$3+1)</f>
        <v>38.574828339575532</v>
      </c>
      <c r="EW32" s="7">
        <f>((AVERAGE(ER27:ER32)*('Summary Page'!$C$4+1))*('Summary Page'!$C$4+1))*('Summary Page'!$C$4+1)</f>
        <v>34.128539325842695</v>
      </c>
      <c r="EX32" s="11">
        <f t="shared" ref="EX32:EX50" si="31">(ER32/6)+ER32</f>
        <v>23.071161048689138</v>
      </c>
      <c r="EY32" s="11">
        <f t="shared" ref="EY32:EY50" si="32">(ES32/6)+ES32</f>
        <v>24.119850187265914</v>
      </c>
      <c r="EZ32" s="11">
        <f t="shared" ref="EZ32:EZ50" si="33">(ET32/6)+ET32</f>
        <v>28.943820224719097</v>
      </c>
      <c r="FA32" s="11">
        <f t="shared" ref="FA32:FA37" si="34">(EU32/6)+EU32</f>
        <v>35.96621369954223</v>
      </c>
      <c r="FB32" s="11">
        <f t="shared" ref="FB32:FB48" si="35">(EV32/6)+EV32</f>
        <v>45.003966396171457</v>
      </c>
      <c r="FC32" s="11">
        <f t="shared" ref="FC32:FC48" si="36">(EW32/6)+EW32</f>
        <v>39.816629213483147</v>
      </c>
    </row>
    <row r="33" spans="1:159" ht="15.75" x14ac:dyDescent="0.25">
      <c r="A33" s="10">
        <v>43894</v>
      </c>
      <c r="B33" s="64">
        <v>75</v>
      </c>
      <c r="C33" s="64">
        <v>47</v>
      </c>
      <c r="D33" s="64">
        <v>41</v>
      </c>
      <c r="E33" s="64">
        <f t="shared" si="1"/>
        <v>61</v>
      </c>
      <c r="F33" s="64">
        <v>0</v>
      </c>
      <c r="G33" s="64">
        <v>0</v>
      </c>
      <c r="H33" s="64">
        <v>17</v>
      </c>
      <c r="I33" s="64">
        <v>58</v>
      </c>
      <c r="J33" s="64"/>
      <c r="K33" s="64">
        <v>45</v>
      </c>
      <c r="L33" s="64">
        <v>38</v>
      </c>
      <c r="M33" s="64">
        <v>36</v>
      </c>
      <c r="N33" s="64">
        <v>32</v>
      </c>
      <c r="O33" s="64">
        <f t="shared" si="8"/>
        <v>37</v>
      </c>
      <c r="P33" s="64">
        <v>0</v>
      </c>
      <c r="Q33" s="64">
        <v>0</v>
      </c>
      <c r="R33" s="64">
        <v>6</v>
      </c>
      <c r="S33" s="64">
        <v>34</v>
      </c>
      <c r="T33" s="64"/>
      <c r="U33" s="64">
        <v>32</v>
      </c>
      <c r="V33" s="13"/>
      <c r="W33" s="13"/>
      <c r="X33" s="13"/>
      <c r="Y33" s="13"/>
      <c r="Z33" s="13"/>
      <c r="AA33" s="13"/>
      <c r="AB33" s="13"/>
      <c r="AC33" s="13"/>
      <c r="AD33" s="40">
        <v>98</v>
      </c>
      <c r="AE33" s="40">
        <v>61</v>
      </c>
      <c r="AF33" s="40"/>
      <c r="AG33" s="40">
        <v>641</v>
      </c>
      <c r="AH33">
        <v>425</v>
      </c>
      <c r="AN33" s="13">
        <f t="shared" si="23"/>
        <v>38.4</v>
      </c>
      <c r="AO33" s="7">
        <f>((AVERAGE(K28:K33)*('Summary Page'!$C$2+1))*('Summary Page'!$C$2+1))*('Summary Page'!$C$2+1)</f>
        <v>80.776367999999977</v>
      </c>
      <c r="AP33" s="7">
        <f>((AVERAGE(K28:K33)*('Summary Page'!$C$3+1))*('Summary Page'!$C$3+1))*('Summary Page'!$C$3+1)</f>
        <v>101.07421875</v>
      </c>
      <c r="AQ33" s="7">
        <f>((AVERAGE(K28:K33)*('Summary Page'!$C$4+1))*('Summary Page'!$C$4+1))*('Summary Page'!$C$4+1)</f>
        <v>89.423999999999992</v>
      </c>
      <c r="AR33" s="7">
        <f t="shared" si="24"/>
        <v>80</v>
      </c>
      <c r="AS33" s="5">
        <f t="shared" si="19"/>
        <v>52.5</v>
      </c>
      <c r="AT33" s="13">
        <f t="shared" si="20"/>
        <v>35</v>
      </c>
      <c r="AU33" s="13">
        <f t="shared" si="21"/>
        <v>42</v>
      </c>
      <c r="AV33" s="7">
        <f>((AVERAGE(AS22:AS33,AU22:AU33)*('Summary Page'!$C$2+1))*('Summary Page'!$C$2+1))*('Summary Page'!$C$2+1)</f>
        <v>59.706636993939391</v>
      </c>
      <c r="AW33" s="7">
        <f>((AVERAGE(AS22:AS33,AU22:AU33)*('Summary Page'!$C$3+1))*('Summary Page'!$C$3+1))*('Summary Page'!$C$3+1)</f>
        <v>74.709990530303031</v>
      </c>
      <c r="AX33" s="7">
        <f>((AVERAGE(AS22:AS33,AU22:AU33)*('Summary Page'!$C$4+1))*('Summary Page'!$C$4+1))*('Summary Page'!$C$4+1)</f>
        <v>66.098618181818182</v>
      </c>
      <c r="BA33" s="40">
        <f t="shared" ref="BA33:BA38" si="37">L33*1.2</f>
        <v>45.6</v>
      </c>
      <c r="BB33" s="7">
        <f>((AVERAGE(B28:B33)*(+'Summary Page'!$C$2+1))*('Summary Page'!$C$2+1))*('Summary Page'!$C$2+1)</f>
        <v>112.38451199999997</v>
      </c>
      <c r="BC33" s="7">
        <f>((AVERAGE(B28:B33)*('Summary Page'!$C$3+1))*('Summary Page'!$C$3+1))*('Summary Page'!$C$3+1)</f>
        <v>140.625</v>
      </c>
      <c r="BD33" s="7">
        <f>((AVERAGE(B28:B33)*('Summary Page'!$C$4+1))*('Summary Page'!$C$4+1))*('Summary Page'!$C$4+1)</f>
        <v>124.41599999999998</v>
      </c>
      <c r="CQ33" s="40">
        <f t="shared" si="25"/>
        <v>43.199999999999996</v>
      </c>
      <c r="CR33" s="7">
        <f>((AVERAGE(C28:C33)*('Summary Page'!$C$2+1))*('Summary Page'!$C$2+1))*('Summary Page'!$C$2+1)</f>
        <v>93.393610666666646</v>
      </c>
      <c r="CS33" s="7">
        <f>((AVERAGE(C28:C33)*('Summary Page'!$C$3+1))*('Summary Page'!$C$3+1))*('Summary Page'!$C$3+1)</f>
        <v>116.86197916666669</v>
      </c>
      <c r="CT33" s="8">
        <f>((AVERAGE(C28:C33)*('Summary Page'!$C$4+1))*('Summary Page'!$C$4+1))*('Summary Page'!$C$4+1)</f>
        <v>103.392</v>
      </c>
      <c r="CW33" s="40">
        <f t="shared" si="26"/>
        <v>38.4</v>
      </c>
      <c r="CX33" s="7">
        <f>((AVERAGE(D28:D33)*('Summary Page'!$C$2+1))*('Summary Page'!$C$2+1))*('Summary Page'!$C$2+1)</f>
        <v>83.768085333333303</v>
      </c>
      <c r="CY33" s="7">
        <f>((AVERAGE(D28:D33)*('Summary Page'!$C$3+1))*('Summary Page'!$C$3+1))*('Summary Page'!$C$3+1)</f>
        <v>104.81770833333331</v>
      </c>
      <c r="CZ33" s="8">
        <f>((AVERAGE(D28:D33)*('Summary Page'!$C$4+1))*('Summary Page'!$C$4+1))*('Summary Page'!$C$4+1)</f>
        <v>92.735999999999976</v>
      </c>
      <c r="DO33" s="40"/>
      <c r="DP33" s="7"/>
      <c r="DQ33" s="7"/>
      <c r="DR33" s="8"/>
      <c r="DU33" s="40"/>
      <c r="DV33" s="7"/>
      <c r="DW33" s="7"/>
      <c r="DX33" s="8"/>
      <c r="EA33" s="40">
        <f t="shared" si="27"/>
        <v>7.1999999999999993</v>
      </c>
      <c r="EB33" s="7">
        <f>((AVERAGE(H28:H33)*('Summary Page'!$C$2+1))*('Summary Page'!$C$2+1))*('Summary Page'!$C$2+1)</f>
        <v>21.072095999999995</v>
      </c>
      <c r="EC33" s="7">
        <f>((AVERAGE(H28:H33)*('Summary Page'!$C$3+1))*('Summary Page'!$C$3+1))*('Summary Page'!$C$3+1)</f>
        <v>26.3671875</v>
      </c>
      <c r="ED33" s="8">
        <f>((AVERAGE(H28:H33)*('Summary Page'!$C$4+1))*('Summary Page'!$C$4+1))*('Summary Page'!$C$4+1)</f>
        <v>23.327999999999996</v>
      </c>
      <c r="EG33" s="40">
        <f t="shared" si="28"/>
        <v>40.799999999999997</v>
      </c>
      <c r="EH33" s="7">
        <f>((AVERAGE(I28:I33)*('Summary Page'!$C$2+1))*('Summary Page'!$C$2+1))*('Summary Page'!$C$2+1)</f>
        <v>61.135093333333323</v>
      </c>
      <c r="EI33" s="7">
        <f>((AVERAGE(I28:I33)*('Summary Page'!$C$3+1))*('Summary Page'!$C$3+1))*('Summary Page'!$C$3+1)</f>
        <v>76.497395833333314</v>
      </c>
      <c r="EJ33" s="8">
        <f>((AVERAGE(I28:I33)*('Summary Page'!$C$4+1))*('Summary Page'!$C$4+1))*('Summary Page'!$C$4+1)</f>
        <v>67.679999999999993</v>
      </c>
      <c r="EM33" s="40">
        <f t="shared" si="22"/>
        <v>73.2</v>
      </c>
      <c r="EN33" s="7">
        <f>((AVERAGE(AD28:AD33)*('Summary Page'!$C$2+1))*('Summary Page'!$C$2+1))*('Summary Page'!$C$2+1)</f>
        <v>165.19482666666661</v>
      </c>
      <c r="EO33" s="7">
        <f>((AVERAGE(AD28:AD33)*('Summary Page'!$C$3+1))*('Summary Page'!$C$3+1))*('Summary Page'!$C$3+1)</f>
        <v>206.70572916666663</v>
      </c>
      <c r="EP33" s="7">
        <f>((AVERAGE(AD28:AD33)*('Summary Page'!$C$4+1))*('Summary Page'!$C$4+1))*('Summary Page'!$C$4+1)</f>
        <v>182.87999999999997</v>
      </c>
      <c r="EQ33" s="7">
        <f t="shared" si="29"/>
        <v>100</v>
      </c>
      <c r="ER33" s="16">
        <f t="shared" si="17"/>
        <v>19.205992509363295</v>
      </c>
      <c r="ES33" s="16">
        <f t="shared" si="18"/>
        <v>12.734082397003744</v>
      </c>
      <c r="ET33" s="7">
        <f t="shared" si="30"/>
        <v>15.280898876404493</v>
      </c>
      <c r="EU33" s="7">
        <f>((AVERAGE(ER28:ER33)*('Summary Page'!$C$2+1))*('Summary Page'!$C$2+1))*('Summary Page'!$C$2+1)</f>
        <v>30.072093722846436</v>
      </c>
      <c r="EV33" s="7">
        <f>((AVERAGE(ER28:ER33)*('Summary Page'!$C$3+1))*('Summary Page'!$C$3+1))*('Summary Page'!$C$3+1)</f>
        <v>37.62874531835206</v>
      </c>
      <c r="EW33" s="7">
        <f>((AVERAGE(ER28:ER33)*('Summary Page'!$C$4+1))*('Summary Page'!$C$4+1))*('Summary Page'!$C$4+1)</f>
        <v>33.291505617977521</v>
      </c>
      <c r="EX33" s="11">
        <f t="shared" si="31"/>
        <v>22.406991260923846</v>
      </c>
      <c r="EY33" s="11">
        <f t="shared" si="32"/>
        <v>14.856429463171036</v>
      </c>
      <c r="EZ33" s="11">
        <f t="shared" si="33"/>
        <v>17.827715355805243</v>
      </c>
      <c r="FA33" s="11">
        <f t="shared" si="34"/>
        <v>35.08410934332084</v>
      </c>
      <c r="FB33" s="11">
        <f t="shared" si="35"/>
        <v>43.900202871410734</v>
      </c>
      <c r="FC33" s="11">
        <f t="shared" si="36"/>
        <v>38.840089887640438</v>
      </c>
    </row>
    <row r="34" spans="1:159" ht="15.75" x14ac:dyDescent="0.25">
      <c r="A34" s="10">
        <v>43927</v>
      </c>
      <c r="B34" s="64">
        <v>90</v>
      </c>
      <c r="C34" s="64">
        <v>42</v>
      </c>
      <c r="D34" s="64">
        <v>36</v>
      </c>
      <c r="E34" s="64">
        <f t="shared" si="1"/>
        <v>66</v>
      </c>
      <c r="F34" s="64">
        <v>0</v>
      </c>
      <c r="G34" s="64">
        <v>0</v>
      </c>
      <c r="H34" s="64">
        <v>17</v>
      </c>
      <c r="I34" s="64">
        <v>75</v>
      </c>
      <c r="J34" s="64"/>
      <c r="K34" s="64">
        <v>42</v>
      </c>
      <c r="L34" s="64">
        <v>50</v>
      </c>
      <c r="M34" s="64">
        <v>36</v>
      </c>
      <c r="N34" s="64">
        <v>32</v>
      </c>
      <c r="O34" s="64">
        <f t="shared" si="8"/>
        <v>43</v>
      </c>
      <c r="P34" s="64">
        <v>0</v>
      </c>
      <c r="Q34" s="64">
        <v>0</v>
      </c>
      <c r="R34" s="64">
        <v>8</v>
      </c>
      <c r="S34" s="64">
        <v>36</v>
      </c>
      <c r="T34" s="64"/>
      <c r="U34" s="64">
        <v>47</v>
      </c>
      <c r="V34" s="13"/>
      <c r="W34" s="13"/>
      <c r="X34" s="13"/>
      <c r="Y34" s="13"/>
      <c r="Z34" s="13"/>
      <c r="AA34" s="13"/>
      <c r="AB34" s="13"/>
      <c r="AC34" s="13"/>
      <c r="AD34" s="40">
        <v>104</v>
      </c>
      <c r="AE34" s="40">
        <v>80</v>
      </c>
      <c r="AF34" s="40"/>
      <c r="AG34" s="40">
        <v>691</v>
      </c>
      <c r="AH34">
        <v>690</v>
      </c>
      <c r="AN34" s="13">
        <f t="shared" si="23"/>
        <v>56.4</v>
      </c>
      <c r="AO34" s="7">
        <f>((AVERAGE(K29:K34)*('Summary Page'!$C$2+1))*('Summary Page'!$C$2+1))*('Summary Page'!$C$2+1)</f>
        <v>78.174874666666639</v>
      </c>
      <c r="AP34" s="7">
        <f>((AVERAGE(K29:K34)*('Summary Page'!$C$3+1))*('Summary Page'!$C$3+1))*('Summary Page'!$C$3+1)</f>
        <v>97.819010416666686</v>
      </c>
      <c r="AQ34" s="7">
        <f>((AVERAGE(K29:K34)*('Summary Page'!$C$4+1))*('Summary Page'!$C$4+1))*('Summary Page'!$C$4+1)</f>
        <v>86.543999999999997</v>
      </c>
      <c r="AR34" s="7">
        <f t="shared" si="24"/>
        <v>80</v>
      </c>
      <c r="AS34" s="5">
        <f t="shared" si="19"/>
        <v>58.5</v>
      </c>
      <c r="AT34" s="13">
        <f t="shared" si="20"/>
        <v>36</v>
      </c>
      <c r="AU34" s="13">
        <f t="shared" si="21"/>
        <v>43.199999999999996</v>
      </c>
      <c r="AV34" s="7">
        <f>((AVERAGE(AS23:AS34,AU23:AU34)*('Summary Page'!$C$2+1))*('Summary Page'!$C$2+1))*('Summary Page'!$C$2+1)</f>
        <v>61.388456162318839</v>
      </c>
      <c r="AW34" s="7">
        <f>((AVERAGE(AS23:AS34,AU23:AU34)*('Summary Page'!$C$3+1))*('Summary Page'!$C$3+1))*('Summary Page'!$C$3+1)</f>
        <v>76.814424818840607</v>
      </c>
      <c r="AX34" s="7">
        <f>((AVERAGE(AS23:AS34,AU23:AU34)*('Summary Page'!$C$4+1))*('Summary Page'!$C$4+1))*('Summary Page'!$C$4+1)</f>
        <v>67.960486956521748</v>
      </c>
      <c r="BA34" s="40">
        <f t="shared" si="37"/>
        <v>60</v>
      </c>
      <c r="BB34" s="7">
        <f>((AVERAGE(B29:B34)*(+'Summary Page'!$C$2+1))*('Summary Page'!$C$2+1))*('Summary Page'!$C$2+1)</f>
        <v>119.92884266666663</v>
      </c>
      <c r="BC34" s="7">
        <f>((AVERAGE(B29:B34)*('Summary Page'!$C$3+1))*('Summary Page'!$C$3+1))*('Summary Page'!$C$3+1)</f>
        <v>150.06510416666663</v>
      </c>
      <c r="BD34" s="7">
        <f>((AVERAGE(B29:B34)*('Summary Page'!$C$4+1))*('Summary Page'!$C$4+1))*('Summary Page'!$C$4+1)</f>
        <v>132.76799999999997</v>
      </c>
      <c r="CQ34" s="40">
        <f t="shared" si="25"/>
        <v>43.199999999999996</v>
      </c>
      <c r="CR34" s="7">
        <f>((AVERAGE(C29:C34)*('Summary Page'!$C$2+1))*('Summary Page'!$C$2+1))*('Summary Page'!$C$2+1)</f>
        <v>87.670325333333309</v>
      </c>
      <c r="CS34" s="7">
        <f>((AVERAGE(C29:C34)*('Summary Page'!$C$3+1))*('Summary Page'!$C$3+1))*('Summary Page'!$C$3+1)</f>
        <v>109.70052083333331</v>
      </c>
      <c r="CT34" s="8">
        <f>((AVERAGE(C29:C34)*('Summary Page'!$C$4+1))*('Summary Page'!$C$4+1))*('Summary Page'!$C$4+1)</f>
        <v>97.055999999999969</v>
      </c>
      <c r="CW34" s="40">
        <f t="shared" si="26"/>
        <v>38.4</v>
      </c>
      <c r="CX34" s="7">
        <f>((AVERAGE(D29:D34)*('Summary Page'!$C$2+1))*('Summary Page'!$C$2+1))*('Summary Page'!$C$2+1)</f>
        <v>78.044799999999981</v>
      </c>
      <c r="CY34" s="7">
        <f>((AVERAGE(D29:D34)*('Summary Page'!$C$3+1))*('Summary Page'!$C$3+1))*('Summary Page'!$C$3+1)</f>
        <v>97.65625</v>
      </c>
      <c r="CZ34" s="8">
        <f>((AVERAGE(D29:D34)*('Summary Page'!$C$4+1))*('Summary Page'!$C$4+1))*('Summary Page'!$C$4+1)</f>
        <v>86.399999999999991</v>
      </c>
      <c r="DO34" s="40"/>
      <c r="DP34" s="7"/>
      <c r="DQ34" s="7"/>
      <c r="DR34" s="8"/>
      <c r="DU34" s="40"/>
      <c r="DV34" s="7"/>
      <c r="DW34" s="7"/>
      <c r="DX34" s="8"/>
      <c r="EA34" s="40">
        <f t="shared" si="27"/>
        <v>9.6</v>
      </c>
      <c r="EB34" s="7">
        <f>((AVERAGE(H29:H34)*('Summary Page'!$C$2+1))*('Summary Page'!$C$2+1))*('Summary Page'!$C$2+1)</f>
        <v>22.632991999999998</v>
      </c>
      <c r="EC34" s="7">
        <f>((AVERAGE(H29:H34)*('Summary Page'!$C$3+1))*('Summary Page'!$C$3+1))*('Summary Page'!$C$3+1)</f>
        <v>28.3203125</v>
      </c>
      <c r="ED34" s="8">
        <f>((AVERAGE(H29:H34)*('Summary Page'!$C$4+1))*('Summary Page'!$C$4+1))*('Summary Page'!$C$4+1)</f>
        <v>25.055999999999997</v>
      </c>
      <c r="EG34" s="40">
        <f t="shared" si="28"/>
        <v>43.199999999999996</v>
      </c>
      <c r="EH34" s="7">
        <f>((AVERAGE(I29:I34)*('Summary Page'!$C$2+1))*('Summary Page'!$C$2+1))*('Summary Page'!$C$2+1)</f>
        <v>76.223754666666665</v>
      </c>
      <c r="EI34" s="7">
        <f>((AVERAGE(I29:I34)*('Summary Page'!$C$3+1))*('Summary Page'!$C$3+1))*('Summary Page'!$C$3+1)</f>
        <v>95.377604166666686</v>
      </c>
      <c r="EJ34" s="8">
        <f>((AVERAGE(I29:I34)*('Summary Page'!$C$4+1))*('Summary Page'!$C$4+1))*('Summary Page'!$C$4+1)</f>
        <v>84.383999999999986</v>
      </c>
      <c r="EM34" s="40">
        <f t="shared" si="22"/>
        <v>96</v>
      </c>
      <c r="EN34" s="7">
        <f>((AVERAGE(AD29:AD34)*('Summary Page'!$C$2+1))*('Summary Page'!$C$2+1))*('Summary Page'!$C$2+1)</f>
        <v>166.49557333333331</v>
      </c>
      <c r="EO34" s="7">
        <f>((AVERAGE(AD29:AD34)*('Summary Page'!$C$3+1))*('Summary Page'!$C$3+1))*('Summary Page'!$C$3+1)</f>
        <v>208.33333333333337</v>
      </c>
      <c r="EP34" s="7">
        <f>((AVERAGE(AD29:AD34)*('Summary Page'!$C$4+1))*('Summary Page'!$C$4+1))*('Summary Page'!$C$4+1)</f>
        <v>184.32</v>
      </c>
      <c r="EQ34" s="7">
        <f t="shared" si="29"/>
        <v>100</v>
      </c>
      <c r="ER34" s="16">
        <f t="shared" si="17"/>
        <v>20.704119850187265</v>
      </c>
      <c r="ES34" s="16">
        <f t="shared" si="18"/>
        <v>20.674157303370784</v>
      </c>
      <c r="ET34" s="7">
        <f t="shared" si="30"/>
        <v>24.80898876404494</v>
      </c>
      <c r="EU34" s="7">
        <f>((AVERAGE(ER29:ER34)*('Summary Page'!$C$2+1))*('Summary Page'!$C$2+1))*('Summary Page'!$C$2+1)</f>
        <v>30.430651605493132</v>
      </c>
      <c r="EV34" s="7">
        <f>((AVERAGE(ER29:ER34)*('Summary Page'!$C$3+1))*('Summary Page'!$C$3+1))*('Summary Page'!$C$3+1)</f>
        <v>38.077403245942577</v>
      </c>
      <c r="EW34" s="7">
        <f>((AVERAGE(ER29:ER34)*('Summary Page'!$C$4+1))*('Summary Page'!$C$4+1))*('Summary Page'!$C$4+1)</f>
        <v>33.688449438202248</v>
      </c>
      <c r="EX34" s="11">
        <f t="shared" si="31"/>
        <v>24.154806491885143</v>
      </c>
      <c r="EY34" s="11">
        <f t="shared" si="32"/>
        <v>24.119850187265914</v>
      </c>
      <c r="EZ34" s="11">
        <f t="shared" si="33"/>
        <v>28.943820224719097</v>
      </c>
      <c r="FA34" s="11">
        <f t="shared" si="34"/>
        <v>35.502426873075322</v>
      </c>
      <c r="FB34" s="11">
        <f t="shared" si="35"/>
        <v>44.423637120266342</v>
      </c>
      <c r="FC34" s="11">
        <f t="shared" si="36"/>
        <v>39.303191011235953</v>
      </c>
    </row>
    <row r="35" spans="1:159" ht="15.75" x14ac:dyDescent="0.25">
      <c r="A35" s="10">
        <v>43955</v>
      </c>
      <c r="B35" s="64">
        <v>93</v>
      </c>
      <c r="C35" s="64">
        <v>37</v>
      </c>
      <c r="D35" s="64">
        <v>31</v>
      </c>
      <c r="E35" s="64">
        <f t="shared" si="1"/>
        <v>65</v>
      </c>
      <c r="F35" s="64">
        <v>0</v>
      </c>
      <c r="G35" s="64">
        <v>0</v>
      </c>
      <c r="H35" s="64">
        <v>17</v>
      </c>
      <c r="I35" s="64">
        <v>76</v>
      </c>
      <c r="J35" s="64"/>
      <c r="K35" s="64">
        <v>45</v>
      </c>
      <c r="L35" s="64">
        <v>51</v>
      </c>
      <c r="M35" s="64">
        <v>41</v>
      </c>
      <c r="N35" s="64">
        <v>37</v>
      </c>
      <c r="O35" s="64">
        <f t="shared" si="8"/>
        <v>46</v>
      </c>
      <c r="P35" s="64">
        <v>0</v>
      </c>
      <c r="Q35" s="64">
        <v>0</v>
      </c>
      <c r="R35" s="64">
        <v>10</v>
      </c>
      <c r="S35" s="64">
        <v>35</v>
      </c>
      <c r="T35" s="64"/>
      <c r="U35" s="64">
        <v>47</v>
      </c>
      <c r="V35" s="13"/>
      <c r="W35" s="13"/>
      <c r="X35" s="13"/>
      <c r="Y35" s="13"/>
      <c r="Z35" s="13"/>
      <c r="AA35" s="13"/>
      <c r="AB35" s="13"/>
      <c r="AC35" s="13"/>
      <c r="AD35" s="40">
        <v>115</v>
      </c>
      <c r="AE35" s="40">
        <v>91</v>
      </c>
      <c r="AF35" s="40"/>
      <c r="AG35" s="40">
        <v>625</v>
      </c>
      <c r="AH35">
        <v>624</v>
      </c>
      <c r="AN35" s="13">
        <f t="shared" si="23"/>
        <v>56.4</v>
      </c>
      <c r="AO35" s="7">
        <f>((AVERAGE(K30:K35)*('Summary Page'!$C$2+1))*('Summary Page'!$C$2+1))*('Summary Page'!$C$2+1)</f>
        <v>74.532783999999992</v>
      </c>
      <c r="AP35" s="7">
        <f>((AVERAGE(K30:K35)*('Summary Page'!$C$3+1))*('Summary Page'!$C$3+1))*('Summary Page'!$C$3+1)</f>
        <v>93.26171875</v>
      </c>
      <c r="AQ35" s="7">
        <f>((AVERAGE(K30:K35)*('Summary Page'!$C$4+1))*('Summary Page'!$C$4+1))*('Summary Page'!$C$4+1)</f>
        <v>82.511999999999986</v>
      </c>
      <c r="AR35" s="7">
        <f t="shared" si="24"/>
        <v>80</v>
      </c>
      <c r="AS35" s="5">
        <f t="shared" si="19"/>
        <v>56.5</v>
      </c>
      <c r="AT35" s="13">
        <f t="shared" si="20"/>
        <v>38</v>
      </c>
      <c r="AU35" s="13">
        <f t="shared" si="21"/>
        <v>45.6</v>
      </c>
      <c r="AV35" s="7">
        <f>((AVERAGE(AS24:AS35,AU24:AU35)*('Summary Page'!$C$2+1))*('Summary Page'!$C$2+1))*('Summary Page'!$C$2+1)</f>
        <v>63.064534222222235</v>
      </c>
      <c r="AW35" s="7">
        <f>((AVERAGE(AS24:AS35,AU24:AU35)*('Summary Page'!$C$3+1))*('Summary Page'!$C$3+1))*('Summary Page'!$C$3+1)</f>
        <v>78.911675347222257</v>
      </c>
      <c r="AX35" s="7">
        <f>((AVERAGE(AS24:AS35,AU24:AU35)*('Summary Page'!$C$4+1))*('Summary Page'!$C$4+1))*('Summary Page'!$C$4+1)</f>
        <v>69.816000000000017</v>
      </c>
      <c r="BA35" s="40">
        <f t="shared" si="37"/>
        <v>61.199999999999996</v>
      </c>
      <c r="BB35" s="7">
        <f>((AVERAGE(B30:B35)*(+'Summary Page'!$C$2+1))*('Summary Page'!$C$2+1))*('Summary Page'!$C$2+1)</f>
        <v>125.65212799999998</v>
      </c>
      <c r="BC35" s="7">
        <f>((AVERAGE(B30:B35)*('Summary Page'!$C$3+1))*('Summary Page'!$C$3+1))*('Summary Page'!$C$3+1)</f>
        <v>157.2265625</v>
      </c>
      <c r="BD35" s="7">
        <f>((AVERAGE(B30:B35)*('Summary Page'!$C$4+1))*('Summary Page'!$C$4+1))*('Summary Page'!$C$4+1)</f>
        <v>139.10399999999998</v>
      </c>
      <c r="CQ35" s="40">
        <f t="shared" si="25"/>
        <v>49.199999999999996</v>
      </c>
      <c r="CR35" s="7">
        <f>((AVERAGE(C30:C35)*('Summary Page'!$C$2+1))*('Summary Page'!$C$2+1))*('Summary Page'!$C$2+1)</f>
        <v>77.264351999999988</v>
      </c>
      <c r="CS35" s="7">
        <f>((AVERAGE(C30:C35)*('Summary Page'!$C$3+1))*('Summary Page'!$C$3+1))*('Summary Page'!$C$3+1)</f>
        <v>96.6796875</v>
      </c>
      <c r="CT35" s="8">
        <f>((AVERAGE(C30:C35)*('Summary Page'!$C$4+1))*('Summary Page'!$C$4+1))*('Summary Page'!$C$4+1)</f>
        <v>85.536000000000001</v>
      </c>
      <c r="CW35" s="40">
        <f t="shared" si="26"/>
        <v>44.4</v>
      </c>
      <c r="CX35" s="7">
        <f>((AVERAGE(D30:D35)*('Summary Page'!$C$2+1))*('Summary Page'!$C$2+1))*('Summary Page'!$C$2+1)</f>
        <v>67.118527999999984</v>
      </c>
      <c r="CY35" s="7">
        <f>((AVERAGE(D30:D35)*('Summary Page'!$C$3+1))*('Summary Page'!$C$3+1))*('Summary Page'!$C$3+1)</f>
        <v>83.984375</v>
      </c>
      <c r="CZ35" s="8">
        <f>((AVERAGE(D30:D35)*('Summary Page'!$C$4+1))*('Summary Page'!$C$4+1))*('Summary Page'!$C$4+1)</f>
        <v>74.304000000000002</v>
      </c>
      <c r="DO35" s="40"/>
      <c r="DP35" s="7"/>
      <c r="DQ35" s="7"/>
      <c r="DR35" s="8"/>
      <c r="DU35" s="40"/>
      <c r="DV35" s="7"/>
      <c r="DW35" s="7"/>
      <c r="DX35" s="8"/>
      <c r="EA35" s="40">
        <f t="shared" si="27"/>
        <v>12</v>
      </c>
      <c r="EB35" s="7">
        <f>((AVERAGE(H30:H35)*('Summary Page'!$C$2+1))*('Summary Page'!$C$2+1))*('Summary Page'!$C$2+1)</f>
        <v>24.454037333333329</v>
      </c>
      <c r="EC35" s="7">
        <f>((AVERAGE(H30:H35)*('Summary Page'!$C$3+1))*('Summary Page'!$C$3+1))*('Summary Page'!$C$3+1)</f>
        <v>30.598958333333329</v>
      </c>
      <c r="ED35" s="8">
        <f>((AVERAGE(H30:H35)*('Summary Page'!$C$4+1))*('Summary Page'!$C$4+1))*('Summary Page'!$C$4+1)</f>
        <v>27.071999999999992</v>
      </c>
      <c r="EG35" s="40">
        <f t="shared" si="28"/>
        <v>42</v>
      </c>
      <c r="EH35" s="7">
        <f>((AVERAGE(I30:I35)*('Summary Page'!$C$2+1))*('Summary Page'!$C$2+1))*('Summary Page'!$C$2+1)</f>
        <v>91.832714666666661</v>
      </c>
      <c r="EI35" s="7">
        <f>((AVERAGE(I30:I35)*('Summary Page'!$C$3+1))*('Summary Page'!$C$3+1))*('Summary Page'!$C$3+1)</f>
        <v>114.90885416666669</v>
      </c>
      <c r="EJ35" s="8">
        <f>((AVERAGE(I30:I35)*('Summary Page'!$C$4+1))*('Summary Page'!$C$4+1))*('Summary Page'!$C$4+1)</f>
        <v>101.66399999999997</v>
      </c>
      <c r="EM35" s="40">
        <f t="shared" si="22"/>
        <v>109.2</v>
      </c>
      <c r="EN35" s="7">
        <f>((AVERAGE(AD30:AD35)*('Summary Page'!$C$2+1))*('Summary Page'!$C$2+1))*('Summary Page'!$C$2+1)</f>
        <v>166.23542399999994</v>
      </c>
      <c r="EO35" s="7">
        <f>((AVERAGE(AD30:AD35)*('Summary Page'!$C$3+1))*('Summary Page'!$C$3+1))*('Summary Page'!$C$3+1)</f>
        <v>208.0078125</v>
      </c>
      <c r="EP35" s="7">
        <f>((AVERAGE(AD30:AD35)*('Summary Page'!$C$4+1))*('Summary Page'!$C$4+1))*('Summary Page'!$C$4+1)</f>
        <v>184.03199999999998</v>
      </c>
      <c r="EQ35" s="7">
        <f t="shared" si="29"/>
        <v>100</v>
      </c>
      <c r="ER35" s="16">
        <f t="shared" si="17"/>
        <v>18.726591760299623</v>
      </c>
      <c r="ES35" s="16">
        <f t="shared" si="18"/>
        <v>18.696629213483146</v>
      </c>
      <c r="ET35" s="7">
        <f t="shared" si="30"/>
        <v>22.435955056179775</v>
      </c>
      <c r="EU35" s="7">
        <f>((AVERAGE(ER30:ER35)*('Summary Page'!$C$2+1))*('Summary Page'!$C$2+1))*('Summary Page'!$C$2+1)</f>
        <v>30.493009498127339</v>
      </c>
      <c r="EV35" s="7">
        <f>((AVERAGE(ER30:ER35)*('Summary Page'!$C$3+1))*('Summary Page'!$C$3+1))*('Summary Page'!$C$3+1)</f>
        <v>38.155430711610492</v>
      </c>
      <c r="EW35" s="7">
        <f>((AVERAGE(ER30:ER35)*('Summary Page'!$C$4+1))*('Summary Page'!$C$4+1))*('Summary Page'!$C$4+1)</f>
        <v>33.757483146067415</v>
      </c>
      <c r="EX35" s="11">
        <f t="shared" si="31"/>
        <v>21.847690387016229</v>
      </c>
      <c r="EY35" s="11">
        <f t="shared" si="32"/>
        <v>21.812734082397004</v>
      </c>
      <c r="EZ35" s="11">
        <f t="shared" si="33"/>
        <v>26.175280898876405</v>
      </c>
      <c r="FA35" s="11">
        <f t="shared" si="34"/>
        <v>35.575177747815232</v>
      </c>
      <c r="FB35" s="11">
        <f t="shared" si="35"/>
        <v>44.514669163545577</v>
      </c>
      <c r="FC35" s="11">
        <f t="shared" si="36"/>
        <v>39.383730337078653</v>
      </c>
    </row>
    <row r="36" spans="1:159" ht="15.75" x14ac:dyDescent="0.25">
      <c r="A36" s="10">
        <v>43984</v>
      </c>
      <c r="B36" s="64">
        <v>55</v>
      </c>
      <c r="C36" s="64">
        <v>78</v>
      </c>
      <c r="D36" s="64">
        <v>95</v>
      </c>
      <c r="E36" s="64">
        <f t="shared" si="1"/>
        <v>66.5</v>
      </c>
      <c r="F36" s="64">
        <v>0</v>
      </c>
      <c r="G36" s="64">
        <v>0</v>
      </c>
      <c r="H36" s="64">
        <v>15</v>
      </c>
      <c r="I36" s="64">
        <v>64</v>
      </c>
      <c r="J36" s="64"/>
      <c r="K36" s="64">
        <v>51.5</v>
      </c>
      <c r="L36" s="64">
        <v>70</v>
      </c>
      <c r="M36" s="64">
        <v>34</v>
      </c>
      <c r="N36" s="64">
        <v>26</v>
      </c>
      <c r="O36" s="64">
        <f t="shared" si="8"/>
        <v>52</v>
      </c>
      <c r="P36" s="64">
        <v>0</v>
      </c>
      <c r="Q36" s="64">
        <v>0</v>
      </c>
      <c r="R36" s="64">
        <v>8</v>
      </c>
      <c r="S36" s="64">
        <v>32</v>
      </c>
      <c r="T36" s="64"/>
      <c r="U36" s="64">
        <v>47</v>
      </c>
      <c r="V36" s="13"/>
      <c r="W36" s="13"/>
      <c r="X36" s="13"/>
      <c r="Y36" s="13"/>
      <c r="Z36" s="13"/>
      <c r="AA36" s="13"/>
      <c r="AB36" s="13"/>
      <c r="AC36" s="13"/>
      <c r="AD36" s="40">
        <v>113</v>
      </c>
      <c r="AE36" s="40">
        <v>87</v>
      </c>
      <c r="AF36" s="40"/>
      <c r="AG36" s="40">
        <v>687</v>
      </c>
      <c r="AH36">
        <v>690</v>
      </c>
      <c r="AN36" s="13">
        <f t="shared" si="23"/>
        <v>56.4</v>
      </c>
      <c r="AO36" s="7">
        <f>((AVERAGE(K31:K36)*('Summary Page'!$C$2+1))*('Summary Page'!$C$2+1))*('Summary Page'!$C$2+1)</f>
        <v>73.362111999999982</v>
      </c>
      <c r="AP36" s="7">
        <f>((AVERAGE(K31:K36)*('Summary Page'!$C$3+1))*('Summary Page'!$C$3+1))*('Summary Page'!$C$3+1)</f>
        <v>91.796875</v>
      </c>
      <c r="AQ36" s="7">
        <f>((AVERAGE(K31:K36)*('Summary Page'!$C$4+1))*('Summary Page'!$C$4+1))*('Summary Page'!$C$4+1)</f>
        <v>81.215999999999994</v>
      </c>
      <c r="AR36" s="7">
        <f t="shared" si="24"/>
        <v>80</v>
      </c>
      <c r="AS36" s="5">
        <f t="shared" ref="AS36:AS50" si="38">AVERAGE(MAX(C36,D36),MAX(H36,I36))</f>
        <v>79.5</v>
      </c>
      <c r="AT36" s="13">
        <f t="shared" ref="AT36:AT49" si="39">AVERAGE(MAX(M36,N36),MAX(R36,S36))</f>
        <v>33</v>
      </c>
      <c r="AU36" s="13">
        <f t="shared" ref="AU36:AU49" si="40">AT36*1.2</f>
        <v>39.6</v>
      </c>
      <c r="AV36" s="7">
        <f>((AVERAGE(AS25:AS36,AU25:AU36)*('Summary Page'!$C$2+1))*('Summary Page'!$C$2+1))*('Summary Page'!$C$2+1)</f>
        <v>66.925583911111104</v>
      </c>
      <c r="AW36" s="7">
        <f>((AVERAGE(AS25:AS36,AU25:AU36)*('Summary Page'!$C$3+1))*('Summary Page'!$C$3+1))*('Summary Page'!$C$3+1)</f>
        <v>83.742947048611128</v>
      </c>
      <c r="AX36" s="7">
        <f>((AVERAGE(AS25:AS36,AU25:AU36)*('Summary Page'!$C$4+1))*('Summary Page'!$C$4+1))*('Summary Page'!$C$4+1)</f>
        <v>74.090400000000002</v>
      </c>
      <c r="BA36" s="40">
        <f t="shared" si="37"/>
        <v>84</v>
      </c>
      <c r="BB36" s="7">
        <f>((AVERAGE(B31:B36)*(+'Summary Page'!$C$2+1))*('Summary Page'!$C$2+1))*('Summary Page'!$C$2+1)</f>
        <v>120.44914133333332</v>
      </c>
      <c r="BC36" s="7">
        <f>((AVERAGE(B31:B36)*('Summary Page'!$C$3+1))*('Summary Page'!$C$3+1))*('Summary Page'!$C$3+1)</f>
        <v>150.71614583333337</v>
      </c>
      <c r="BD36" s="7">
        <f>((AVERAGE(B31:B36)*('Summary Page'!$C$4+1))*('Summary Page'!$C$4+1))*('Summary Page'!$C$4+1)</f>
        <v>133.34399999999999</v>
      </c>
      <c r="CQ36" s="40">
        <f t="shared" si="25"/>
        <v>40.799999999999997</v>
      </c>
      <c r="CR36" s="7">
        <f>((AVERAGE(C31:C36)*('Summary Page'!$C$2+1))*('Summary Page'!$C$2+1))*('Summary Page'!$C$2+1)</f>
        <v>81.426741333333325</v>
      </c>
      <c r="CS36" s="7">
        <f>((AVERAGE(C31:C36)*('Summary Page'!$C$3+1))*('Summary Page'!$C$3+1))*('Summary Page'!$C$3+1)</f>
        <v>101.88802083333331</v>
      </c>
      <c r="CT36" s="8">
        <f>((AVERAGE(C31:C36)*('Summary Page'!$C$4+1))*('Summary Page'!$C$4+1))*('Summary Page'!$C$4+1)</f>
        <v>90.143999999999991</v>
      </c>
      <c r="CW36" s="40">
        <f t="shared" si="26"/>
        <v>31.2</v>
      </c>
      <c r="CX36" s="7">
        <f>((AVERAGE(D31:D36)*('Summary Page'!$C$2+1))*('Summary Page'!$C$2+1))*('Summary Page'!$C$2+1)</f>
        <v>77.524501333333319</v>
      </c>
      <c r="CY36" s="7">
        <f>((AVERAGE(D31:D36)*('Summary Page'!$C$3+1))*('Summary Page'!$C$3+1))*('Summary Page'!$C$3+1)</f>
        <v>97.005208333333314</v>
      </c>
      <c r="CZ36" s="8">
        <f>((AVERAGE(D31:D36)*('Summary Page'!$C$4+1))*('Summary Page'!$C$4+1))*('Summary Page'!$C$4+1)</f>
        <v>85.823999999999998</v>
      </c>
      <c r="DO36" s="40"/>
      <c r="DP36" s="7"/>
      <c r="DQ36" s="7"/>
      <c r="DR36" s="8"/>
      <c r="DU36" s="40"/>
      <c r="DV36" s="7"/>
      <c r="DW36" s="7"/>
      <c r="DX36" s="8"/>
      <c r="EA36" s="40">
        <f t="shared" si="27"/>
        <v>9.6</v>
      </c>
      <c r="EB36" s="7">
        <f>((AVERAGE(H31:H36)*('Summary Page'!$C$2+1))*('Summary Page'!$C$2+1))*('Summary Page'!$C$2+1)</f>
        <v>24.974335999999997</v>
      </c>
      <c r="EC36" s="7">
        <f>((AVERAGE(H31:H36)*('Summary Page'!$C$3+1))*('Summary Page'!$C$3+1))*('Summary Page'!$C$3+1)</f>
        <v>31.25</v>
      </c>
      <c r="ED36" s="8">
        <f>((AVERAGE(H31:H36)*('Summary Page'!$C$4+1))*('Summary Page'!$C$4+1))*('Summary Page'!$C$4+1)</f>
        <v>27.648</v>
      </c>
      <c r="EG36" s="40">
        <f t="shared" si="28"/>
        <v>38.4</v>
      </c>
      <c r="EH36" s="7">
        <f>((AVERAGE(I31:I36)*('Summary Page'!$C$2+1))*('Summary Page'!$C$2+1))*('Summary Page'!$C$2+1)</f>
        <v>100.15749333333332</v>
      </c>
      <c r="EI36" s="7">
        <f>((AVERAGE(I31:I36)*('Summary Page'!$C$3+1))*('Summary Page'!$C$3+1))*('Summary Page'!$C$3+1)</f>
        <v>125.32552083333336</v>
      </c>
      <c r="EJ36" s="8">
        <f>((AVERAGE(I31:I36)*('Summary Page'!$C$4+1))*('Summary Page'!$C$4+1))*('Summary Page'!$C$4+1)</f>
        <v>110.87999999999998</v>
      </c>
      <c r="EM36" s="40">
        <f t="shared" si="22"/>
        <v>104.39999999999999</v>
      </c>
      <c r="EN36" s="7">
        <f>((AVERAGE(AD31:AD36)*('Summary Page'!$C$2+1))*('Summary Page'!$C$2+1))*('Summary Page'!$C$2+1)</f>
        <v>167.01587199999997</v>
      </c>
      <c r="EO36" s="7">
        <f>((AVERAGE(AD31:AD36)*('Summary Page'!$C$3+1))*('Summary Page'!$C$3+1))*('Summary Page'!$C$3+1)</f>
        <v>208.984375</v>
      </c>
      <c r="EP36" s="7">
        <f>((AVERAGE(AD31:AD36)*('Summary Page'!$C$4+1))*('Summary Page'!$C$4+1))*('Summary Page'!$C$4+1)</f>
        <v>184.89600000000002</v>
      </c>
      <c r="EQ36" s="7">
        <f t="shared" si="29"/>
        <v>100</v>
      </c>
      <c r="ER36" s="16">
        <f t="shared" si="17"/>
        <v>20.584269662921347</v>
      </c>
      <c r="ES36" s="16">
        <f t="shared" si="18"/>
        <v>20.674157303370784</v>
      </c>
      <c r="ET36" s="7">
        <f t="shared" si="30"/>
        <v>24.80898876404494</v>
      </c>
      <c r="EU36" s="7">
        <f>((AVERAGE(ER31:ER36)*('Summary Page'!$C$2+1))*('Summary Page'!$C$2+1))*('Summary Page'!$C$2+1)</f>
        <v>30.508598971285885</v>
      </c>
      <c r="EV36" s="7">
        <f>((AVERAGE(ER31:ER36)*('Summary Page'!$C$3+1))*('Summary Page'!$C$3+1))*('Summary Page'!$C$3+1)</f>
        <v>38.174937578027468</v>
      </c>
      <c r="EW36" s="7">
        <f>((AVERAGE(ER31:ER36)*('Summary Page'!$C$4+1))*('Summary Page'!$C$4+1))*('Summary Page'!$C$4+1)</f>
        <v>33.774741573033701</v>
      </c>
      <c r="EX36" s="11">
        <f t="shared" si="31"/>
        <v>24.014981273408239</v>
      </c>
      <c r="EY36" s="11">
        <f t="shared" si="32"/>
        <v>24.119850187265914</v>
      </c>
      <c r="EZ36" s="11">
        <f t="shared" si="33"/>
        <v>28.943820224719097</v>
      </c>
      <c r="FA36" s="11">
        <f t="shared" si="34"/>
        <v>35.593365466500202</v>
      </c>
      <c r="FB36" s="11">
        <f t="shared" si="35"/>
        <v>44.537427174365376</v>
      </c>
      <c r="FC36" s="11">
        <f t="shared" si="36"/>
        <v>39.403865168539319</v>
      </c>
    </row>
    <row r="37" spans="1:159" ht="15.75" x14ac:dyDescent="0.25">
      <c r="A37" s="10">
        <v>44014</v>
      </c>
      <c r="B37" s="64">
        <v>64</v>
      </c>
      <c r="C37" s="64">
        <v>76</v>
      </c>
      <c r="D37" s="64">
        <v>75</v>
      </c>
      <c r="E37" s="64">
        <f t="shared" si="1"/>
        <v>70</v>
      </c>
      <c r="F37" s="64">
        <v>0</v>
      </c>
      <c r="G37" s="64">
        <v>0</v>
      </c>
      <c r="H37" s="64">
        <v>14</v>
      </c>
      <c r="I37" s="64">
        <v>73</v>
      </c>
      <c r="J37" s="64"/>
      <c r="K37" s="64">
        <v>65</v>
      </c>
      <c r="L37" s="64">
        <v>83</v>
      </c>
      <c r="M37" s="64">
        <v>39</v>
      </c>
      <c r="N37" s="64">
        <v>27</v>
      </c>
      <c r="O37" s="64">
        <f t="shared" si="8"/>
        <v>61</v>
      </c>
      <c r="P37" s="64">
        <v>0</v>
      </c>
      <c r="Q37" s="64">
        <v>0</v>
      </c>
      <c r="R37" s="64">
        <v>11</v>
      </c>
      <c r="S37" s="64">
        <v>30</v>
      </c>
      <c r="T37" s="64"/>
      <c r="U37" s="64">
        <v>63</v>
      </c>
      <c r="V37" s="13"/>
      <c r="W37" s="13"/>
      <c r="X37" s="13"/>
      <c r="Y37" s="13"/>
      <c r="Z37" s="13"/>
      <c r="AA37" s="13"/>
      <c r="AB37" s="13"/>
      <c r="AC37" s="13"/>
      <c r="AD37" s="40">
        <v>106</v>
      </c>
      <c r="AE37" s="40">
        <v>94</v>
      </c>
      <c r="AF37" s="40"/>
      <c r="AG37" s="40">
        <v>801</v>
      </c>
      <c r="AH37">
        <v>690</v>
      </c>
      <c r="AN37" s="13">
        <f t="shared" si="23"/>
        <v>75.599999999999994</v>
      </c>
      <c r="AO37" s="7">
        <f>((AVERAGE(K32:K37)*('Summary Page'!$C$2+1))*('Summary Page'!$C$2+1))*('Summary Page'!$C$2+1)</f>
        <v>77.264351999999988</v>
      </c>
      <c r="AP37" s="7">
        <f>((AVERAGE(K32:K37)*('Summary Page'!$C$3+1))*('Summary Page'!$C$3+1))*('Summary Page'!$C$3+1)</f>
        <v>96.6796875</v>
      </c>
      <c r="AQ37" s="7">
        <f>((AVERAGE(K32:K37)*('Summary Page'!$C$4+1))*('Summary Page'!$C$4+1))*('Summary Page'!$C$4+1)</f>
        <v>85.536000000000001</v>
      </c>
      <c r="AR37" s="7">
        <f t="shared" si="24"/>
        <v>80</v>
      </c>
      <c r="AS37" s="5">
        <f t="shared" si="38"/>
        <v>74.5</v>
      </c>
      <c r="AT37" s="13">
        <f t="shared" si="39"/>
        <v>34.5</v>
      </c>
      <c r="AU37" s="13">
        <f t="shared" si="40"/>
        <v>41.4</v>
      </c>
      <c r="AV37" s="7">
        <f>((AVERAGE(AS26:AS37,AU26:AU37)*('Summary Page'!$C$2+1))*('Summary Page'!$C$2+1))*('Summary Page'!$C$2+1)</f>
        <v>70.309693155555564</v>
      </c>
      <c r="AW37" s="7">
        <f>((AVERAGE(AS26:AS37,AU26:AU37)*('Summary Page'!$C$3+1))*('Summary Page'!$C$3+1))*('Summary Page'!$C$3+1)</f>
        <v>87.977430555555571</v>
      </c>
      <c r="AX37" s="7">
        <f>((AVERAGE(AS26:AS37,AU26:AU37)*('Summary Page'!$C$4+1))*('Summary Page'!$C$4+1))*('Summary Page'!$C$4+1)</f>
        <v>77.836800000000025</v>
      </c>
      <c r="BA37" s="40">
        <f t="shared" si="37"/>
        <v>99.6</v>
      </c>
      <c r="BB37" s="7">
        <f>((AVERAGE(B32:B37)*(+'Summary Page'!$C$2+1))*('Summary Page'!$C$2+1))*('Summary Page'!$C$2+1)</f>
        <v>117.3273493333333</v>
      </c>
      <c r="BC37" s="7">
        <f>((AVERAGE(B32:B37)*('Summary Page'!$C$3+1))*('Summary Page'!$C$3+1))*('Summary Page'!$C$3+1)</f>
        <v>146.80989583333337</v>
      </c>
      <c r="BD37" s="7">
        <f>((AVERAGE(B32:B37)*('Summary Page'!$C$4+1))*('Summary Page'!$C$4+1))*('Summary Page'!$C$4+1)</f>
        <v>129.88799999999998</v>
      </c>
      <c r="CQ37" s="40">
        <f t="shared" si="25"/>
        <v>46.8</v>
      </c>
      <c r="CR37" s="7">
        <f>((AVERAGE(C32:C37)*('Summary Page'!$C$2+1))*('Summary Page'!$C$2+1))*('Summary Page'!$C$2+1)</f>
        <v>85.849279999999993</v>
      </c>
      <c r="CS37" s="7">
        <f>((AVERAGE(C32:C37)*('Summary Page'!$C$3+1))*('Summary Page'!$C$3+1))*('Summary Page'!$C$3+1)</f>
        <v>107.421875</v>
      </c>
      <c r="CT37" s="8">
        <f>((AVERAGE(C32:C37)*('Summary Page'!$C$4+1))*('Summary Page'!$C$4+1))*('Summary Page'!$C$4+1)</f>
        <v>95.04</v>
      </c>
      <c r="CW37" s="40">
        <f t="shared" si="26"/>
        <v>32.4</v>
      </c>
      <c r="CX37" s="7">
        <f>((AVERAGE(D32:D37)*('Summary Page'!$C$2+1))*('Summary Page'!$C$2+1))*('Summary Page'!$C$2+1)</f>
        <v>83.507935999999987</v>
      </c>
      <c r="CY37" s="7">
        <f>((AVERAGE(D32:D37)*('Summary Page'!$C$3+1))*('Summary Page'!$C$3+1))*('Summary Page'!$C$3+1)</f>
        <v>104.4921875</v>
      </c>
      <c r="CZ37" s="8">
        <f>((AVERAGE(D32:D37)*('Summary Page'!$C$4+1))*('Summary Page'!$C$4+1))*('Summary Page'!$C$4+1)</f>
        <v>92.448000000000008</v>
      </c>
      <c r="DO37" s="40"/>
      <c r="DP37" s="7"/>
      <c r="DQ37" s="7"/>
      <c r="DR37" s="8"/>
      <c r="DU37" s="40"/>
      <c r="DV37" s="7"/>
      <c r="DW37" s="7"/>
      <c r="DX37" s="8"/>
      <c r="EA37" s="40">
        <f t="shared" si="27"/>
        <v>13.2</v>
      </c>
      <c r="EB37" s="7">
        <f>((AVERAGE(H32:H37)*('Summary Page'!$C$2+1))*('Summary Page'!$C$2+1))*('Summary Page'!$C$2+1)</f>
        <v>24.974335999999997</v>
      </c>
      <c r="EC37" s="7">
        <f>((AVERAGE(H32:H37)*('Summary Page'!$C$3+1))*('Summary Page'!$C$3+1))*('Summary Page'!$C$3+1)</f>
        <v>31.25</v>
      </c>
      <c r="ED37" s="8">
        <f>((AVERAGE(H32:H37)*('Summary Page'!$C$4+1))*('Summary Page'!$C$4+1))*('Summary Page'!$C$4+1)</f>
        <v>27.648</v>
      </c>
      <c r="EG37" s="40">
        <f t="shared" si="28"/>
        <v>36</v>
      </c>
      <c r="EH37" s="7">
        <f>((AVERAGE(I32:I37)*('Summary Page'!$C$2+1))*('Summary Page'!$C$2+1))*('Summary Page'!$C$2+1)</f>
        <v>105.36047999999998</v>
      </c>
      <c r="EI37" s="7">
        <f>((AVERAGE(I32:I37)*('Summary Page'!$C$3+1))*('Summary Page'!$C$3+1))*('Summary Page'!$C$3+1)</f>
        <v>131.8359375</v>
      </c>
      <c r="EJ37" s="8">
        <f>((AVERAGE(I32:I37)*('Summary Page'!$C$4+1))*('Summary Page'!$C$4+1))*('Summary Page'!$C$4+1)</f>
        <v>116.64</v>
      </c>
      <c r="EM37" s="40">
        <f t="shared" si="22"/>
        <v>112.8</v>
      </c>
      <c r="EN37" s="7">
        <f>((AVERAGE(AD32:AD37)*('Summary Page'!$C$2+1))*('Summary Page'!$C$2+1))*('Summary Page'!$C$2+1)</f>
        <v>165.97527466666662</v>
      </c>
      <c r="EO37" s="7">
        <f>((AVERAGE(AD32:AD37)*('Summary Page'!$C$3+1))*('Summary Page'!$C$3+1))*('Summary Page'!$C$3+1)</f>
        <v>207.68229166666663</v>
      </c>
      <c r="EP37" s="7">
        <f>((AVERAGE(AD32:AD37)*('Summary Page'!$C$4+1))*('Summary Page'!$C$4+1))*('Summary Page'!$C$4+1)</f>
        <v>183.74399999999997</v>
      </c>
      <c r="EQ37" s="7">
        <f t="shared" si="29"/>
        <v>100</v>
      </c>
      <c r="ER37" s="16">
        <f t="shared" si="17"/>
        <v>24</v>
      </c>
      <c r="ES37" s="16">
        <f t="shared" si="18"/>
        <v>20.674157303370784</v>
      </c>
      <c r="ET37" s="7">
        <f t="shared" si="30"/>
        <v>24.80898876404494</v>
      </c>
      <c r="EU37" s="7">
        <f>((AVERAGE(ER32:ER37)*('Summary Page'!$C$2+1))*('Summary Page'!$C$2+1))*('Summary Page'!$C$2+1)</f>
        <v>31.997393657927589</v>
      </c>
      <c r="EV37" s="7">
        <f>((AVERAGE(ER32:ER37)*('Summary Page'!$C$3+1))*('Summary Page'!$C$3+1))*('Summary Page'!$C$3+1)</f>
        <v>40.037843320848943</v>
      </c>
      <c r="EW37" s="7">
        <f>((AVERAGE(ER32:ER37)*('Summary Page'!$C$4+1))*('Summary Page'!$C$4+1))*('Summary Page'!$C$4+1)</f>
        <v>35.422921348314603</v>
      </c>
      <c r="EX37" s="11">
        <f t="shared" si="31"/>
        <v>28</v>
      </c>
      <c r="EY37" s="11">
        <f t="shared" si="32"/>
        <v>24.119850187265914</v>
      </c>
      <c r="EZ37" s="11">
        <f t="shared" si="33"/>
        <v>28.943820224719097</v>
      </c>
      <c r="FA37" s="11">
        <f t="shared" si="34"/>
        <v>37.33029260091552</v>
      </c>
      <c r="FB37" s="11">
        <f t="shared" si="35"/>
        <v>46.710817207657101</v>
      </c>
      <c r="FC37" s="11">
        <f t="shared" si="36"/>
        <v>41.326741573033701</v>
      </c>
    </row>
    <row r="38" spans="1:159" ht="15.75" x14ac:dyDescent="0.25">
      <c r="A38" s="10">
        <v>44054</v>
      </c>
      <c r="B38" s="64">
        <v>86</v>
      </c>
      <c r="C38" s="64">
        <v>57</v>
      </c>
      <c r="D38" s="64">
        <v>52</v>
      </c>
      <c r="E38" s="64">
        <f t="shared" si="1"/>
        <v>71.5</v>
      </c>
      <c r="F38" s="64">
        <v>0</v>
      </c>
      <c r="G38" s="64">
        <v>0</v>
      </c>
      <c r="H38" s="64">
        <v>11</v>
      </c>
      <c r="I38" s="64">
        <v>54</v>
      </c>
      <c r="J38" s="64"/>
      <c r="K38" s="64">
        <v>68</v>
      </c>
      <c r="L38" s="64">
        <v>85</v>
      </c>
      <c r="M38" s="64">
        <v>44</v>
      </c>
      <c r="N38" s="64">
        <v>36</v>
      </c>
      <c r="O38" s="64">
        <f t="shared" si="8"/>
        <v>64.5</v>
      </c>
      <c r="P38" s="64">
        <v>0</v>
      </c>
      <c r="Q38" s="64">
        <v>0</v>
      </c>
      <c r="R38" s="64">
        <v>16</v>
      </c>
      <c r="S38" s="64">
        <v>63</v>
      </c>
      <c r="T38" s="64"/>
      <c r="U38" s="64">
        <v>67</v>
      </c>
      <c r="V38" s="13"/>
      <c r="W38" s="13"/>
      <c r="X38" s="13"/>
      <c r="Y38" s="13"/>
      <c r="Z38" s="13"/>
      <c r="AA38" s="13"/>
      <c r="AB38" s="13"/>
      <c r="AC38" s="13"/>
      <c r="AD38" s="40">
        <v>101</v>
      </c>
      <c r="AE38" s="40">
        <v>95</v>
      </c>
      <c r="AF38" s="40"/>
      <c r="AG38" s="40">
        <v>853</v>
      </c>
      <c r="AH38" s="40">
        <v>805</v>
      </c>
      <c r="AI38" s="40"/>
      <c r="AJ38" s="40"/>
      <c r="AK38" s="40"/>
      <c r="AL38" s="40"/>
      <c r="AM38" s="40"/>
      <c r="AN38" s="13">
        <f t="shared" si="23"/>
        <v>80.399999999999991</v>
      </c>
      <c r="AO38" s="7">
        <f>((AVERAGE(K33:K38)*('Summary Page'!$C$2+1))*('Summary Page'!$C$2+1))*('Summary Page'!$C$2+1)</f>
        <v>82.337263999999976</v>
      </c>
      <c r="AP38" s="7">
        <f>((AVERAGE(K33:K38)*('Summary Page'!$C$3+1))*('Summary Page'!$C$3+1))*('Summary Page'!$C$3+1)</f>
        <v>103.02734375</v>
      </c>
      <c r="AQ38" s="7">
        <f>((AVERAGE(K33:K38)*('Summary Page'!$C$4+1))*('Summary Page'!$C$4+1))*('Summary Page'!$C$4+1)</f>
        <v>91.151999999999987</v>
      </c>
      <c r="AR38" s="7">
        <f t="shared" si="24"/>
        <v>80</v>
      </c>
      <c r="AS38" s="5">
        <f t="shared" si="38"/>
        <v>55.5</v>
      </c>
      <c r="AT38" s="13">
        <f t="shared" si="39"/>
        <v>53.5</v>
      </c>
      <c r="AU38" s="13">
        <f t="shared" si="40"/>
        <v>64.2</v>
      </c>
      <c r="AV38" s="7">
        <f>((AVERAGE(AS27:AS38,AU27:AU38)*('Summary Page'!$C$2+1))*('Summary Page'!$C$2+1))*('Summary Page'!$C$2+1)</f>
        <v>74.175078666666664</v>
      </c>
      <c r="AW38" s="7">
        <f>((AVERAGE(AS27:AS38,AU27:AU38)*('Summary Page'!$C$3+1))*('Summary Page'!$C$3+1))*('Summary Page'!$C$3+1)</f>
        <v>92.814127604166686</v>
      </c>
      <c r="AX38" s="7">
        <f>((AVERAGE(AS27:AS38,AU27:AU38)*('Summary Page'!$C$4+1))*('Summary Page'!$C$4+1))*('Summary Page'!$C$4+1)</f>
        <v>82.116</v>
      </c>
      <c r="BA38" s="40">
        <f t="shared" si="37"/>
        <v>102</v>
      </c>
      <c r="BB38" s="7">
        <f>((AVERAGE(B33:B38)*(+'Summary Page'!$C$2+1))*('Summary Page'!$C$2+1))*('Summary Page'!$C$2+1)</f>
        <v>120.44914133333332</v>
      </c>
      <c r="BC38" s="7">
        <f>((AVERAGE(B33:B38)*('Summary Page'!$C$3+1))*('Summary Page'!$C$3+1))*('Summary Page'!$C$3+1)</f>
        <v>150.71614583333337</v>
      </c>
      <c r="BD38" s="7">
        <f>((AVERAGE(B33:B38)*('Summary Page'!$C$4+1))*('Summary Page'!$C$4+1))*('Summary Page'!$C$4+1)</f>
        <v>133.34399999999999</v>
      </c>
      <c r="CQ38" s="40">
        <f t="shared" si="25"/>
        <v>52.8</v>
      </c>
      <c r="CR38" s="7">
        <f>((AVERAGE(C33:C38)*('Summary Page'!$C$2+1))*('Summary Page'!$C$2+1))*('Summary Page'!$C$2+1)</f>
        <v>87.670325333333309</v>
      </c>
      <c r="CS38" s="7">
        <f>((AVERAGE(C33:C38)*('Summary Page'!$C$3+1))*('Summary Page'!$C$3+1))*('Summary Page'!$C$3+1)</f>
        <v>109.70052083333331</v>
      </c>
      <c r="CT38" s="8">
        <f>((AVERAGE(C33:C38)*('Summary Page'!$C$4+1))*('Summary Page'!$C$4+1))*('Summary Page'!$C$4+1)</f>
        <v>97.055999999999969</v>
      </c>
      <c r="CW38" s="40">
        <f t="shared" si="26"/>
        <v>43.199999999999996</v>
      </c>
      <c r="CX38" s="7">
        <f>((AVERAGE(D33:D38)*('Summary Page'!$C$2+1))*('Summary Page'!$C$2+1))*('Summary Page'!$C$2+1)</f>
        <v>85.849279999999993</v>
      </c>
      <c r="CY38" s="7">
        <f>((AVERAGE(D33:D38)*('Summary Page'!$C$3+1))*('Summary Page'!$C$3+1))*('Summary Page'!$C$3+1)</f>
        <v>107.421875</v>
      </c>
      <c r="CZ38" s="8">
        <f>((AVERAGE(D33:D38)*('Summary Page'!$C$4+1))*('Summary Page'!$C$4+1))*('Summary Page'!$C$4+1)</f>
        <v>95.04</v>
      </c>
      <c r="DO38" s="40"/>
      <c r="DP38" s="7"/>
      <c r="DQ38" s="7"/>
      <c r="DR38" s="8"/>
      <c r="DU38" s="40"/>
      <c r="DV38" s="7"/>
      <c r="DW38" s="7"/>
      <c r="DX38" s="8"/>
      <c r="EA38" s="40">
        <f t="shared" si="27"/>
        <v>19.2</v>
      </c>
      <c r="EB38" s="7">
        <f>((AVERAGE(H33:H38)*('Summary Page'!$C$2+1))*('Summary Page'!$C$2+1))*('Summary Page'!$C$2+1)</f>
        <v>23.673589333333329</v>
      </c>
      <c r="EC38" s="7">
        <f>((AVERAGE(H33:H38)*('Summary Page'!$C$3+1))*('Summary Page'!$C$3+1))*('Summary Page'!$C$3+1)</f>
        <v>29.622395833333329</v>
      </c>
      <c r="ED38" s="8">
        <f>((AVERAGE(H33:H38)*('Summary Page'!$C$4+1))*('Summary Page'!$C$4+1))*('Summary Page'!$C$4+1)</f>
        <v>26.207999999999998</v>
      </c>
      <c r="EG38" s="40">
        <f t="shared" si="28"/>
        <v>75.599999999999994</v>
      </c>
      <c r="EH38" s="7">
        <f>((AVERAGE(I33:I38)*('Summary Page'!$C$2+1))*('Summary Page'!$C$2+1))*('Summary Page'!$C$2+1)</f>
        <v>104.05973333333331</v>
      </c>
      <c r="EI38" s="7">
        <f>((AVERAGE(I33:I38)*('Summary Page'!$C$3+1))*('Summary Page'!$C$3+1))*('Summary Page'!$C$3+1)</f>
        <v>130.20833333333337</v>
      </c>
      <c r="EJ38" s="8">
        <f>((AVERAGE(I33:I38)*('Summary Page'!$C$4+1))*('Summary Page'!$C$4+1))*('Summary Page'!$C$4+1)</f>
        <v>115.19999999999999</v>
      </c>
      <c r="EM38" s="40">
        <f t="shared" si="22"/>
        <v>114</v>
      </c>
      <c r="EN38" s="7">
        <f>((AVERAGE(AD33:AD38)*('Summary Page'!$C$2+1))*('Summary Page'!$C$2+1))*('Summary Page'!$C$2+1)</f>
        <v>165.71512533333333</v>
      </c>
      <c r="EO38" s="7">
        <f>((AVERAGE(AD33:AD38)*('Summary Page'!$C$3+1))*('Summary Page'!$C$3+1))*('Summary Page'!$C$3+1)</f>
        <v>207.35677083333337</v>
      </c>
      <c r="EP38" s="7">
        <f>((AVERAGE(AD33:AD38)*('Summary Page'!$C$4+1))*('Summary Page'!$C$4+1))*('Summary Page'!$C$4+1)</f>
        <v>183.45599999999999</v>
      </c>
      <c r="EQ38" s="7">
        <f t="shared" si="29"/>
        <v>100</v>
      </c>
      <c r="ER38" s="16">
        <f t="shared" si="17"/>
        <v>25.558052434456929</v>
      </c>
      <c r="ES38" s="16">
        <f t="shared" si="18"/>
        <v>24.119850187265918</v>
      </c>
      <c r="ET38" s="7">
        <f t="shared" si="30"/>
        <v>28.943820224719101</v>
      </c>
      <c r="EU38" s="7">
        <f>((AVERAGE(ER33:ER38)*('Summary Page'!$C$2+1))*('Summary Page'!$C$2+1))*('Summary Page'!$C$2+1)</f>
        <v>33.501777817727827</v>
      </c>
      <c r="EV38" s="7">
        <f>((AVERAGE(ER33:ER38)*('Summary Page'!$C$3+1))*('Summary Page'!$C$3+1))*('Summary Page'!$C$3+1)</f>
        <v>41.920255930087379</v>
      </c>
      <c r="EW38" s="7">
        <f>((AVERAGE(ER33:ER38)*('Summary Page'!$C$4+1))*('Summary Page'!$C$4+1))*('Summary Page'!$C$4+1)</f>
        <v>37.08835955056179</v>
      </c>
      <c r="EX38" s="11">
        <f t="shared" si="31"/>
        <v>29.817727840199751</v>
      </c>
      <c r="EY38" s="11">
        <f t="shared" si="32"/>
        <v>28.139825218476904</v>
      </c>
      <c r="EZ38" s="11">
        <f t="shared" si="33"/>
        <v>33.767790262172284</v>
      </c>
      <c r="FA38" s="11">
        <f t="shared" ref="FA38:FA48" si="41">(EU38/6)+EU38</f>
        <v>39.085407454015801</v>
      </c>
      <c r="FB38" s="11">
        <f t="shared" si="35"/>
        <v>48.906965251768611</v>
      </c>
      <c r="FC38" s="11">
        <f t="shared" si="36"/>
        <v>43.269752808988756</v>
      </c>
    </row>
    <row r="39" spans="1:159" ht="15.75" x14ac:dyDescent="0.25">
      <c r="A39" s="10">
        <v>44078</v>
      </c>
      <c r="B39" s="64">
        <v>115</v>
      </c>
      <c r="C39" s="64">
        <v>55</v>
      </c>
      <c r="D39" s="64">
        <v>48</v>
      </c>
      <c r="E39" s="64">
        <f t="shared" si="1"/>
        <v>85</v>
      </c>
      <c r="F39" s="64">
        <v>0</v>
      </c>
      <c r="G39" s="64">
        <v>0</v>
      </c>
      <c r="H39" s="64">
        <v>16</v>
      </c>
      <c r="I39" s="64">
        <v>71</v>
      </c>
      <c r="J39" s="64"/>
      <c r="K39" s="64">
        <v>81.5</v>
      </c>
      <c r="L39" s="64">
        <v>103</v>
      </c>
      <c r="M39" s="64">
        <v>42</v>
      </c>
      <c r="N39" s="64">
        <v>36</v>
      </c>
      <c r="O39" s="64">
        <f t="shared" si="8"/>
        <v>72.5</v>
      </c>
      <c r="P39" s="64">
        <v>0</v>
      </c>
      <c r="Q39" s="64">
        <v>0</v>
      </c>
      <c r="R39" s="64">
        <v>12</v>
      </c>
      <c r="S39" s="64">
        <v>54</v>
      </c>
      <c r="T39" s="64"/>
      <c r="U39" s="64">
        <v>65</v>
      </c>
      <c r="V39" s="13"/>
      <c r="W39" s="13"/>
      <c r="X39" s="13"/>
      <c r="Y39" s="13"/>
      <c r="Z39" s="13"/>
      <c r="AA39" s="13"/>
      <c r="AB39" s="13"/>
      <c r="AC39" s="13"/>
      <c r="AD39" s="40">
        <v>134</v>
      </c>
      <c r="AE39" s="40">
        <v>107</v>
      </c>
      <c r="AF39" s="40"/>
      <c r="AG39" s="40">
        <v>776</v>
      </c>
      <c r="AH39" s="40">
        <v>724</v>
      </c>
      <c r="AI39" s="40"/>
      <c r="AJ39" s="40"/>
      <c r="AK39" s="40"/>
      <c r="AL39" s="40"/>
      <c r="AM39" s="40"/>
      <c r="AN39" s="13">
        <f t="shared" si="23"/>
        <v>78</v>
      </c>
      <c r="AO39" s="7">
        <f>((AVERAGE(K34:K39)*('Summary Page'!$C$2+1))*('Summary Page'!$C$2+1))*('Summary Page'!$C$2+1)</f>
        <v>91.832714666666661</v>
      </c>
      <c r="AP39" s="7">
        <f>((AVERAGE(K34:K39)*('Summary Page'!$C$3+1))*('Summary Page'!$C$3+1))*('Summary Page'!$C$3+1)</f>
        <v>114.90885416666669</v>
      </c>
      <c r="AQ39" s="7">
        <f>((AVERAGE(K34:K39)*('Summary Page'!$C$4+1))*('Summary Page'!$C$4+1))*('Summary Page'!$C$4+1)</f>
        <v>101.66399999999997</v>
      </c>
      <c r="AR39" s="7">
        <f t="shared" si="24"/>
        <v>80</v>
      </c>
      <c r="AS39" s="5">
        <f t="shared" si="38"/>
        <v>63</v>
      </c>
      <c r="AT39" s="13">
        <f t="shared" si="39"/>
        <v>48</v>
      </c>
      <c r="AU39" s="13">
        <f t="shared" si="40"/>
        <v>57.599999999999994</v>
      </c>
      <c r="AV39" s="7">
        <f>((AVERAGE(AS28:AS39,AU28:AU39)*('Summary Page'!$C$2+1))*('Summary Page'!$C$2+1))*('Summary Page'!$C$2+1)</f>
        <v>78.428520266666666</v>
      </c>
      <c r="AW39" s="7">
        <f>((AVERAGE(AS28:AS39,AU28:AU39)*('Summary Page'!$C$3+1))*('Summary Page'!$C$3+1))*('Summary Page'!$C$3+1)</f>
        <v>98.136393229166686</v>
      </c>
      <c r="AX39" s="7">
        <f>((AVERAGE(AS28:AS39,AU28:AU39)*('Summary Page'!$C$4+1))*('Summary Page'!$C$4+1))*('Summary Page'!$C$4+1)</f>
        <v>86.824799999999996</v>
      </c>
      <c r="BA39" s="40">
        <f t="shared" ref="BA39:BA49" si="42">L39*1.2</f>
        <v>123.6</v>
      </c>
      <c r="BB39" s="7">
        <f>((AVERAGE(B34:B39)*(+'Summary Page'!$C$2+1))*('Summary Page'!$C$2+1))*('Summary Page'!$C$2+1)</f>
        <v>130.85511466666662</v>
      </c>
      <c r="BC39" s="7">
        <f>((AVERAGE(B34:B39)*('Summary Page'!$C$3+1))*('Summary Page'!$C$3+1))*('Summary Page'!$C$3+1)</f>
        <v>163.73697916666663</v>
      </c>
      <c r="BD39" s="7">
        <f>((AVERAGE(B34:B39)*('Summary Page'!$C$4+1))*('Summary Page'!$C$4+1))*('Summary Page'!$C$4+1)</f>
        <v>144.86399999999998</v>
      </c>
      <c r="CQ39" s="40">
        <f t="shared" si="25"/>
        <v>50.4</v>
      </c>
      <c r="CR39" s="7">
        <f>((AVERAGE(C34:C39)*('Summary Page'!$C$2+1))*('Summary Page'!$C$2+1))*('Summary Page'!$C$2+1)</f>
        <v>89.751519999999971</v>
      </c>
      <c r="CS39" s="7">
        <f>((AVERAGE(C34:C39)*('Summary Page'!$C$3+1))*('Summary Page'!$C$3+1))*('Summary Page'!$C$3+1)</f>
        <v>112.3046875</v>
      </c>
      <c r="CT39" s="8">
        <f>((AVERAGE(C34:C39)*('Summary Page'!$C$4+1))*('Summary Page'!$C$4+1))*('Summary Page'!$C$4+1)</f>
        <v>99.36</v>
      </c>
      <c r="CW39" s="40">
        <f t="shared" si="26"/>
        <v>43.199999999999996</v>
      </c>
      <c r="CX39" s="7">
        <f>((AVERAGE(D34:D39)*('Summary Page'!$C$2+1))*('Summary Page'!$C$2+1))*('Summary Page'!$C$2+1)</f>
        <v>87.670325333333309</v>
      </c>
      <c r="CY39" s="7">
        <f>((AVERAGE(D34:D39)*('Summary Page'!$C$3+1))*('Summary Page'!$C$3+1))*('Summary Page'!$C$3+1)</f>
        <v>109.70052083333331</v>
      </c>
      <c r="CZ39" s="8">
        <f>((AVERAGE(D34:D39)*('Summary Page'!$C$4+1))*('Summary Page'!$C$4+1))*('Summary Page'!$C$4+1)</f>
        <v>97.055999999999969</v>
      </c>
      <c r="DO39" s="40"/>
      <c r="DP39" s="7"/>
      <c r="DQ39" s="7"/>
      <c r="DR39" s="8"/>
      <c r="DU39" s="40"/>
      <c r="DV39" s="7"/>
      <c r="DW39" s="7"/>
      <c r="DX39" s="8"/>
      <c r="EA39" s="40">
        <f t="shared" si="27"/>
        <v>14.399999999999999</v>
      </c>
      <c r="EB39" s="7">
        <f>((AVERAGE(H34:H39)*('Summary Page'!$C$2+1))*('Summary Page'!$C$2+1))*('Summary Page'!$C$2+1)</f>
        <v>23.413439999999994</v>
      </c>
      <c r="EC39" s="7">
        <f>((AVERAGE(H34:H39)*('Summary Page'!$C$3+1))*('Summary Page'!$C$3+1))*('Summary Page'!$C$3+1)</f>
        <v>29.296875</v>
      </c>
      <c r="ED39" s="8">
        <f>((AVERAGE(H34:H39)*('Summary Page'!$C$4+1))*('Summary Page'!$C$4+1))*('Summary Page'!$C$4+1)</f>
        <v>25.919999999999998</v>
      </c>
      <c r="EG39" s="40">
        <f t="shared" si="28"/>
        <v>64.8</v>
      </c>
      <c r="EH39" s="7">
        <f>((AVERAGE(I34:I39)*('Summary Page'!$C$2+1))*('Summary Page'!$C$2+1))*('Summary Page'!$C$2+1)</f>
        <v>107.44167466666663</v>
      </c>
      <c r="EI39" s="7">
        <f>((AVERAGE(I34:I39)*('Summary Page'!$C$3+1))*('Summary Page'!$C$3+1))*('Summary Page'!$C$3+1)</f>
        <v>134.44010416666663</v>
      </c>
      <c r="EJ39" s="8">
        <f>((AVERAGE(I34:I39)*('Summary Page'!$C$4+1))*('Summary Page'!$C$4+1))*('Summary Page'!$C$4+1)</f>
        <v>118.94399999999999</v>
      </c>
      <c r="EM39" s="40">
        <f t="shared" si="22"/>
        <v>128.4</v>
      </c>
      <c r="EN39" s="7">
        <f>((AVERAGE(AD34:AD39)*('Summary Page'!$C$2+1))*('Summary Page'!$C$2+1))*('Summary Page'!$C$2+1)</f>
        <v>175.08050133333333</v>
      </c>
      <c r="EO39" s="7">
        <f>((AVERAGE(AD34:AD39)*('Summary Page'!$C$3+1))*('Summary Page'!$C$3+1))*('Summary Page'!$C$3+1)</f>
        <v>219.07552083333337</v>
      </c>
      <c r="EP39" s="7">
        <f>((AVERAGE(AD34:AD39)*('Summary Page'!$C$4+1))*('Summary Page'!$C$4+1))*('Summary Page'!$C$4+1)</f>
        <v>193.82399999999998</v>
      </c>
      <c r="EQ39" s="7">
        <f t="shared" si="29"/>
        <v>100</v>
      </c>
      <c r="ER39" s="16">
        <f t="shared" si="17"/>
        <v>23.250936329588015</v>
      </c>
      <c r="ES39" s="16">
        <f t="shared" si="18"/>
        <v>21.692883895131086</v>
      </c>
      <c r="ET39" s="7">
        <f t="shared" si="30"/>
        <v>26.031460674157302</v>
      </c>
      <c r="EU39" s="7">
        <f>((AVERAGE(ER34:ER39)*('Summary Page'!$C$2+1))*('Summary Page'!$C$2+1))*('Summary Page'!$C$2+1)</f>
        <v>34.554067255930079</v>
      </c>
      <c r="EV39" s="7">
        <f>((AVERAGE(ER34:ER39)*('Summary Page'!$C$3+1))*('Summary Page'!$C$3+1))*('Summary Page'!$C$3+1)</f>
        <v>43.236969413233467</v>
      </c>
      <c r="EW39" s="7">
        <f>((AVERAGE(ER34:ER39)*('Summary Page'!$C$4+1))*('Summary Page'!$C$4+1))*('Summary Page'!$C$4+1)</f>
        <v>38.253303370786512</v>
      </c>
      <c r="EX39" s="11">
        <f t="shared" si="31"/>
        <v>27.12609238451935</v>
      </c>
      <c r="EY39" s="11">
        <f t="shared" si="32"/>
        <v>25.308364544319602</v>
      </c>
      <c r="EZ39" s="11">
        <f t="shared" si="33"/>
        <v>30.370037453183517</v>
      </c>
      <c r="FA39" s="11">
        <f t="shared" si="41"/>
        <v>40.313078465251756</v>
      </c>
      <c r="FB39" s="11">
        <f t="shared" si="35"/>
        <v>50.443130982105714</v>
      </c>
      <c r="FC39" s="11">
        <f t="shared" si="36"/>
        <v>44.628853932584263</v>
      </c>
    </row>
    <row r="40" spans="1:159" ht="15.75" x14ac:dyDescent="0.25">
      <c r="A40" s="10">
        <v>44105</v>
      </c>
      <c r="B40" s="64">
        <v>138</v>
      </c>
      <c r="C40" s="64">
        <v>50</v>
      </c>
      <c r="D40" s="64">
        <v>42</v>
      </c>
      <c r="E40" s="64">
        <f t="shared" si="1"/>
        <v>94</v>
      </c>
      <c r="F40" s="64">
        <v>0</v>
      </c>
      <c r="G40" s="64">
        <v>0</v>
      </c>
      <c r="H40" s="64">
        <v>16</v>
      </c>
      <c r="I40" s="64">
        <v>61</v>
      </c>
      <c r="J40" s="64"/>
      <c r="K40" s="64">
        <v>100</v>
      </c>
      <c r="L40" s="64">
        <v>83</v>
      </c>
      <c r="M40" s="64">
        <v>49</v>
      </c>
      <c r="N40" s="64">
        <v>41</v>
      </c>
      <c r="O40" s="64">
        <f t="shared" si="8"/>
        <v>66</v>
      </c>
      <c r="P40" s="64">
        <v>0</v>
      </c>
      <c r="Q40" s="64">
        <v>0</v>
      </c>
      <c r="R40" s="64">
        <v>8</v>
      </c>
      <c r="S40" s="64">
        <v>46</v>
      </c>
      <c r="T40" s="64"/>
      <c r="U40" s="64">
        <v>53</v>
      </c>
      <c r="V40" s="13"/>
      <c r="W40" s="13"/>
      <c r="X40" s="13"/>
      <c r="Y40" s="13"/>
      <c r="Z40" s="13"/>
      <c r="AA40" s="13"/>
      <c r="AB40" s="13"/>
      <c r="AC40" s="13"/>
      <c r="AD40" s="40">
        <v>153</v>
      </c>
      <c r="AE40" s="40">
        <v>90</v>
      </c>
      <c r="AF40" s="40"/>
      <c r="AG40" s="40">
        <v>729</v>
      </c>
      <c r="AH40">
        <v>741</v>
      </c>
      <c r="AN40" s="13">
        <f t="shared" si="23"/>
        <v>63.599999999999994</v>
      </c>
      <c r="AO40" s="7">
        <f>((AVERAGE(K35:K40)*('Summary Page'!$C$2+1))*('Summary Page'!$C$2+1))*('Summary Page'!$C$2+1)</f>
        <v>106.92137599999998</v>
      </c>
      <c r="AP40" s="7">
        <f>((AVERAGE(K35:K40)*('Summary Page'!$C$3+1))*('Summary Page'!$C$3+1))*('Summary Page'!$C$3+1)</f>
        <v>133.7890625</v>
      </c>
      <c r="AQ40" s="7">
        <f>((AVERAGE(K35:K40)*('Summary Page'!$C$4+1))*('Summary Page'!$C$4+1))*('Summary Page'!$C$4+1)</f>
        <v>118.36799999999999</v>
      </c>
      <c r="AR40" s="7">
        <f t="shared" si="24"/>
        <v>80</v>
      </c>
      <c r="AS40" s="5">
        <f t="shared" si="38"/>
        <v>55.5</v>
      </c>
      <c r="AT40" s="13">
        <f t="shared" si="39"/>
        <v>47.5</v>
      </c>
      <c r="AU40" s="13">
        <f t="shared" si="40"/>
        <v>57</v>
      </c>
      <c r="AV40" s="7">
        <f>((AVERAGE(AS29:AS40,AU29:AU40)*('Summary Page'!$C$2+1))*('Summary Page'!$C$2+1))*('Summary Page'!$C$2+1)</f>
        <v>81.192606933333337</v>
      </c>
      <c r="AW40" s="7">
        <f>((AVERAGE(AS29:AS40,AU29:AU40)*('Summary Page'!$C$3+1))*('Summary Page'!$C$3+1))*('Summary Page'!$C$3+1)</f>
        <v>101.59505208333336</v>
      </c>
      <c r="AX40" s="7">
        <f>((AVERAGE(AS29:AS40,AU29:AU40)*('Summary Page'!$C$4+1))*('Summary Page'!$C$4+1))*('Summary Page'!$C$4+1)</f>
        <v>89.884799999999998</v>
      </c>
      <c r="BA40" s="40">
        <f t="shared" si="42"/>
        <v>99.6</v>
      </c>
      <c r="BB40" s="7">
        <f>((AVERAGE(B35:B40)*(+'Summary Page'!$C$2+1))*('Summary Page'!$C$2+1))*('Summary Page'!$C$2+1)</f>
        <v>143.34228266666665</v>
      </c>
      <c r="BC40" s="7">
        <f>((AVERAGE(B35:B40)*('Summary Page'!$C$3+1))*('Summary Page'!$C$3+1))*('Summary Page'!$C$3+1)</f>
        <v>179.36197916666663</v>
      </c>
      <c r="BD40" s="7">
        <f>((AVERAGE(B35:B40)*('Summary Page'!$C$4+1))*('Summary Page'!$C$4+1))*('Summary Page'!$C$4+1)</f>
        <v>158.68799999999996</v>
      </c>
      <c r="CQ40" s="40">
        <f t="shared" si="25"/>
        <v>58.8</v>
      </c>
      <c r="CR40" s="7">
        <f>((AVERAGE(C35:C40)*('Summary Page'!$C$2+1))*('Summary Page'!$C$2+1))*('Summary Page'!$C$2+1)</f>
        <v>91.832714666666661</v>
      </c>
      <c r="CS40" s="7">
        <f>((AVERAGE(C35:C40)*('Summary Page'!$C$3+1))*('Summary Page'!$C$3+1))*('Summary Page'!$C$3+1)</f>
        <v>114.90885416666669</v>
      </c>
      <c r="CT40" s="8">
        <f>((AVERAGE(C35:C40)*('Summary Page'!$C$4+1))*('Summary Page'!$C$4+1))*('Summary Page'!$C$4+1)</f>
        <v>101.66399999999997</v>
      </c>
      <c r="CW40" s="40">
        <f t="shared" si="26"/>
        <v>49.199999999999996</v>
      </c>
      <c r="CX40" s="7">
        <f>((AVERAGE(D35:D40)*('Summary Page'!$C$2+1))*('Summary Page'!$C$2+1))*('Summary Page'!$C$2+1)</f>
        <v>89.231221333333309</v>
      </c>
      <c r="CY40" s="7">
        <f>((AVERAGE(D35:D40)*('Summary Page'!$C$3+1))*('Summary Page'!$C$3+1))*('Summary Page'!$C$3+1)</f>
        <v>111.65364583333331</v>
      </c>
      <c r="CZ40" s="8">
        <f>((AVERAGE(D35:D40)*('Summary Page'!$C$4+1))*('Summary Page'!$C$4+1))*('Summary Page'!$C$4+1)</f>
        <v>98.783999999999992</v>
      </c>
      <c r="DO40" s="40"/>
      <c r="DP40" s="7"/>
      <c r="DQ40" s="7"/>
      <c r="DR40" s="8"/>
      <c r="DU40" s="40"/>
      <c r="DV40" s="7"/>
      <c r="DW40" s="7"/>
      <c r="DX40" s="8"/>
      <c r="EA40" s="40">
        <f t="shared" si="27"/>
        <v>9.6</v>
      </c>
      <c r="EB40" s="7">
        <f>((AVERAGE(H35:H40)*('Summary Page'!$C$2+1))*('Summary Page'!$C$2+1))*('Summary Page'!$C$2+1)</f>
        <v>23.153290666666663</v>
      </c>
      <c r="EC40" s="7">
        <f>((AVERAGE(H35:H40)*('Summary Page'!$C$3+1))*('Summary Page'!$C$3+1))*('Summary Page'!$C$3+1)</f>
        <v>28.971354166666671</v>
      </c>
      <c r="ED40" s="8">
        <f>((AVERAGE(H35:H40)*('Summary Page'!$C$4+1))*('Summary Page'!$C$4+1))*('Summary Page'!$C$4+1)</f>
        <v>25.631999999999998</v>
      </c>
      <c r="EG40" s="40">
        <f t="shared" si="28"/>
        <v>55.199999999999996</v>
      </c>
      <c r="EH40" s="7">
        <f>((AVERAGE(I35:I40)*('Summary Page'!$C$2+1))*('Summary Page'!$C$2+1))*('Summary Page'!$C$2+1)</f>
        <v>103.799584</v>
      </c>
      <c r="EI40" s="7">
        <f>((AVERAGE(I35:I40)*('Summary Page'!$C$3+1))*('Summary Page'!$C$3+1))*('Summary Page'!$C$3+1)</f>
        <v>129.8828125</v>
      </c>
      <c r="EJ40" s="8">
        <f>((AVERAGE(I35:I40)*('Summary Page'!$C$4+1))*('Summary Page'!$C$4+1))*('Summary Page'!$C$4+1)</f>
        <v>114.91199999999999</v>
      </c>
      <c r="EM40" s="40">
        <f t="shared" si="22"/>
        <v>108</v>
      </c>
      <c r="EN40" s="7">
        <f>((AVERAGE(AD35:AD40)*('Summary Page'!$C$2+1))*('Summary Page'!$C$2+1))*('Summary Page'!$C$2+1)</f>
        <v>187.82781866666662</v>
      </c>
      <c r="EO40" s="7">
        <f>((AVERAGE(AD35:AD40)*('Summary Page'!$C$3+1))*('Summary Page'!$C$3+1))*('Summary Page'!$C$3+1)</f>
        <v>235.02604166666663</v>
      </c>
      <c r="EP40" s="7">
        <f>((AVERAGE(AD35:AD40)*('Summary Page'!$C$4+1))*('Summary Page'!$C$4+1))*('Summary Page'!$C$4+1)</f>
        <v>207.93599999999995</v>
      </c>
      <c r="EQ40" s="7">
        <f t="shared" si="29"/>
        <v>100</v>
      </c>
      <c r="ER40" s="16">
        <f t="shared" si="17"/>
        <v>21.842696629213485</v>
      </c>
      <c r="ES40" s="16">
        <f t="shared" si="18"/>
        <v>22.202247191011235</v>
      </c>
      <c r="ET40" s="7">
        <f t="shared" si="30"/>
        <v>26.642696629213482</v>
      </c>
      <c r="EU40" s="7">
        <f>((AVERAGE(ER35:ER40)*('Summary Page'!$C$2+1))*('Summary Page'!$C$2+1))*('Summary Page'!$C$2+1)</f>
        <v>34.850267245942561</v>
      </c>
      <c r="EV40" s="7">
        <f>((AVERAGE(ER35:ER40)*('Summary Page'!$C$3+1))*('Summary Page'!$C$3+1))*('Summary Page'!$C$3+1)</f>
        <v>43.607599875156055</v>
      </c>
      <c r="EW40" s="7">
        <f>((AVERAGE(ER35:ER40)*('Summary Page'!$C$4+1))*('Summary Page'!$C$4+1))*('Summary Page'!$C$4+1)</f>
        <v>38.581213483146065</v>
      </c>
      <c r="EX40" s="11">
        <f t="shared" si="31"/>
        <v>25.483146067415731</v>
      </c>
      <c r="EY40" s="11">
        <f t="shared" si="32"/>
        <v>25.90262172284644</v>
      </c>
      <c r="EZ40" s="11">
        <f t="shared" si="33"/>
        <v>31.083146067415729</v>
      </c>
      <c r="FA40" s="11">
        <f t="shared" si="41"/>
        <v>40.658645120266321</v>
      </c>
      <c r="FB40" s="11">
        <f t="shared" si="35"/>
        <v>50.875533187682066</v>
      </c>
      <c r="FC40" s="11">
        <f t="shared" si="36"/>
        <v>45.011415730337077</v>
      </c>
    </row>
    <row r="41" spans="1:159" ht="15.75" x14ac:dyDescent="0.25">
      <c r="A41" s="10">
        <v>44138</v>
      </c>
      <c r="B41" s="64">
        <v>128</v>
      </c>
      <c r="C41" s="64">
        <v>62</v>
      </c>
      <c r="D41" s="64">
        <v>52</v>
      </c>
      <c r="E41" s="64">
        <f t="shared" si="1"/>
        <v>95</v>
      </c>
      <c r="F41" s="64">
        <v>0</v>
      </c>
      <c r="G41" s="64">
        <v>0</v>
      </c>
      <c r="H41" s="64">
        <v>20</v>
      </c>
      <c r="I41" s="64">
        <v>58</v>
      </c>
      <c r="J41" s="64"/>
      <c r="K41" s="64">
        <v>90</v>
      </c>
      <c r="L41" s="64">
        <v>100</v>
      </c>
      <c r="M41" s="64">
        <v>36</v>
      </c>
      <c r="N41" s="64">
        <v>30</v>
      </c>
      <c r="O41" s="64">
        <f t="shared" si="8"/>
        <v>68</v>
      </c>
      <c r="P41" s="64">
        <v>0</v>
      </c>
      <c r="Q41" s="64">
        <v>0</v>
      </c>
      <c r="R41" s="64">
        <v>12</v>
      </c>
      <c r="S41" s="64">
        <v>73</v>
      </c>
      <c r="T41" s="64"/>
      <c r="U41" s="64">
        <v>48</v>
      </c>
      <c r="V41" s="13"/>
      <c r="W41" s="13"/>
      <c r="X41" s="13"/>
      <c r="Y41" s="13"/>
      <c r="Z41" s="13"/>
      <c r="AA41" s="13"/>
      <c r="AB41" s="13"/>
      <c r="AC41" s="13"/>
      <c r="AD41" s="40">
        <v>126</v>
      </c>
      <c r="AE41" s="64">
        <v>77</v>
      </c>
      <c r="AF41" s="64"/>
      <c r="AG41" s="40">
        <v>861</v>
      </c>
      <c r="AH41">
        <v>884</v>
      </c>
      <c r="AN41" s="13">
        <f t="shared" si="23"/>
        <v>57.599999999999994</v>
      </c>
      <c r="AO41" s="7">
        <f>((AVERAGE(K36:K41)*('Summary Page'!$C$2+1))*('Summary Page'!$C$2+1))*('Summary Page'!$C$2+1)</f>
        <v>118.62809599999999</v>
      </c>
      <c r="AP41" s="7">
        <f>((AVERAGE(K36:K41)*('Summary Page'!$C$3+1))*('Summary Page'!$C$3+1))*('Summary Page'!$C$3+1)</f>
        <v>148.4375</v>
      </c>
      <c r="AQ41" s="7">
        <f>((AVERAGE(K36:K41)*('Summary Page'!$C$4+1))*('Summary Page'!$C$4+1))*('Summary Page'!$C$4+1)</f>
        <v>131.328</v>
      </c>
      <c r="AR41" s="7">
        <f t="shared" si="24"/>
        <v>80</v>
      </c>
      <c r="AS41" s="5">
        <f t="shared" si="38"/>
        <v>60</v>
      </c>
      <c r="AT41" s="13">
        <f t="shared" si="39"/>
        <v>54.5</v>
      </c>
      <c r="AU41" s="13">
        <f t="shared" si="40"/>
        <v>65.399999999999991</v>
      </c>
      <c r="AV41" s="7">
        <f>((AVERAGE(AS30:AS41,AU30:AU41)*('Summary Page'!$C$2+1))*('Summary Page'!$C$2+1))*('Summary Page'!$C$2+1)</f>
        <v>85.237929066666666</v>
      </c>
      <c r="AW41" s="7">
        <f>((AVERAGE(AS30:AS41,AU30:AU41)*('Summary Page'!$C$3+1))*('Summary Page'!$C$3+1))*('Summary Page'!$C$3+1)</f>
        <v>106.65690104166669</v>
      </c>
      <c r="AX41" s="7">
        <f>((AVERAGE(AS30:AS41,AU30:AU41)*('Summary Page'!$C$4+1))*('Summary Page'!$C$4+1))*('Summary Page'!$C$4+1)</f>
        <v>94.363199999999992</v>
      </c>
      <c r="BA41" s="40">
        <f t="shared" si="42"/>
        <v>120</v>
      </c>
      <c r="BB41" s="7">
        <f>((AVERAGE(B36:B41)*(+'Summary Page'!$C$2+1))*('Summary Page'!$C$2+1))*('Summary Page'!$C$2+1)</f>
        <v>152.44750933333333</v>
      </c>
      <c r="BC41" s="7">
        <f>((AVERAGE(B36:B41)*('Summary Page'!$C$3+1))*('Summary Page'!$C$3+1))*('Summary Page'!$C$3+1)</f>
        <v>190.75520833333337</v>
      </c>
      <c r="BD41" s="7">
        <f>((AVERAGE(B36:B41)*('Summary Page'!$C$4+1))*('Summary Page'!$C$4+1))*('Summary Page'!$C$4+1)</f>
        <v>168.76799999999997</v>
      </c>
      <c r="CQ41" s="40">
        <f t="shared" si="25"/>
        <v>43.199999999999996</v>
      </c>
      <c r="CR41" s="7">
        <f>((AVERAGE(C36:C41)*('Summary Page'!$C$2+1))*('Summary Page'!$C$2+1))*('Summary Page'!$C$2+1)</f>
        <v>98.336447999999976</v>
      </c>
      <c r="CS41" s="7">
        <f>((AVERAGE(C36:C41)*('Summary Page'!$C$3+1))*('Summary Page'!$C$3+1))*('Summary Page'!$C$3+1)</f>
        <v>123.046875</v>
      </c>
      <c r="CT41" s="8">
        <f>((AVERAGE(C36:C41)*('Summary Page'!$C$4+1))*('Summary Page'!$C$4+1))*('Summary Page'!$C$4+1)</f>
        <v>108.86399999999998</v>
      </c>
      <c r="CW41" s="40">
        <f t="shared" si="26"/>
        <v>36</v>
      </c>
      <c r="CX41" s="7">
        <f>((AVERAGE(D36:D41)*('Summary Page'!$C$2+1))*('Summary Page'!$C$2+1))*('Summary Page'!$C$2+1)</f>
        <v>94.694357333333315</v>
      </c>
      <c r="CY41" s="7">
        <f>((AVERAGE(D36:D41)*('Summary Page'!$C$3+1))*('Summary Page'!$C$3+1))*('Summary Page'!$C$3+1)</f>
        <v>118.48958333333331</v>
      </c>
      <c r="CZ41" s="8">
        <f>((AVERAGE(D36:D41)*('Summary Page'!$C$4+1))*('Summary Page'!$C$4+1))*('Summary Page'!$C$4+1)</f>
        <v>104.83199999999999</v>
      </c>
      <c r="DO41" s="40"/>
      <c r="DP41" s="7"/>
      <c r="DQ41" s="7"/>
      <c r="DR41" s="8"/>
      <c r="DU41" s="40"/>
      <c r="DV41" s="7"/>
      <c r="DW41" s="7"/>
      <c r="DX41" s="8"/>
      <c r="EA41" s="40">
        <f t="shared" si="27"/>
        <v>14.399999999999999</v>
      </c>
      <c r="EB41" s="7">
        <f>((AVERAGE(H36:H41)*('Summary Page'!$C$2+1))*('Summary Page'!$C$2+1))*('Summary Page'!$C$2+1)</f>
        <v>23.933738666666663</v>
      </c>
      <c r="EC41" s="7">
        <f>((AVERAGE(H36:H41)*('Summary Page'!$C$3+1))*('Summary Page'!$C$3+1))*('Summary Page'!$C$3+1)</f>
        <v>29.947916666666671</v>
      </c>
      <c r="ED41" s="8">
        <f>((AVERAGE(H36:H41)*('Summary Page'!$C$4+1))*('Summary Page'!$C$4+1))*('Summary Page'!$C$4+1)</f>
        <v>26.495999999999999</v>
      </c>
      <c r="EG41" s="40">
        <f t="shared" si="28"/>
        <v>87.6</v>
      </c>
      <c r="EH41" s="7">
        <f>((AVERAGE(I36:I41)*('Summary Page'!$C$2+1))*('Summary Page'!$C$2+1))*('Summary Page'!$C$2+1)</f>
        <v>99.116895999999969</v>
      </c>
      <c r="EI41" s="7">
        <f>((AVERAGE(I36:I41)*('Summary Page'!$C$3+1))*('Summary Page'!$C$3+1))*('Summary Page'!$C$3+1)</f>
        <v>124.0234375</v>
      </c>
      <c r="EJ41" s="8">
        <f>((AVERAGE(I36:I41)*('Summary Page'!$C$4+1))*('Summary Page'!$C$4+1))*('Summary Page'!$C$4+1)</f>
        <v>109.72799999999999</v>
      </c>
      <c r="EM41" s="40">
        <f t="shared" si="22"/>
        <v>92.399999999999991</v>
      </c>
      <c r="EN41" s="7">
        <f>((AVERAGE(AD36:AD41)*('Summary Page'!$C$2+1))*('Summary Page'!$C$2+1))*('Summary Page'!$C$2+1)</f>
        <v>190.6894613333333</v>
      </c>
      <c r="EO41" s="7">
        <f>((AVERAGE(AD36:AD41)*('Summary Page'!$C$3+1))*('Summary Page'!$C$3+1))*('Summary Page'!$C$3+1)</f>
        <v>238.60677083333337</v>
      </c>
      <c r="EP41" s="7">
        <f>((AVERAGE(AD36:AD41)*('Summary Page'!$C$4+1))*('Summary Page'!$C$4+1))*('Summary Page'!$C$4+1)</f>
        <v>211.10399999999998</v>
      </c>
      <c r="EQ41" s="7">
        <f t="shared" si="29"/>
        <v>100</v>
      </c>
      <c r="ER41" s="16">
        <f t="shared" si="17"/>
        <v>25.797752808988765</v>
      </c>
      <c r="ES41" s="16">
        <f t="shared" si="18"/>
        <v>26.486891385767791</v>
      </c>
      <c r="ET41" s="7">
        <f t="shared" si="30"/>
        <v>31.784269662921346</v>
      </c>
      <c r="EU41" s="7">
        <f>((AVERAGE(ER36:ER41)*('Summary Page'!$C$2+1))*('Summary Page'!$C$2+1))*('Summary Page'!$C$2+1)</f>
        <v>36.68982507865168</v>
      </c>
      <c r="EV41" s="7">
        <f>((AVERAGE(ER36:ER41)*('Summary Page'!$C$3+1))*('Summary Page'!$C$3+1))*('Summary Page'!$C$3+1)</f>
        <v>45.909410112359552</v>
      </c>
      <c r="EW41" s="7">
        <f>((AVERAGE(ER36:ER41)*('Summary Page'!$C$4+1))*('Summary Page'!$C$4+1))*('Summary Page'!$C$4+1)</f>
        <v>40.617707865168533</v>
      </c>
      <c r="EX41" s="11">
        <f t="shared" si="31"/>
        <v>30.09737827715356</v>
      </c>
      <c r="EY41" s="11">
        <f t="shared" si="32"/>
        <v>30.901373283395756</v>
      </c>
      <c r="EZ41" s="11">
        <f t="shared" si="33"/>
        <v>37.081647940074902</v>
      </c>
      <c r="FA41" s="11">
        <f t="shared" si="41"/>
        <v>42.804795925093629</v>
      </c>
      <c r="FB41" s="11">
        <f t="shared" si="35"/>
        <v>53.560978464419478</v>
      </c>
      <c r="FC41" s="11">
        <f t="shared" si="36"/>
        <v>47.387325842696626</v>
      </c>
    </row>
    <row r="42" spans="1:159" ht="15.75" x14ac:dyDescent="0.25">
      <c r="A42" s="10">
        <v>44166</v>
      </c>
      <c r="B42" s="64">
        <v>123</v>
      </c>
      <c r="C42" s="64">
        <v>44</v>
      </c>
      <c r="D42" s="64">
        <v>36</v>
      </c>
      <c r="E42" s="64">
        <f t="shared" si="1"/>
        <v>83.5</v>
      </c>
      <c r="F42" s="64"/>
      <c r="G42" s="64"/>
      <c r="H42" s="64">
        <v>14</v>
      </c>
      <c r="I42" s="64">
        <v>51</v>
      </c>
      <c r="J42" s="64"/>
      <c r="K42" s="64">
        <v>76</v>
      </c>
      <c r="L42" s="64">
        <v>99</v>
      </c>
      <c r="M42" s="64">
        <v>39</v>
      </c>
      <c r="N42" s="64">
        <v>31</v>
      </c>
      <c r="O42" s="64">
        <f t="shared" si="8"/>
        <v>69</v>
      </c>
      <c r="P42" s="64"/>
      <c r="Q42" s="64"/>
      <c r="R42" s="64">
        <v>19</v>
      </c>
      <c r="S42" s="64">
        <v>79</v>
      </c>
      <c r="T42" s="64"/>
      <c r="U42" s="64">
        <v>54</v>
      </c>
      <c r="V42" s="13"/>
      <c r="W42" s="13"/>
      <c r="X42" s="13"/>
      <c r="Y42" s="13"/>
      <c r="Z42" s="13"/>
      <c r="AA42" s="13"/>
      <c r="AB42" s="13"/>
      <c r="AC42" s="13"/>
      <c r="AD42" s="40">
        <v>103</v>
      </c>
      <c r="AE42" s="64">
        <v>85</v>
      </c>
      <c r="AF42" s="64"/>
      <c r="AG42" s="40">
        <v>854</v>
      </c>
      <c r="AH42">
        <v>898</v>
      </c>
      <c r="AN42" s="13">
        <f t="shared" si="23"/>
        <v>64.8</v>
      </c>
      <c r="AO42" s="7">
        <f>((AVERAGE(K37:K42)*('Summary Page'!$C$2+1))*('Summary Page'!$C$2+1))*('Summary Page'!$C$2+1)</f>
        <v>125.00175466666664</v>
      </c>
      <c r="AP42" s="7">
        <f>((AVERAGE(K37:K42)*('Summary Page'!$C$3+1))*('Summary Page'!$C$3+1))*('Summary Page'!$C$3+1)</f>
        <v>156.41276041666663</v>
      </c>
      <c r="AQ42" s="7">
        <f>((AVERAGE(K37:K42)*('Summary Page'!$C$4+1))*('Summary Page'!$C$4+1))*('Summary Page'!$C$4+1)</f>
        <v>138.38399999999999</v>
      </c>
      <c r="AR42" s="7">
        <f t="shared" si="24"/>
        <v>80</v>
      </c>
      <c r="AS42" s="5">
        <f t="shared" si="38"/>
        <v>47.5</v>
      </c>
      <c r="AT42" s="13">
        <f t="shared" si="39"/>
        <v>59</v>
      </c>
      <c r="AU42" s="13">
        <f t="shared" si="40"/>
        <v>70.8</v>
      </c>
      <c r="AV42" s="7">
        <f>((AVERAGE(AS31:AS42,AU31:AU42)*('Summary Page'!$C$2+1))*('Summary Page'!$C$2+1))*('Summary Page'!$C$2+1)</f>
        <v>86.402097333333316</v>
      </c>
      <c r="AW42" s="7">
        <f>((AVERAGE(AS31:AS42,AU31:AU42)*('Summary Page'!$C$3+1))*('Summary Page'!$C$3+1))*('Summary Page'!$C$3+1)</f>
        <v>108.11360677083331</v>
      </c>
      <c r="AX42" s="7">
        <f>((AVERAGE(AS31:AS42,AU31:AU42)*('Summary Page'!$C$4+1))*('Summary Page'!$C$4+1))*('Summary Page'!$C$4+1)</f>
        <v>95.651999999999987</v>
      </c>
      <c r="BA42" s="40">
        <f t="shared" si="42"/>
        <v>118.8</v>
      </c>
      <c r="BB42" s="7">
        <f>((AVERAGE(B37:B42)*(+'Summary Page'!$C$2+1))*('Summary Page'!$C$2+1))*('Summary Page'!$C$2+1)</f>
        <v>170.137664</v>
      </c>
      <c r="BC42" s="7">
        <f>((AVERAGE(B37:B42)*('Summary Page'!$C$3+1))*('Summary Page'!$C$3+1))*('Summary Page'!$C$3+1)</f>
        <v>212.890625</v>
      </c>
      <c r="BD42" s="7">
        <f>((AVERAGE(B37:B42)*('Summary Page'!$C$4+1))*('Summary Page'!$C$4+1))*('Summary Page'!$C$4+1)</f>
        <v>188.35199999999998</v>
      </c>
      <c r="CQ42" s="40">
        <f t="shared" si="25"/>
        <v>46.8</v>
      </c>
      <c r="CR42" s="7">
        <f>((AVERAGE(C37:C42)*('Summary Page'!$C$2+1))*('Summary Page'!$C$2+1))*('Summary Page'!$C$2+1)</f>
        <v>89.49137066666664</v>
      </c>
      <c r="CS42" s="7">
        <f>((AVERAGE(C37:C42)*('Summary Page'!$C$3+1))*('Summary Page'!$C$3+1))*('Summary Page'!$C$3+1)</f>
        <v>111.97916666666669</v>
      </c>
      <c r="CT42" s="8">
        <f>((AVERAGE(C37:C42)*('Summary Page'!$C$4+1))*('Summary Page'!$C$4+1))*('Summary Page'!$C$4+1)</f>
        <v>99.071999999999989</v>
      </c>
      <c r="CW42" s="40">
        <f t="shared" si="26"/>
        <v>37.199999999999996</v>
      </c>
      <c r="CX42" s="7">
        <f>((AVERAGE(D37:D42)*('Summary Page'!$C$2+1))*('Summary Page'!$C$2+1))*('Summary Page'!$C$2+1)</f>
        <v>79.34554666666665</v>
      </c>
      <c r="CY42" s="7">
        <f>((AVERAGE(D37:D42)*('Summary Page'!$C$3+1))*('Summary Page'!$C$3+1))*('Summary Page'!$C$3+1)</f>
        <v>99.283854166666686</v>
      </c>
      <c r="CZ42" s="8">
        <f>((AVERAGE(D37:D42)*('Summary Page'!$C$4+1))*('Summary Page'!$C$4+1))*('Summary Page'!$C$4+1)</f>
        <v>87.84</v>
      </c>
      <c r="DO42" s="40"/>
      <c r="DP42" s="7"/>
      <c r="DQ42" s="7"/>
      <c r="DR42" s="8"/>
      <c r="DU42" s="40"/>
      <c r="DV42" s="7"/>
      <c r="DW42" s="7"/>
      <c r="DX42" s="8"/>
      <c r="EA42" s="40">
        <f t="shared" si="27"/>
        <v>22.8</v>
      </c>
      <c r="EB42" s="7">
        <f>((AVERAGE(H37:H42)*('Summary Page'!$C$2+1))*('Summary Page'!$C$2+1))*('Summary Page'!$C$2+1)</f>
        <v>23.673589333333329</v>
      </c>
      <c r="EC42" s="7">
        <f>((AVERAGE(H37:H42)*('Summary Page'!$C$3+1))*('Summary Page'!$C$3+1))*('Summary Page'!$C$3+1)</f>
        <v>29.622395833333329</v>
      </c>
      <c r="ED42" s="8">
        <f>((AVERAGE(H37:H42)*('Summary Page'!$C$4+1))*('Summary Page'!$C$4+1))*('Summary Page'!$C$4+1)</f>
        <v>26.207999999999998</v>
      </c>
      <c r="EG42" s="40">
        <f t="shared" si="28"/>
        <v>94.8</v>
      </c>
      <c r="EH42" s="7">
        <f>((AVERAGE(I37:I42)*('Summary Page'!$C$2+1))*('Summary Page'!$C$2+1))*('Summary Page'!$C$2+1)</f>
        <v>95.734954666666653</v>
      </c>
      <c r="EI42" s="7">
        <f>((AVERAGE(I37:I42)*('Summary Page'!$C$3+1))*('Summary Page'!$C$3+1))*('Summary Page'!$C$3+1)</f>
        <v>119.79166666666669</v>
      </c>
      <c r="EJ42" s="8">
        <f>((AVERAGE(I37:I42)*('Summary Page'!$C$4+1))*('Summary Page'!$C$4+1))*('Summary Page'!$C$4+1)</f>
        <v>105.98399999999999</v>
      </c>
      <c r="EM42" s="40">
        <f t="shared" si="22"/>
        <v>102</v>
      </c>
      <c r="EN42" s="7">
        <f>((AVERAGE(AD37:AD42)*('Summary Page'!$C$2+1))*('Summary Page'!$C$2+1))*('Summary Page'!$C$2+1)</f>
        <v>188.08796799999999</v>
      </c>
      <c r="EO42" s="7">
        <f>((AVERAGE(AD37:AD42)*('Summary Page'!$C$3+1))*('Summary Page'!$C$3+1))*('Summary Page'!$C$3+1)</f>
        <v>235.3515625</v>
      </c>
      <c r="EP42" s="7">
        <f>((AVERAGE(AD37:AD42)*('Summary Page'!$C$4+1))*('Summary Page'!$C$4+1))*('Summary Page'!$C$4+1)</f>
        <v>208.22399999999996</v>
      </c>
      <c r="EQ42" s="7">
        <f t="shared" si="29"/>
        <v>100</v>
      </c>
      <c r="ER42" s="16">
        <f t="shared" si="17"/>
        <v>25.588014981273407</v>
      </c>
      <c r="ES42" s="16">
        <f t="shared" si="18"/>
        <v>26.9063670411985</v>
      </c>
      <c r="ET42" s="7">
        <f t="shared" si="30"/>
        <v>32.2876404494382</v>
      </c>
      <c r="EU42" s="7">
        <f>((AVERAGE(ER37:ER42)*('Summary Page'!$C$2+1))*('Summary Page'!$C$2+1))*('Summary Page'!$C$2+1)</f>
        <v>37.991546087390759</v>
      </c>
      <c r="EV42" s="7">
        <f>((AVERAGE(ER37:ER42)*('Summary Page'!$C$3+1))*('Summary Page'!$C$3+1))*('Summary Page'!$C$3+1)</f>
        <v>47.538233458177281</v>
      </c>
      <c r="EW42" s="7">
        <f>((AVERAGE(ER37:ER42)*('Summary Page'!$C$4+1))*('Summary Page'!$C$4+1))*('Summary Page'!$C$4+1)</f>
        <v>42.058786516853928</v>
      </c>
      <c r="EX42" s="11">
        <f t="shared" si="31"/>
        <v>29.852684144818973</v>
      </c>
      <c r="EY42" s="11">
        <f t="shared" si="32"/>
        <v>31.390761548064916</v>
      </c>
      <c r="EZ42" s="11">
        <f t="shared" si="33"/>
        <v>37.6689138576779</v>
      </c>
      <c r="FA42" s="11">
        <f t="shared" si="41"/>
        <v>44.323470435289217</v>
      </c>
      <c r="FB42" s="11">
        <f t="shared" si="35"/>
        <v>55.461272367873491</v>
      </c>
      <c r="FC42" s="11">
        <f t="shared" si="36"/>
        <v>49.068584269662914</v>
      </c>
    </row>
    <row r="43" spans="1:159" ht="15.75" x14ac:dyDescent="0.25">
      <c r="A43" s="10">
        <v>44230</v>
      </c>
      <c r="B43" s="64">
        <v>134</v>
      </c>
      <c r="C43" s="64">
        <v>47</v>
      </c>
      <c r="D43" s="64">
        <v>38</v>
      </c>
      <c r="E43" s="64">
        <f t="shared" si="1"/>
        <v>90.5</v>
      </c>
      <c r="F43" s="64"/>
      <c r="G43" s="64"/>
      <c r="H43" s="64">
        <v>19</v>
      </c>
      <c r="I43" s="64">
        <v>56</v>
      </c>
      <c r="J43" s="64"/>
      <c r="K43" s="64">
        <v>70</v>
      </c>
      <c r="L43" s="64">
        <v>74</v>
      </c>
      <c r="M43" s="64">
        <v>35</v>
      </c>
      <c r="N43" s="64">
        <v>28</v>
      </c>
      <c r="O43" s="64">
        <f t="shared" si="8"/>
        <v>54.5</v>
      </c>
      <c r="P43" s="64"/>
      <c r="Q43" s="64"/>
      <c r="R43" s="64">
        <v>16</v>
      </c>
      <c r="S43" s="64">
        <v>75</v>
      </c>
      <c r="T43" s="64"/>
      <c r="U43" s="64">
        <v>46</v>
      </c>
      <c r="V43" s="13"/>
      <c r="W43" s="13"/>
      <c r="X43" s="13"/>
      <c r="Y43" s="13"/>
      <c r="Z43" s="13"/>
      <c r="AA43" s="13"/>
      <c r="AB43" s="13"/>
      <c r="AC43" s="13"/>
      <c r="AD43" s="40">
        <v>104</v>
      </c>
      <c r="AE43" s="64">
        <v>70</v>
      </c>
      <c r="AF43" s="64"/>
      <c r="AG43" s="40">
        <v>888</v>
      </c>
      <c r="AH43">
        <v>927</v>
      </c>
      <c r="AN43" s="13">
        <f t="shared" si="23"/>
        <v>55.199999999999996</v>
      </c>
      <c r="AO43" s="7">
        <f>((AVERAGE(K38:K43)*('Summary Page'!$C$2+1))*('Summary Page'!$C$2+1))*('Summary Page'!$C$2+1)</f>
        <v>126.30250133333331</v>
      </c>
      <c r="AP43" s="7">
        <f>((AVERAGE(K38:K43)*('Summary Page'!$C$3+1))*('Summary Page'!$C$3+1))*('Summary Page'!$C$3+1)</f>
        <v>158.04036458333337</v>
      </c>
      <c r="AQ43" s="7">
        <f>((AVERAGE(K38:K43)*('Summary Page'!$C$4+1))*('Summary Page'!$C$4+1))*('Summary Page'!$C$4+1)</f>
        <v>139.82400000000001</v>
      </c>
      <c r="AR43" s="7">
        <f t="shared" si="24"/>
        <v>80</v>
      </c>
      <c r="AS43" s="5">
        <f t="shared" si="38"/>
        <v>51.5</v>
      </c>
      <c r="AT43" s="13">
        <f t="shared" si="39"/>
        <v>55</v>
      </c>
      <c r="AU43" s="13">
        <f t="shared" si="40"/>
        <v>66</v>
      </c>
      <c r="AV43" s="7">
        <f>((AVERAGE(AS32:AS43,AU32:AU43)*('Summary Page'!$C$2+1))*('Summary Page'!$C$2+1))*('Summary Page'!$C$2+1)</f>
        <v>87.202056533333305</v>
      </c>
      <c r="AW43" s="7">
        <f>((AVERAGE(AS32:AS43,AU32:AU43)*('Summary Page'!$C$3+1))*('Summary Page'!$C$3+1))*('Summary Page'!$C$3+1)</f>
        <v>109.11458333333331</v>
      </c>
      <c r="AX43" s="7">
        <f>((AVERAGE(AS32:AS43,AU32:AU43)*('Summary Page'!$C$4+1))*('Summary Page'!$C$4+1))*('Summary Page'!$C$4+1)</f>
        <v>96.537599999999983</v>
      </c>
      <c r="BA43" s="40">
        <f t="shared" si="42"/>
        <v>88.8</v>
      </c>
      <c r="BB43" s="7">
        <f>((AVERAGE(B38:B43)*(+'Summary Page'!$C$2+1))*('Summary Page'!$C$2+1))*('Summary Page'!$C$2+1)</f>
        <v>188.34811733333328</v>
      </c>
      <c r="BC43" s="7">
        <f>((AVERAGE(B38:B43)*('Summary Page'!$C$3+1))*('Summary Page'!$C$3+1))*('Summary Page'!$C$3+1)</f>
        <v>235.67708333333337</v>
      </c>
      <c r="BD43" s="7">
        <f>((AVERAGE(B38:B43)*('Summary Page'!$C$4+1))*('Summary Page'!$C$4+1))*('Summary Page'!$C$4+1)</f>
        <v>208.51200000000003</v>
      </c>
      <c r="CQ43" s="40">
        <f t="shared" si="25"/>
        <v>42</v>
      </c>
      <c r="CR43" s="7">
        <f>((AVERAGE(C38:C43)*('Summary Page'!$C$2+1))*('Summary Page'!$C$2+1))*('Summary Page'!$C$2+1)</f>
        <v>81.947039999999987</v>
      </c>
      <c r="CS43" s="7">
        <f>((AVERAGE(C38:C43)*('Summary Page'!$C$3+1))*('Summary Page'!$C$3+1))*('Summary Page'!$C$3+1)</f>
        <v>102.5390625</v>
      </c>
      <c r="CT43" s="8">
        <f>((AVERAGE(C38:C43)*('Summary Page'!$C$4+1))*('Summary Page'!$C$4+1))*('Summary Page'!$C$4+1)</f>
        <v>90.719999999999985</v>
      </c>
      <c r="CW43" s="40">
        <f t="shared" si="26"/>
        <v>33.6</v>
      </c>
      <c r="CX43" s="7">
        <f>((AVERAGE(D38:D43)*('Summary Page'!$C$2+1))*('Summary Page'!$C$2+1))*('Summary Page'!$C$2+1)</f>
        <v>69.720021333333321</v>
      </c>
      <c r="CY43" s="7">
        <f>((AVERAGE(D38:D43)*('Summary Page'!$C$3+1))*('Summary Page'!$C$3+1))*('Summary Page'!$C$3+1)</f>
        <v>87.239583333333314</v>
      </c>
      <c r="CZ43" s="8">
        <f>((AVERAGE(D38:D43)*('Summary Page'!$C$4+1))*('Summary Page'!$C$4+1))*('Summary Page'!$C$4+1)</f>
        <v>77.183999999999983</v>
      </c>
      <c r="DO43" s="40"/>
      <c r="DP43" s="7"/>
      <c r="DQ43" s="7"/>
      <c r="DR43" s="8"/>
      <c r="DU43" s="40"/>
      <c r="DV43" s="7"/>
      <c r="DW43" s="7"/>
      <c r="DX43" s="8"/>
      <c r="EA43" s="40">
        <f t="shared" si="27"/>
        <v>19.2</v>
      </c>
      <c r="EB43" s="7">
        <f>((AVERAGE(H38:H43)*('Summary Page'!$C$2+1))*('Summary Page'!$C$2+1))*('Summary Page'!$C$2+1)</f>
        <v>24.974335999999997</v>
      </c>
      <c r="EC43" s="7">
        <f>((AVERAGE(H38:H43)*('Summary Page'!$C$3+1))*('Summary Page'!$C$3+1))*('Summary Page'!$C$3+1)</f>
        <v>31.25</v>
      </c>
      <c r="ED43" s="8">
        <f>((AVERAGE(H38:H43)*('Summary Page'!$C$4+1))*('Summary Page'!$C$4+1))*('Summary Page'!$C$4+1)</f>
        <v>27.648</v>
      </c>
      <c r="EG43" s="40">
        <f t="shared" si="28"/>
        <v>90</v>
      </c>
      <c r="EH43" s="7">
        <f>((AVERAGE(I38:I43)*('Summary Page'!$C$2+1))*('Summary Page'!$C$2+1))*('Summary Page'!$C$2+1)</f>
        <v>91.312415999999985</v>
      </c>
      <c r="EI43" s="7">
        <f>((AVERAGE(I38:I43)*('Summary Page'!$C$3+1))*('Summary Page'!$C$3+1))*('Summary Page'!$C$3+1)</f>
        <v>114.2578125</v>
      </c>
      <c r="EJ43" s="8">
        <f>((AVERAGE(I38:I43)*('Summary Page'!$C$4+1))*('Summary Page'!$C$4+1))*('Summary Page'!$C$4+1)</f>
        <v>101.08799999999999</v>
      </c>
      <c r="EM43" s="40">
        <f t="shared" si="22"/>
        <v>84</v>
      </c>
      <c r="EN43" s="7">
        <f>((AVERAGE(AD38:AD43)*('Summary Page'!$C$2+1))*('Summary Page'!$C$2+1))*('Summary Page'!$C$2+1)</f>
        <v>187.5676693333333</v>
      </c>
      <c r="EO43" s="7">
        <f>((AVERAGE(AD38:AD43)*('Summary Page'!$C$3+1))*('Summary Page'!$C$3+1))*('Summary Page'!$C$3+1)</f>
        <v>234.70052083333337</v>
      </c>
      <c r="EP43" s="7">
        <f>((AVERAGE(AD38:AD43)*('Summary Page'!$C$4+1))*('Summary Page'!$C$4+1))*('Summary Page'!$C$4+1)</f>
        <v>207.648</v>
      </c>
      <c r="EQ43" s="7">
        <f t="shared" si="29"/>
        <v>100</v>
      </c>
      <c r="ER43" s="16">
        <f t="shared" si="17"/>
        <v>26.606741573033709</v>
      </c>
      <c r="ES43" s="16">
        <f t="shared" si="18"/>
        <v>27.7752808988764</v>
      </c>
      <c r="ET43" s="7">
        <f t="shared" si="30"/>
        <v>33.330337078651681</v>
      </c>
      <c r="EU43" s="7">
        <f>((AVERAGE(ER38:ER43)*('Summary Page'!$C$2+1))*('Summary Page'!$C$2+1))*('Summary Page'!$C$2+1)</f>
        <v>38.669688169787754</v>
      </c>
      <c r="EV43" s="7">
        <f>((AVERAGE(ER38:ER43)*('Summary Page'!$C$3+1))*('Summary Page'!$C$3+1))*('Summary Page'!$C$3+1)</f>
        <v>48.386782147315856</v>
      </c>
      <c r="EW43" s="7">
        <f>((AVERAGE(ER38:ER43)*('Summary Page'!$C$4+1))*('Summary Page'!$C$4+1))*('Summary Page'!$C$4+1)</f>
        <v>42.809528089887628</v>
      </c>
      <c r="EX43" s="11">
        <f t="shared" si="31"/>
        <v>31.04119850187266</v>
      </c>
      <c r="EY43" s="11">
        <f t="shared" si="32"/>
        <v>32.404494382022463</v>
      </c>
      <c r="EZ43" s="11">
        <f t="shared" si="33"/>
        <v>38.885393258426959</v>
      </c>
      <c r="FA43" s="11">
        <f t="shared" si="41"/>
        <v>45.114636198085712</v>
      </c>
      <c r="FB43" s="11">
        <f t="shared" si="35"/>
        <v>56.451245838535165</v>
      </c>
      <c r="FC43" s="11">
        <f t="shared" si="36"/>
        <v>49.944449438202234</v>
      </c>
    </row>
    <row r="44" spans="1:159" ht="15.75" x14ac:dyDescent="0.25">
      <c r="A44" s="10">
        <v>44292</v>
      </c>
      <c r="B44" s="64">
        <v>110</v>
      </c>
      <c r="C44" s="64">
        <v>44</v>
      </c>
      <c r="D44" s="64">
        <v>36</v>
      </c>
      <c r="E44" s="64">
        <f t="shared" si="1"/>
        <v>77</v>
      </c>
      <c r="F44" s="64"/>
      <c r="G44" s="64"/>
      <c r="H44" s="64">
        <v>24</v>
      </c>
      <c r="I44" s="64">
        <v>89</v>
      </c>
      <c r="J44" s="64"/>
      <c r="K44" s="64">
        <v>69</v>
      </c>
      <c r="L44" s="64">
        <v>104</v>
      </c>
      <c r="M44" s="64">
        <v>47</v>
      </c>
      <c r="N44" s="64">
        <v>37</v>
      </c>
      <c r="O44" s="64">
        <f t="shared" si="8"/>
        <v>75.5</v>
      </c>
      <c r="P44" s="64"/>
      <c r="Q44" s="64"/>
      <c r="R44" s="64">
        <v>21</v>
      </c>
      <c r="S44" s="64">
        <v>71</v>
      </c>
      <c r="T44" s="64"/>
      <c r="U44" s="64">
        <v>49</v>
      </c>
      <c r="V44" s="13"/>
      <c r="W44" s="13"/>
      <c r="X44" s="13"/>
      <c r="Y44" s="13"/>
      <c r="Z44" s="13"/>
      <c r="AA44" s="13"/>
      <c r="AB44" s="13"/>
      <c r="AC44" s="13"/>
      <c r="AD44" s="40">
        <v>95</v>
      </c>
      <c r="AE44" s="64">
        <v>80</v>
      </c>
      <c r="AF44" s="64"/>
      <c r="AG44" s="40">
        <v>904</v>
      </c>
      <c r="AH44">
        <v>803</v>
      </c>
      <c r="AN44" s="13">
        <f t="shared" si="23"/>
        <v>58.8</v>
      </c>
      <c r="AO44" s="7">
        <f>((AVERAGE(K39:K44)*('Summary Page'!$C$2+1))*('Summary Page'!$C$2+1))*('Summary Page'!$C$2+1)</f>
        <v>126.56265066666664</v>
      </c>
      <c r="AP44" s="7">
        <f>((AVERAGE(K39:K44)*('Summary Page'!$C$3+1))*('Summary Page'!$C$3+1))*('Summary Page'!$C$3+1)</f>
        <v>158.36588541666663</v>
      </c>
      <c r="AQ44" s="7">
        <f>((AVERAGE(K39:K44)*('Summary Page'!$C$4+1))*('Summary Page'!$C$4+1))*('Summary Page'!$C$4+1)</f>
        <v>140.11199999999999</v>
      </c>
      <c r="AR44" s="7">
        <f t="shared" si="24"/>
        <v>80</v>
      </c>
      <c r="AS44" s="5">
        <f t="shared" si="38"/>
        <v>66.5</v>
      </c>
      <c r="AT44" s="13">
        <f t="shared" si="39"/>
        <v>59</v>
      </c>
      <c r="AU44" s="13">
        <f t="shared" si="40"/>
        <v>70.8</v>
      </c>
      <c r="AV44" s="7">
        <f>((AVERAGE(AS33:AS44,AU33:AU44)*('Summary Page'!$C$2+1))*('Summary Page'!$C$2+1))*('Summary Page'!$C$2+1)</f>
        <v>90.050691733333309</v>
      </c>
      <c r="AW44" s="7">
        <f>((AVERAGE(AS33:AS44,AU33:AU44)*('Summary Page'!$C$3+1))*('Summary Page'!$C$3+1))*('Summary Page'!$C$3+1)</f>
        <v>112.67903645833336</v>
      </c>
      <c r="AX44" s="7">
        <f>((AVERAGE(AS33:AS44,AU33:AU44)*('Summary Page'!$C$4+1))*('Summary Page'!$C$4+1))*('Summary Page'!$C$4+1)</f>
        <v>99.691200000000009</v>
      </c>
      <c r="BA44" s="40">
        <f t="shared" si="42"/>
        <v>124.8</v>
      </c>
      <c r="BB44" s="7">
        <f>((AVERAGE(B39:B44)*(+'Summary Page'!$C$2+1))*('Summary Page'!$C$2+1))*('Summary Page'!$C$2+1)</f>
        <v>194.59170133333328</v>
      </c>
      <c r="BC44" s="7">
        <f>((AVERAGE(B39:B44)*('Summary Page'!$C$3+1))*('Summary Page'!$C$3+1))*('Summary Page'!$C$3+1)</f>
        <v>243.48958333333337</v>
      </c>
      <c r="BD44" s="7">
        <f>((AVERAGE(B39:B44)*('Summary Page'!$C$4+1))*('Summary Page'!$C$4+1))*('Summary Page'!$C$4+1)</f>
        <v>215.42399999999998</v>
      </c>
      <c r="CQ44" s="40">
        <f t="shared" si="25"/>
        <v>56.4</v>
      </c>
      <c r="CR44" s="7">
        <f>((AVERAGE(C39:C44)*('Summary Page'!$C$2+1))*('Summary Page'!$C$2+1))*('Summary Page'!$C$2+1)</f>
        <v>78.565098666666657</v>
      </c>
      <c r="CS44" s="7">
        <f>((AVERAGE(C39:C44)*('Summary Page'!$C$3+1))*('Summary Page'!$C$3+1))*('Summary Page'!$C$3+1)</f>
        <v>98.307291666666686</v>
      </c>
      <c r="CT44" s="8">
        <f>((AVERAGE(C39:C44)*('Summary Page'!$C$4+1))*('Summary Page'!$C$4+1))*('Summary Page'!$C$4+1)</f>
        <v>86.975999999999985</v>
      </c>
      <c r="CW44" s="40">
        <f t="shared" si="26"/>
        <v>44.4</v>
      </c>
      <c r="CX44" s="7">
        <f>((AVERAGE(D39:D44)*('Summary Page'!$C$2+1))*('Summary Page'!$C$2+1))*('Summary Page'!$C$2+1)</f>
        <v>65.557631999999984</v>
      </c>
      <c r="CY44" s="7">
        <f>((AVERAGE(D39:D44)*('Summary Page'!$C$3+1))*('Summary Page'!$C$3+1))*('Summary Page'!$C$3+1)</f>
        <v>82.03125</v>
      </c>
      <c r="CZ44" s="8">
        <f>((AVERAGE(D39:D44)*('Summary Page'!$C$4+1))*('Summary Page'!$C$4+1))*('Summary Page'!$C$4+1)</f>
        <v>72.575999999999993</v>
      </c>
      <c r="DO44" s="40"/>
      <c r="DP44" s="7"/>
      <c r="DQ44" s="7"/>
      <c r="DR44" s="8"/>
      <c r="DU44" s="40"/>
      <c r="DV44" s="7"/>
      <c r="DW44" s="7"/>
      <c r="DX44" s="8"/>
      <c r="EA44" s="40">
        <f t="shared" si="27"/>
        <v>25.2</v>
      </c>
      <c r="EB44" s="7">
        <f>((AVERAGE(H39:H44)*('Summary Page'!$C$2+1))*('Summary Page'!$C$2+1))*('Summary Page'!$C$2+1)</f>
        <v>28.356277333333331</v>
      </c>
      <c r="EC44" s="7">
        <f>((AVERAGE(H39:H44)*('Summary Page'!$C$3+1))*('Summary Page'!$C$3+1))*('Summary Page'!$C$3+1)</f>
        <v>35.481770833333343</v>
      </c>
      <c r="ED44" s="8">
        <f>((AVERAGE(H39:H44)*('Summary Page'!$C$4+1))*('Summary Page'!$C$4+1))*('Summary Page'!$C$4+1)</f>
        <v>31.391999999999999</v>
      </c>
      <c r="EG44" s="40">
        <f t="shared" si="28"/>
        <v>85.2</v>
      </c>
      <c r="EH44" s="7">
        <f>((AVERAGE(I39:I44)*('Summary Page'!$C$2+1))*('Summary Page'!$C$2+1))*('Summary Page'!$C$2+1)</f>
        <v>100.41764266666664</v>
      </c>
      <c r="EI44" s="7">
        <f>((AVERAGE(I39:I44)*('Summary Page'!$C$3+1))*('Summary Page'!$C$3+1))*('Summary Page'!$C$3+1)</f>
        <v>125.65104166666664</v>
      </c>
      <c r="EJ44" s="8">
        <f>((AVERAGE(I39:I44)*('Summary Page'!$C$4+1))*('Summary Page'!$C$4+1))*('Summary Page'!$C$4+1)</f>
        <v>111.16799999999998</v>
      </c>
      <c r="EM44" s="40">
        <f t="shared" si="22"/>
        <v>96</v>
      </c>
      <c r="EN44" s="7">
        <f>((AVERAGE(AD39:AD44)*('Summary Page'!$C$2+1))*('Summary Page'!$C$2+1))*('Summary Page'!$C$2+1)</f>
        <v>186.00677333333329</v>
      </c>
      <c r="EO44" s="7">
        <f>((AVERAGE(AD39:AD44)*('Summary Page'!$C$3+1))*('Summary Page'!$C$3+1))*('Summary Page'!$C$3+1)</f>
        <v>232.74739583333337</v>
      </c>
      <c r="EP44" s="7">
        <f>((AVERAGE(AD39:AD44)*('Summary Page'!$C$4+1))*('Summary Page'!$C$4+1))*('Summary Page'!$C$4+1)</f>
        <v>205.92</v>
      </c>
      <c r="EQ44" s="7">
        <f t="shared" si="29"/>
        <v>100</v>
      </c>
      <c r="ER44" s="16">
        <f t="shared" si="17"/>
        <v>27.08614232209738</v>
      </c>
      <c r="ES44" s="16">
        <f t="shared" si="18"/>
        <v>24.059925093632959</v>
      </c>
      <c r="ET44" s="7">
        <f t="shared" si="30"/>
        <v>28.871910112359551</v>
      </c>
      <c r="EU44" s="7">
        <f>((AVERAGE(ER39:ER44)*('Summary Page'!$C$2+1))*('Summary Page'!$C$2+1))*('Summary Page'!$C$2+1)</f>
        <v>39.067219735330831</v>
      </c>
      <c r="EV44" s="7">
        <f>((AVERAGE(ER39:ER44)*('Summary Page'!$C$3+1))*('Summary Page'!$C$3+1))*('Summary Page'!$C$3+1)</f>
        <v>48.884207240948811</v>
      </c>
      <c r="EW44" s="7">
        <f>((AVERAGE(ER39:ER44)*('Summary Page'!$C$4+1))*('Summary Page'!$C$4+1))*('Summary Page'!$C$4+1)</f>
        <v>43.249617977528082</v>
      </c>
      <c r="EX44" s="11">
        <f t="shared" si="31"/>
        <v>31.600499375780277</v>
      </c>
      <c r="EY44" s="11">
        <f t="shared" si="32"/>
        <v>28.06991260923845</v>
      </c>
      <c r="EZ44" s="11">
        <f t="shared" si="33"/>
        <v>33.683895131086146</v>
      </c>
      <c r="FA44" s="11">
        <f t="shared" si="41"/>
        <v>45.578423024552635</v>
      </c>
      <c r="FB44" s="11">
        <f t="shared" si="35"/>
        <v>57.03157511444028</v>
      </c>
      <c r="FC44" s="11">
        <f t="shared" si="36"/>
        <v>50.457887640449428</v>
      </c>
    </row>
    <row r="45" spans="1:159" ht="15.75" x14ac:dyDescent="0.25">
      <c r="A45" s="10">
        <v>44363</v>
      </c>
      <c r="B45" s="64">
        <v>122</v>
      </c>
      <c r="C45" s="64">
        <v>65</v>
      </c>
      <c r="D45" s="64">
        <v>61</v>
      </c>
      <c r="E45" s="64">
        <f t="shared" si="1"/>
        <v>93.5</v>
      </c>
      <c r="F45" s="64"/>
      <c r="G45" s="64"/>
      <c r="H45" s="64">
        <v>76</v>
      </c>
      <c r="I45" s="64">
        <v>88</v>
      </c>
      <c r="J45" s="64"/>
      <c r="K45" s="64">
        <v>73.5</v>
      </c>
      <c r="L45" s="64">
        <v>131</v>
      </c>
      <c r="M45" s="64">
        <v>53</v>
      </c>
      <c r="N45" s="64">
        <v>39</v>
      </c>
      <c r="O45" s="64">
        <f t="shared" si="8"/>
        <v>92</v>
      </c>
      <c r="P45" s="64"/>
      <c r="Q45" s="64"/>
      <c r="R45" s="64">
        <v>43</v>
      </c>
      <c r="S45" s="64">
        <v>48</v>
      </c>
      <c r="T45" s="64"/>
      <c r="U45" s="64">
        <v>96</v>
      </c>
      <c r="V45" s="13"/>
      <c r="W45" s="13"/>
      <c r="X45" s="13"/>
      <c r="Y45" s="13"/>
      <c r="Z45" s="13"/>
      <c r="AA45" s="13"/>
      <c r="AB45" s="13"/>
      <c r="AC45" s="13"/>
      <c r="AD45" s="40">
        <v>107</v>
      </c>
      <c r="AE45" s="64">
        <v>102</v>
      </c>
      <c r="AF45" s="64"/>
      <c r="AG45" s="40">
        <v>1016</v>
      </c>
      <c r="AH45">
        <v>1077</v>
      </c>
      <c r="AN45" s="13">
        <f t="shared" si="23"/>
        <v>115.19999999999999</v>
      </c>
      <c r="AO45" s="7">
        <f>((AVERAGE(K40:K45)*('Summary Page'!$C$2+1))*('Summary Page'!$C$2+1))*('Summary Page'!$C$2+1)</f>
        <v>124.48145599999998</v>
      </c>
      <c r="AP45" s="7">
        <f>((AVERAGE(K40:K45)*('Summary Page'!$C$3+1))*('Summary Page'!$C$3+1))*('Summary Page'!$C$3+1)</f>
        <v>155.76171875</v>
      </c>
      <c r="AQ45" s="7">
        <f>((AVERAGE(K40:K45)*('Summary Page'!$C$4+1))*('Summary Page'!$C$4+1))*('Summary Page'!$C$4+1)</f>
        <v>137.80799999999999</v>
      </c>
      <c r="AR45" s="7">
        <f t="shared" si="24"/>
        <v>80</v>
      </c>
      <c r="AS45" s="5">
        <f t="shared" si="38"/>
        <v>76.5</v>
      </c>
      <c r="AT45" s="13">
        <f t="shared" si="39"/>
        <v>50.5</v>
      </c>
      <c r="AU45" s="13">
        <f t="shared" si="40"/>
        <v>60.599999999999994</v>
      </c>
      <c r="AV45" s="7">
        <f>((AVERAGE(AS34:AS45,AU34:AU45)*('Summary Page'!$C$2+1))*('Summary Page'!$C$2+1))*('Summary Page'!$C$2+1)</f>
        <v>92.821282133333298</v>
      </c>
      <c r="AW45" s="7">
        <f>((AVERAGE(AS34:AS45,AU34:AU45)*('Summary Page'!$C$3+1))*('Summary Page'!$C$3+1))*('Summary Page'!$C$3+1)</f>
        <v>116.14583333333336</v>
      </c>
      <c r="AX45" s="7">
        <f>((AVERAGE(AS34:AS45,AU34:AU45)*('Summary Page'!$C$4+1))*('Summary Page'!$C$4+1))*('Summary Page'!$C$4+1)</f>
        <v>102.75839999999998</v>
      </c>
      <c r="BA45" s="40">
        <f t="shared" si="42"/>
        <v>157.19999999999999</v>
      </c>
      <c r="BB45" s="7">
        <f>((AVERAGE(B40:B45)*(+'Summary Page'!$C$2+1))*('Summary Page'!$C$2+1))*('Summary Page'!$C$2+1)</f>
        <v>196.41274666666661</v>
      </c>
      <c r="BC45" s="7">
        <f>((AVERAGE(B40:B45)*('Summary Page'!$C$3+1))*('Summary Page'!$C$3+1))*('Summary Page'!$C$3+1)</f>
        <v>245.76822916666663</v>
      </c>
      <c r="BD45" s="7">
        <f>((AVERAGE(B40:B45)*('Summary Page'!$C$4+1))*('Summary Page'!$C$4+1))*('Summary Page'!$C$4+1)</f>
        <v>217.43999999999997</v>
      </c>
      <c r="CQ45" s="40">
        <f t="shared" si="25"/>
        <v>63.599999999999994</v>
      </c>
      <c r="CR45" s="7">
        <f>((AVERAGE(C40:C45)*('Summary Page'!$C$2+1))*('Summary Page'!$C$2+1))*('Summary Page'!$C$2+1)</f>
        <v>81.16659199999998</v>
      </c>
      <c r="CS45" s="7">
        <f>((AVERAGE(C40:C45)*('Summary Page'!$C$3+1))*('Summary Page'!$C$3+1))*('Summary Page'!$C$3+1)</f>
        <v>101.5625</v>
      </c>
      <c r="CT45" s="8">
        <f>((AVERAGE(C40:C45)*('Summary Page'!$C$4+1))*('Summary Page'!$C$4+1))*('Summary Page'!$C$4+1)</f>
        <v>89.855999999999995</v>
      </c>
      <c r="CW45" s="40">
        <f t="shared" si="26"/>
        <v>46.8</v>
      </c>
      <c r="CX45" s="7">
        <f>((AVERAGE(D40:D45)*('Summary Page'!$C$2+1))*('Summary Page'!$C$2+1))*('Summary Page'!$C$2+1)</f>
        <v>68.939573333333314</v>
      </c>
      <c r="CY45" s="7">
        <f>((AVERAGE(D40:D45)*('Summary Page'!$C$3+1))*('Summary Page'!$C$3+1))*('Summary Page'!$C$3+1)</f>
        <v>86.263020833333314</v>
      </c>
      <c r="CZ45" s="8">
        <f>((AVERAGE(D40:D45)*('Summary Page'!$C$4+1))*('Summary Page'!$C$4+1))*('Summary Page'!$C$4+1)</f>
        <v>76.319999999999979</v>
      </c>
      <c r="DO45" s="40"/>
      <c r="DP45" s="7"/>
      <c r="DQ45" s="7"/>
      <c r="DR45" s="8"/>
      <c r="DU45" s="40"/>
      <c r="DV45" s="7"/>
      <c r="DW45" s="7"/>
      <c r="DX45" s="8"/>
      <c r="EA45" s="40">
        <f t="shared" si="27"/>
        <v>51.6</v>
      </c>
      <c r="EB45" s="7">
        <f>((AVERAGE(H40:H45)*('Summary Page'!$C$2+1))*('Summary Page'!$C$2+1))*('Summary Page'!$C$2+1)</f>
        <v>43.965237333333327</v>
      </c>
      <c r="EC45" s="7">
        <f>((AVERAGE(H40:H45)*('Summary Page'!$C$3+1))*('Summary Page'!$C$3+1))*('Summary Page'!$C$3+1)</f>
        <v>55.013020833333343</v>
      </c>
      <c r="ED45" s="8">
        <f>((AVERAGE(H40:H45)*('Summary Page'!$C$4+1))*('Summary Page'!$C$4+1))*('Summary Page'!$C$4+1)</f>
        <v>48.67199999999999</v>
      </c>
      <c r="EG45" s="40">
        <f t="shared" si="28"/>
        <v>57.599999999999994</v>
      </c>
      <c r="EH45" s="7">
        <f>((AVERAGE(I40:I45)*('Summary Page'!$C$2+1))*('Summary Page'!$C$2+1))*('Summary Page'!$C$2+1)</f>
        <v>104.84018133333332</v>
      </c>
      <c r="EI45" s="7">
        <f>((AVERAGE(I40:I45)*('Summary Page'!$C$3+1))*('Summary Page'!$C$3+1))*('Summary Page'!$C$3+1)</f>
        <v>131.18489583333337</v>
      </c>
      <c r="EJ45" s="8">
        <f>((AVERAGE(I40:I45)*('Summary Page'!$C$4+1))*('Summary Page'!$C$4+1))*('Summary Page'!$C$4+1)</f>
        <v>116.06400000000001</v>
      </c>
      <c r="EM45" s="40">
        <f t="shared" si="22"/>
        <v>122.39999999999999</v>
      </c>
      <c r="EN45" s="7">
        <f>((AVERAGE(AD40:AD45)*('Summary Page'!$C$2+1))*('Summary Page'!$C$2+1))*('Summary Page'!$C$2+1)</f>
        <v>178.98274133333328</v>
      </c>
      <c r="EO45" s="7">
        <f>((AVERAGE(AD40:AD45)*('Summary Page'!$C$3+1))*('Summary Page'!$C$3+1))*('Summary Page'!$C$3+1)</f>
        <v>223.95833333333337</v>
      </c>
      <c r="EP45" s="7">
        <f>((AVERAGE(AD40:AD45)*('Summary Page'!$C$4+1))*('Summary Page'!$C$4+1))*('Summary Page'!$C$4+1)</f>
        <v>198.14399999999998</v>
      </c>
      <c r="EQ45" s="7">
        <f t="shared" si="29"/>
        <v>100</v>
      </c>
      <c r="ER45" s="16">
        <f t="shared" si="17"/>
        <v>30.441947565543067</v>
      </c>
      <c r="ES45" s="16">
        <f t="shared" si="18"/>
        <v>32.269662921348313</v>
      </c>
      <c r="ET45" s="7">
        <f t="shared" si="30"/>
        <v>38.723595505617972</v>
      </c>
      <c r="EU45" s="7">
        <f>((AVERAGE(ER40:ER45)*('Summary Page'!$C$2+1))*('Summary Page'!$C$2+1))*('Summary Page'!$C$2+1)</f>
        <v>40.93795651435704</v>
      </c>
      <c r="EV45" s="7">
        <f>((AVERAGE(ER40:ER45)*('Summary Page'!$C$3+1))*('Summary Page'!$C$3+1))*('Summary Page'!$C$3+1)</f>
        <v>51.225031210986273</v>
      </c>
      <c r="EW45" s="7">
        <f>((AVERAGE(ER40:ER45)*('Summary Page'!$C$4+1))*('Summary Page'!$C$4+1))*('Summary Page'!$C$4+1)</f>
        <v>45.320629213483137</v>
      </c>
      <c r="EX45" s="11">
        <f t="shared" si="31"/>
        <v>35.515605493133577</v>
      </c>
      <c r="EY45" s="11">
        <f t="shared" si="32"/>
        <v>37.647940074906366</v>
      </c>
      <c r="EZ45" s="11">
        <f t="shared" si="33"/>
        <v>45.17752808988763</v>
      </c>
      <c r="FA45" s="11">
        <f t="shared" si="41"/>
        <v>47.760949266749883</v>
      </c>
      <c r="FB45" s="11">
        <f t="shared" si="35"/>
        <v>59.762536412817319</v>
      </c>
      <c r="FC45" s="11">
        <f t="shared" si="36"/>
        <v>52.874067415730323</v>
      </c>
    </row>
    <row r="46" spans="1:159" ht="15.75" x14ac:dyDescent="0.25">
      <c r="A46" s="10">
        <v>44419</v>
      </c>
      <c r="B46" s="64">
        <v>108</v>
      </c>
      <c r="C46" s="64">
        <v>40</v>
      </c>
      <c r="D46" s="64">
        <v>30</v>
      </c>
      <c r="E46" s="64">
        <f t="shared" si="1"/>
        <v>74</v>
      </c>
      <c r="F46" s="64"/>
      <c r="G46" s="64"/>
      <c r="H46" s="64">
        <v>49</v>
      </c>
      <c r="I46" s="64">
        <v>60</v>
      </c>
      <c r="J46" s="64"/>
      <c r="K46" s="64">
        <v>79</v>
      </c>
      <c r="L46" s="64">
        <v>95</v>
      </c>
      <c r="M46" s="64">
        <v>64</v>
      </c>
      <c r="N46" s="64">
        <v>54</v>
      </c>
      <c r="O46" s="64">
        <f t="shared" si="8"/>
        <v>79.5</v>
      </c>
      <c r="P46" s="64"/>
      <c r="Q46" s="64"/>
      <c r="R46" s="64">
        <v>31</v>
      </c>
      <c r="S46" s="64">
        <v>37</v>
      </c>
      <c r="T46" s="64"/>
      <c r="U46" s="64">
        <v>88</v>
      </c>
      <c r="V46" s="13"/>
      <c r="W46" s="13"/>
      <c r="X46" s="13"/>
      <c r="Y46" s="13"/>
      <c r="Z46" s="13"/>
      <c r="AA46" s="13"/>
      <c r="AB46" s="13"/>
      <c r="AC46" s="13"/>
      <c r="AD46" s="40">
        <v>94</v>
      </c>
      <c r="AE46" s="64">
        <v>97</v>
      </c>
      <c r="AF46" s="64"/>
      <c r="AG46" s="40">
        <v>981</v>
      </c>
      <c r="AH46">
        <v>966</v>
      </c>
      <c r="AN46" s="13">
        <f t="shared" si="23"/>
        <v>105.6</v>
      </c>
      <c r="AO46" s="7">
        <f>((AVERAGE(K41:K46)*('Summary Page'!$C$2+1))*('Summary Page'!$C$2+1))*('Summary Page'!$C$2+1)</f>
        <v>119.01831999999996</v>
      </c>
      <c r="AP46" s="7">
        <f>((AVERAGE(K41:K46)*('Summary Page'!$C$3+1))*('Summary Page'!$C$3+1))*('Summary Page'!$C$3+1)</f>
        <v>148.92578125</v>
      </c>
      <c r="AQ46" s="7">
        <f>((AVERAGE(K41:K46)*('Summary Page'!$C$4+1))*('Summary Page'!$C$4+1))*('Summary Page'!$C$4+1)</f>
        <v>131.76</v>
      </c>
      <c r="AR46" s="7">
        <f t="shared" si="24"/>
        <v>80</v>
      </c>
      <c r="AS46" s="5">
        <f t="shared" si="38"/>
        <v>50</v>
      </c>
      <c r="AT46" s="13">
        <f t="shared" si="39"/>
        <v>50.5</v>
      </c>
      <c r="AU46" s="13">
        <f t="shared" si="40"/>
        <v>60.599999999999994</v>
      </c>
      <c r="AV46" s="7">
        <f>((AVERAGE(AS35:AS46,AU35:AU46)*('Summary Page'!$C$2+1))*('Summary Page'!$C$2+1))*('Summary Page'!$C$2+1)</f>
        <v>93.400114399999964</v>
      </c>
      <c r="AW46" s="7">
        <f>((AVERAGE(AS35:AS46,AU35:AU46)*('Summary Page'!$C$3+1))*('Summary Page'!$C$3+1))*('Summary Page'!$C$3+1)</f>
        <v>116.8701171875</v>
      </c>
      <c r="AX46" s="7">
        <f>((AVERAGE(AS35:AS46,AU35:AU46)*('Summary Page'!$C$4+1))*('Summary Page'!$C$4+1))*('Summary Page'!$C$4+1)</f>
        <v>103.39919999999998</v>
      </c>
      <c r="BA46" s="40">
        <f t="shared" si="42"/>
        <v>114</v>
      </c>
      <c r="BB46" s="7">
        <f>((AVERAGE(B41:B46)*(+'Summary Page'!$C$2+1))*('Summary Page'!$C$2+1))*('Summary Page'!$C$2+1)</f>
        <v>188.60826666666662</v>
      </c>
      <c r="BC46" s="7">
        <f>((AVERAGE(B41:B46)*('Summary Page'!$C$3+1))*('Summary Page'!$C$3+1))*('Summary Page'!$C$3+1)</f>
        <v>236.00260416666663</v>
      </c>
      <c r="BD46" s="7">
        <f>((AVERAGE(B41:B46)*('Summary Page'!$C$4+1))*('Summary Page'!$C$4+1))*('Summary Page'!$C$4+1)</f>
        <v>208.79999999999998</v>
      </c>
      <c r="CQ46" s="40">
        <f t="shared" si="25"/>
        <v>76.8</v>
      </c>
      <c r="CR46" s="7">
        <f>((AVERAGE(C41:C46)*('Summary Page'!$C$2+1))*('Summary Page'!$C$2+1))*('Summary Page'!$C$2+1)</f>
        <v>78.565098666666657</v>
      </c>
      <c r="CS46" s="7">
        <f>((AVERAGE(C41:C46)*('Summary Page'!$C$3+1))*('Summary Page'!$C$3+1))*('Summary Page'!$C$3+1)</f>
        <v>98.307291666666686</v>
      </c>
      <c r="CT46" s="8">
        <f>((AVERAGE(C41:C46)*('Summary Page'!$C$4+1))*('Summary Page'!$C$4+1))*('Summary Page'!$C$4+1)</f>
        <v>86.975999999999985</v>
      </c>
      <c r="CW46" s="40">
        <f t="shared" si="26"/>
        <v>64.8</v>
      </c>
      <c r="CX46" s="7">
        <f>((AVERAGE(D41:D46)*('Summary Page'!$C$2+1))*('Summary Page'!$C$2+1))*('Summary Page'!$C$2+1)</f>
        <v>65.817781333333315</v>
      </c>
      <c r="CY46" s="7">
        <f>((AVERAGE(D41:D46)*('Summary Page'!$C$3+1))*('Summary Page'!$C$3+1))*('Summary Page'!$C$3+1)</f>
        <v>82.356770833333314</v>
      </c>
      <c r="CZ46" s="8">
        <f>((AVERAGE(D41:D46)*('Summary Page'!$C$4+1))*('Summary Page'!$C$4+1))*('Summary Page'!$C$4+1)</f>
        <v>72.86399999999999</v>
      </c>
      <c r="DO46" s="40"/>
      <c r="DP46" s="7"/>
      <c r="DQ46" s="7"/>
      <c r="DR46" s="8"/>
      <c r="DU46" s="40"/>
      <c r="DV46" s="7"/>
      <c r="DW46" s="7"/>
      <c r="DX46" s="8"/>
      <c r="EA46" s="40">
        <f t="shared" si="27"/>
        <v>37.199999999999996</v>
      </c>
      <c r="EB46" s="7">
        <f>((AVERAGE(H41:H46)*('Summary Page'!$C$2+1))*('Summary Page'!$C$2+1))*('Summary Page'!$C$2+1)</f>
        <v>52.550165333333318</v>
      </c>
      <c r="EC46" s="7">
        <f>((AVERAGE(H41:H46)*('Summary Page'!$C$3+1))*('Summary Page'!$C$3+1))*('Summary Page'!$C$3+1)</f>
        <v>65.755208333333314</v>
      </c>
      <c r="ED46" s="8">
        <f>((AVERAGE(H41:H46)*('Summary Page'!$C$4+1))*('Summary Page'!$C$4+1))*('Summary Page'!$C$4+1)</f>
        <v>58.175999999999995</v>
      </c>
      <c r="EG46" s="40">
        <f t="shared" si="28"/>
        <v>44.4</v>
      </c>
      <c r="EH46" s="7">
        <f>((AVERAGE(I41:I46)*('Summary Page'!$C$2+1))*('Summary Page'!$C$2+1))*('Summary Page'!$C$2+1)</f>
        <v>104.58003199999999</v>
      </c>
      <c r="EI46" s="7">
        <f>((AVERAGE(I41:I46)*('Summary Page'!$C$3+1))*('Summary Page'!$C$3+1))*('Summary Page'!$C$3+1)</f>
        <v>130.859375</v>
      </c>
      <c r="EJ46" s="8">
        <f>((AVERAGE(I41:I46)*('Summary Page'!$C$4+1))*('Summary Page'!$C$4+1))*('Summary Page'!$C$4+1)</f>
        <v>115.77599999999998</v>
      </c>
      <c r="EM46" s="40">
        <f t="shared" si="22"/>
        <v>116.39999999999999</v>
      </c>
      <c r="EN46" s="7">
        <f>((AVERAGE(AD41:AD46)*('Summary Page'!$C$2+1))*('Summary Page'!$C$2+1))*('Summary Page'!$C$2+1)</f>
        <v>163.63393066666663</v>
      </c>
      <c r="EO46" s="7">
        <f>((AVERAGE(AD41:AD46)*('Summary Page'!$C$3+1))*('Summary Page'!$C$3+1))*('Summary Page'!$C$3+1)</f>
        <v>204.75260416666663</v>
      </c>
      <c r="EP46" s="7">
        <f>((AVERAGE(AD41:AD46)*('Summary Page'!$C$4+1))*('Summary Page'!$C$4+1))*('Summary Page'!$C$4+1)</f>
        <v>181.15199999999996</v>
      </c>
      <c r="EQ46" s="7">
        <f t="shared" si="29"/>
        <v>100</v>
      </c>
      <c r="ER46" s="16">
        <f t="shared" si="17"/>
        <v>29.393258426966291</v>
      </c>
      <c r="ES46" s="16">
        <f t="shared" si="18"/>
        <v>28.943820224719104</v>
      </c>
      <c r="ET46" s="7">
        <f t="shared" si="30"/>
        <v>34.732584269662922</v>
      </c>
      <c r="EU46" s="7">
        <f>((AVERAGE(ER41:ER46)*('Summary Page'!$C$2+1))*('Summary Page'!$C$2+1))*('Summary Page'!$C$2+1)</f>
        <v>42.902230132334566</v>
      </c>
      <c r="EV46" s="7">
        <f>((AVERAGE(ER41:ER46)*('Summary Page'!$C$3+1))*('Summary Page'!$C$3+1))*('Summary Page'!$C$3+1)</f>
        <v>53.682896379525587</v>
      </c>
      <c r="EW46" s="7">
        <f>((AVERAGE(ER41:ER46)*('Summary Page'!$C$4+1))*('Summary Page'!$C$4+1))*('Summary Page'!$C$4+1)</f>
        <v>47.495191011235953</v>
      </c>
      <c r="EX46" s="11">
        <f t="shared" si="31"/>
        <v>34.292134831460672</v>
      </c>
      <c r="EY46" s="11">
        <f t="shared" si="32"/>
        <v>33.767790262172291</v>
      </c>
      <c r="EZ46" s="11">
        <f t="shared" si="33"/>
        <v>40.52134831460674</v>
      </c>
      <c r="FA46" s="11">
        <f t="shared" si="41"/>
        <v>50.052601821056996</v>
      </c>
      <c r="FB46" s="11">
        <f t="shared" si="35"/>
        <v>62.630045776113185</v>
      </c>
      <c r="FC46" s="11">
        <f t="shared" si="36"/>
        <v>55.411056179775279</v>
      </c>
    </row>
    <row r="47" spans="1:159" ht="15.75" x14ac:dyDescent="0.25">
      <c r="A47" s="10">
        <v>44447</v>
      </c>
      <c r="B47" s="64">
        <v>100</v>
      </c>
      <c r="C47" s="64">
        <v>22</v>
      </c>
      <c r="D47" s="64">
        <v>25</v>
      </c>
      <c r="E47" s="64">
        <f t="shared" si="1"/>
        <v>61</v>
      </c>
      <c r="F47" s="64"/>
      <c r="G47" s="64"/>
      <c r="H47" s="64">
        <v>46</v>
      </c>
      <c r="I47" s="64">
        <v>55</v>
      </c>
      <c r="J47" s="64"/>
      <c r="K47" s="64">
        <v>97</v>
      </c>
      <c r="L47" s="64">
        <v>109</v>
      </c>
      <c r="M47" s="64">
        <v>45</v>
      </c>
      <c r="N47" s="64">
        <v>33</v>
      </c>
      <c r="O47" s="64">
        <f t="shared" si="8"/>
        <v>77</v>
      </c>
      <c r="P47" s="64"/>
      <c r="Q47" s="64"/>
      <c r="R47" s="64">
        <v>36</v>
      </c>
      <c r="S47" s="64">
        <v>44</v>
      </c>
      <c r="T47" s="64"/>
      <c r="U47" s="64">
        <v>61</v>
      </c>
      <c r="V47" s="13"/>
      <c r="W47" s="13"/>
      <c r="X47" s="13"/>
      <c r="Y47" s="13"/>
      <c r="Z47" s="13"/>
      <c r="AA47" s="13"/>
      <c r="AB47" s="13"/>
      <c r="AC47" s="13"/>
      <c r="AD47" s="40">
        <v>112</v>
      </c>
      <c r="AE47" s="64">
        <v>85</v>
      </c>
      <c r="AF47" s="64"/>
      <c r="AG47" s="40">
        <v>897</v>
      </c>
      <c r="AH47" s="40">
        <v>878</v>
      </c>
      <c r="AI47" s="40"/>
      <c r="AJ47" s="40"/>
      <c r="AK47" s="40"/>
      <c r="AL47" s="40"/>
      <c r="AM47" s="40"/>
      <c r="AN47" s="13">
        <f>U47*1.2</f>
        <v>73.2</v>
      </c>
      <c r="AO47" s="7">
        <f>((AVERAGE(K42:K47)*('Summary Page'!$C$2+1))*('Summary Page'!$C$2+1))*('Summary Page'!$C$2+1)</f>
        <v>120.83936533333332</v>
      </c>
      <c r="AP47" s="7">
        <f>((AVERAGE(K42:K47)*('Summary Page'!$C$3+1))*('Summary Page'!$C$3+1))*('Summary Page'!$C$3+1)</f>
        <v>151.20442708333337</v>
      </c>
      <c r="AQ47" s="7">
        <f>((AVERAGE(K42:K47)*('Summary Page'!$C$4+1))*('Summary Page'!$C$4+1))*('Summary Page'!$C$4+1)</f>
        <v>133.77600000000001</v>
      </c>
      <c r="AR47" s="7">
        <f t="shared" si="24"/>
        <v>80</v>
      </c>
      <c r="AS47" s="5">
        <f t="shared" si="38"/>
        <v>40</v>
      </c>
      <c r="AT47" s="13">
        <f t="shared" si="39"/>
        <v>44.5</v>
      </c>
      <c r="AU47" s="13">
        <f t="shared" si="40"/>
        <v>53.4</v>
      </c>
      <c r="AV47" s="7">
        <f>((AVERAGE(AS36:AS47,AU36:AU47)*('Summary Page'!$C$2+1))*('Summary Page'!$C$2+1))*('Summary Page'!$C$2+1)</f>
        <v>92.834289599999963</v>
      </c>
      <c r="AW47" s="7">
        <f>((AVERAGE(AS36:AS47,AU36:AU47)*('Summary Page'!$C$3+1))*('Summary Page'!$C$3+1))*('Summary Page'!$C$3+1)</f>
        <v>116.162109375</v>
      </c>
      <c r="AX47" s="7">
        <f>((AVERAGE(AS36:AS47,AU36:AU47)*('Summary Page'!$C$4+1))*('Summary Page'!$C$4+1))*('Summary Page'!$C$4+1)</f>
        <v>102.77279999999999</v>
      </c>
      <c r="BA47" s="40">
        <f t="shared" si="42"/>
        <v>130.79999999999998</v>
      </c>
      <c r="BB47" s="7">
        <f>((AVERAGE(B42:B47)*(+'Summary Page'!$C$2+1))*('Summary Page'!$C$2+1))*('Summary Page'!$C$2+1)</f>
        <v>181.3240853333333</v>
      </c>
      <c r="BC47" s="7">
        <f>((AVERAGE(B42:B47)*('Summary Page'!$C$3+1))*('Summary Page'!$C$3+1))*('Summary Page'!$C$3+1)</f>
        <v>226.88802083333337</v>
      </c>
      <c r="BD47" s="7">
        <f>((AVERAGE(B42:B47)*('Summary Page'!$C$4+1))*('Summary Page'!$C$4+1))*('Summary Page'!$C$4+1)</f>
        <v>200.73599999999999</v>
      </c>
      <c r="CQ47" s="40">
        <f t="shared" si="25"/>
        <v>54</v>
      </c>
      <c r="CR47" s="7">
        <f>((AVERAGE(C42:C47)*('Summary Page'!$C$2+1))*('Summary Page'!$C$2+1))*('Summary Page'!$C$2+1)</f>
        <v>68.159125333333321</v>
      </c>
      <c r="CS47" s="7">
        <f>((AVERAGE(C42:C47)*('Summary Page'!$C$3+1))*('Summary Page'!$C$3+1))*('Summary Page'!$C$3+1)</f>
        <v>85.286458333333314</v>
      </c>
      <c r="CT47" s="8">
        <f>((AVERAGE(C42:C47)*('Summary Page'!$C$4+1))*('Summary Page'!$C$4+1))*('Summary Page'!$C$4+1)</f>
        <v>75.455999999999989</v>
      </c>
      <c r="CW47" s="40">
        <f t="shared" si="26"/>
        <v>39.6</v>
      </c>
      <c r="CX47" s="7">
        <f>((AVERAGE(D42:D47)*('Summary Page'!$C$2+1))*('Summary Page'!$C$2+1))*('Summary Page'!$C$2+1)</f>
        <v>58.793749333333324</v>
      </c>
      <c r="CY47" s="7">
        <f>((AVERAGE(D42:D47)*('Summary Page'!$C$3+1))*('Summary Page'!$C$3+1))*('Summary Page'!$C$3+1)</f>
        <v>73.567708333333314</v>
      </c>
      <c r="CZ47" s="8">
        <f>((AVERAGE(D42:D47)*('Summary Page'!$C$4+1))*('Summary Page'!$C$4+1))*('Summary Page'!$C$4+1)</f>
        <v>65.087999999999994</v>
      </c>
      <c r="DO47" s="40"/>
      <c r="DP47" s="7"/>
      <c r="DQ47" s="7"/>
      <c r="DR47" s="8"/>
      <c r="DU47" s="40"/>
      <c r="DV47" s="7"/>
      <c r="DW47" s="7"/>
      <c r="DX47" s="8"/>
      <c r="EA47" s="40">
        <f t="shared" si="27"/>
        <v>43.199999999999996</v>
      </c>
      <c r="EB47" s="7">
        <f>((AVERAGE(H42:H47)*('Summary Page'!$C$2+1))*('Summary Page'!$C$2+1))*('Summary Page'!$C$2+1)</f>
        <v>59.314047999999993</v>
      </c>
      <c r="EC47" s="7">
        <f>((AVERAGE(H42:H47)*('Summary Page'!$C$3+1))*('Summary Page'!$C$3+1))*('Summary Page'!$C$3+1)</f>
        <v>74.21875</v>
      </c>
      <c r="ED47" s="8">
        <f>((AVERAGE(H42:H47)*('Summary Page'!$C$4+1))*('Summary Page'!$C$4+1))*('Summary Page'!$C$4+1)</f>
        <v>65.664000000000001</v>
      </c>
      <c r="EG47" s="40">
        <f t="shared" si="28"/>
        <v>52.8</v>
      </c>
      <c r="EH47" s="7">
        <f>((AVERAGE(I42:I47)*('Summary Page'!$C$2+1))*('Summary Page'!$C$2+1))*('Summary Page'!$C$2+1)</f>
        <v>103.799584</v>
      </c>
      <c r="EI47" s="7">
        <f>((AVERAGE(I42:I47)*('Summary Page'!$C$3+1))*('Summary Page'!$C$3+1))*('Summary Page'!$C$3+1)</f>
        <v>129.8828125</v>
      </c>
      <c r="EJ47" s="8">
        <f>((AVERAGE(I42:I47)*('Summary Page'!$C$4+1))*('Summary Page'!$C$4+1))*('Summary Page'!$C$4+1)</f>
        <v>114.91199999999999</v>
      </c>
      <c r="EM47" s="40">
        <f t="shared" si="22"/>
        <v>102</v>
      </c>
      <c r="EN47" s="7">
        <f>((AVERAGE(AD42:AD47)*('Summary Page'!$C$2+1))*('Summary Page'!$C$2+1))*('Summary Page'!$C$2+1)</f>
        <v>159.99183999999997</v>
      </c>
      <c r="EO47" s="7">
        <f>((AVERAGE(AD42:AD47)*('Summary Page'!$C$3+1))*('Summary Page'!$C$3+1))*('Summary Page'!$C$3+1)</f>
        <v>200.1953125</v>
      </c>
      <c r="EP47" s="7">
        <f>((AVERAGE(AD42:AD47)*('Summary Page'!$C$4+1))*('Summary Page'!$C$4+1))*('Summary Page'!$C$4+1)</f>
        <v>177.11999999999998</v>
      </c>
      <c r="EQ47" s="7">
        <f t="shared" si="29"/>
        <v>100</v>
      </c>
      <c r="ER47" s="16">
        <f t="shared" si="17"/>
        <v>26.876404494382019</v>
      </c>
      <c r="ES47" s="16">
        <f t="shared" si="18"/>
        <v>26.307116104868914</v>
      </c>
      <c r="ET47" s="7">
        <f t="shared" si="30"/>
        <v>31.568539325842696</v>
      </c>
      <c r="EU47" s="7">
        <f>((AVERAGE(ER42:ER47)*('Summary Page'!$C$2+1))*('Summary Page'!$C$2+1))*('Summary Page'!$C$2+1)</f>
        <v>43.182840649188513</v>
      </c>
      <c r="EV47" s="7">
        <f>((AVERAGE(ER42:ER47)*('Summary Page'!$C$3+1))*('Summary Page'!$C$3+1))*('Summary Page'!$C$3+1)</f>
        <v>54.034019975031228</v>
      </c>
      <c r="EW47" s="7">
        <f>((AVERAGE(ER42:ER47)*('Summary Page'!$C$4+1))*('Summary Page'!$C$4+1))*('Summary Page'!$C$4+1)</f>
        <v>47.805842696629213</v>
      </c>
      <c r="EX47" s="11">
        <f t="shared" si="31"/>
        <v>31.355805243445687</v>
      </c>
      <c r="EY47" s="11">
        <f t="shared" si="32"/>
        <v>30.691635455680398</v>
      </c>
      <c r="EZ47" s="11">
        <f t="shared" si="33"/>
        <v>36.829962546816482</v>
      </c>
      <c r="FA47" s="11">
        <f t="shared" si="41"/>
        <v>50.379980757386598</v>
      </c>
      <c r="FB47" s="11">
        <f t="shared" si="35"/>
        <v>63.039689970869766</v>
      </c>
      <c r="FC47" s="11">
        <f t="shared" si="36"/>
        <v>55.773483146067413</v>
      </c>
    </row>
    <row r="48" spans="1:159" ht="15.75" x14ac:dyDescent="0.25">
      <c r="A48" s="10">
        <v>44475</v>
      </c>
      <c r="B48" s="64">
        <v>125</v>
      </c>
      <c r="C48" s="64">
        <v>21</v>
      </c>
      <c r="D48" s="64">
        <v>24</v>
      </c>
      <c r="E48" s="64">
        <f t="shared" si="1"/>
        <v>73</v>
      </c>
      <c r="F48" s="64"/>
      <c r="G48" s="64"/>
      <c r="H48" s="64">
        <v>43</v>
      </c>
      <c r="I48" s="64">
        <v>51</v>
      </c>
      <c r="J48" s="64"/>
      <c r="K48" s="64">
        <v>109</v>
      </c>
      <c r="L48" s="64">
        <v>90</v>
      </c>
      <c r="M48" s="64">
        <v>70</v>
      </c>
      <c r="N48" s="64">
        <v>48</v>
      </c>
      <c r="O48" s="64">
        <f t="shared" si="8"/>
        <v>80</v>
      </c>
      <c r="P48" s="64"/>
      <c r="Q48" s="64"/>
      <c r="R48" s="64">
        <v>31</v>
      </c>
      <c r="S48" s="64">
        <v>36</v>
      </c>
      <c r="T48" s="64"/>
      <c r="U48" s="64">
        <v>55</v>
      </c>
      <c r="V48" s="13"/>
      <c r="W48" s="13"/>
      <c r="X48" s="13"/>
      <c r="Y48" s="13"/>
      <c r="Z48" s="13"/>
      <c r="AA48" s="13"/>
      <c r="AB48" s="13"/>
      <c r="AC48" s="13"/>
      <c r="AD48" s="40">
        <v>125</v>
      </c>
      <c r="AE48" s="64">
        <v>88</v>
      </c>
      <c r="AF48" s="64"/>
      <c r="AG48" s="40">
        <v>1061</v>
      </c>
      <c r="AH48">
        <v>774</v>
      </c>
      <c r="AN48" s="13">
        <f>U48*1.2</f>
        <v>66</v>
      </c>
      <c r="AO48" s="7">
        <f>((AVERAGE(K43:K48)*('Summary Page'!$C$2+1))*('Summary Page'!$C$2+1))*('Summary Page'!$C$2+1)</f>
        <v>129.42429333333331</v>
      </c>
      <c r="AP48" s="7">
        <f>((AVERAGE(K43:K48)*('Summary Page'!$C$3+1))*('Summary Page'!$C$3+1))*('Summary Page'!$C$3+1)</f>
        <v>161.94661458333337</v>
      </c>
      <c r="AQ48" s="7">
        <f>((AVERAGE(K43:K48)*('Summary Page'!$C$4+1))*('Summary Page'!$C$4+1))*('Summary Page'!$C$4+1)</f>
        <v>143.27999999999997</v>
      </c>
      <c r="AR48" s="7">
        <f t="shared" si="24"/>
        <v>80</v>
      </c>
      <c r="AS48" s="5">
        <f t="shared" si="38"/>
        <v>37.5</v>
      </c>
      <c r="AT48" s="13">
        <f t="shared" si="39"/>
        <v>53</v>
      </c>
      <c r="AU48" s="13">
        <f t="shared" si="40"/>
        <v>63.599999999999994</v>
      </c>
      <c r="AV48" s="7">
        <f>((AVERAGE(AS37:AS48,AU37:AU48)*('Summary Page'!$C$2+1))*('Summary Page'!$C$2+1))*('Summary Page'!$C$2+1)</f>
        <v>91.663617599999967</v>
      </c>
      <c r="AW48" s="7">
        <f>((AVERAGE(AS37:AS48,AU37:AU48)*('Summary Page'!$C$3+1))*('Summary Page'!$C$3+1))*('Summary Page'!$C$3+1)</f>
        <v>114.697265625</v>
      </c>
      <c r="AX48" s="7">
        <f>((AVERAGE(AS37:AS48,AU37:AU48)*('Summary Page'!$C$4+1))*('Summary Page'!$C$4+1))*('Summary Page'!$C$4+1)</f>
        <v>101.47679999999997</v>
      </c>
      <c r="BA48" s="40">
        <f t="shared" si="42"/>
        <v>108</v>
      </c>
      <c r="BB48" s="7">
        <f>((AVERAGE(B43:B48)*(+'Summary Page'!$C$2+1))*('Summary Page'!$C$2+1))*('Summary Page'!$C$2+1)</f>
        <v>181.84438399999996</v>
      </c>
      <c r="BC48" s="7">
        <f>((AVERAGE(B43:B48)*('Summary Page'!$C$3+1))*('Summary Page'!$C$3+1))*('Summary Page'!$C$3+1)</f>
        <v>227.5390625</v>
      </c>
      <c r="BD48" s="7">
        <f>((AVERAGE(B43:B48)*('Summary Page'!$C$4+1))*('Summary Page'!$C$4+1))*('Summary Page'!$C$4+1)</f>
        <v>201.31199999999995</v>
      </c>
      <c r="CQ48" s="40">
        <f t="shared" si="25"/>
        <v>84</v>
      </c>
      <c r="CR48" s="7">
        <f>((AVERAGE(C43:C48)*('Summary Page'!$C$2+1))*('Summary Page'!$C$2+1))*('Summary Page'!$C$2+1)</f>
        <v>62.175690666666654</v>
      </c>
      <c r="CS48" s="7">
        <f>((AVERAGE(C43:C48)*('Summary Page'!$C$3+1))*('Summary Page'!$C$3+1))*('Summary Page'!$C$3+1)</f>
        <v>77.799479166666686</v>
      </c>
      <c r="CT48" s="8">
        <f>((AVERAGE(C43:C48)*('Summary Page'!$C$4+1))*('Summary Page'!$C$4+1))*('Summary Page'!$C$4+1)</f>
        <v>68.832000000000008</v>
      </c>
      <c r="CW48" s="40">
        <f t="shared" si="26"/>
        <v>57.599999999999994</v>
      </c>
      <c r="CX48" s="7">
        <f>((AVERAGE(D43:D48)*('Summary Page'!$C$2+1))*('Summary Page'!$C$2+1))*('Summary Page'!$C$2+1)</f>
        <v>55.671957333333317</v>
      </c>
      <c r="CY48" s="7">
        <f>((AVERAGE(D43:D48)*('Summary Page'!$C$3+1))*('Summary Page'!$C$3+1))*('Summary Page'!$C$3+1)</f>
        <v>69.661458333333314</v>
      </c>
      <c r="CZ48" s="8">
        <f>((AVERAGE(D43:D48)*('Summary Page'!$C$4+1))*('Summary Page'!$C$4+1))*('Summary Page'!$C$4+1)</f>
        <v>61.631999999999991</v>
      </c>
      <c r="DO48" s="40"/>
      <c r="DP48" s="7"/>
      <c r="DQ48" s="7"/>
      <c r="DR48" s="8"/>
      <c r="DU48" s="40"/>
      <c r="DV48" s="7"/>
      <c r="DW48" s="7"/>
      <c r="DX48" s="8"/>
      <c r="EA48" s="40">
        <f t="shared" si="27"/>
        <v>37.199999999999996</v>
      </c>
      <c r="EB48" s="7">
        <f>((AVERAGE(H43:H48)*('Summary Page'!$C$2+1))*('Summary Page'!$C$2+1))*('Summary Page'!$C$2+1)</f>
        <v>66.858378666666667</v>
      </c>
      <c r="EC48" s="7">
        <f>((AVERAGE(H43:H48)*('Summary Page'!$C$3+1))*('Summary Page'!$C$3+1))*('Summary Page'!$C$3+1)</f>
        <v>83.658854166666686</v>
      </c>
      <c r="ED48" s="8">
        <f>((AVERAGE(H43:H48)*('Summary Page'!$C$4+1))*('Summary Page'!$C$4+1))*('Summary Page'!$C$4+1)</f>
        <v>74.015999999999991</v>
      </c>
      <c r="EG48" s="40">
        <f t="shared" si="28"/>
        <v>43.199999999999996</v>
      </c>
      <c r="EH48" s="7">
        <f>((AVERAGE(I43:I48)*('Summary Page'!$C$2+1))*('Summary Page'!$C$2+1))*('Summary Page'!$C$2+1)</f>
        <v>103.799584</v>
      </c>
      <c r="EI48" s="7">
        <f>((AVERAGE(I43:I48)*('Summary Page'!$C$3+1))*('Summary Page'!$C$3+1))*('Summary Page'!$C$3+1)</f>
        <v>129.8828125</v>
      </c>
      <c r="EJ48" s="8">
        <f>((AVERAGE(I43:I48)*('Summary Page'!$C$4+1))*('Summary Page'!$C$4+1))*('Summary Page'!$C$4+1)</f>
        <v>114.91199999999999</v>
      </c>
      <c r="EM48" s="40">
        <f t="shared" si="22"/>
        <v>105.6</v>
      </c>
      <c r="EN48" s="7">
        <f>((AVERAGE(AD43:AD48)*('Summary Page'!$C$2+1))*('Summary Page'!$C$2+1))*('Summary Page'!$C$2+1)</f>
        <v>165.71512533333333</v>
      </c>
      <c r="EO48" s="7">
        <f>((AVERAGE(AD43:AD48)*('Summary Page'!$C$3+1))*('Summary Page'!$C$3+1))*('Summary Page'!$C$3+1)</f>
        <v>207.35677083333337</v>
      </c>
      <c r="EP48" s="7">
        <f>((AVERAGE(AD43:AD48)*('Summary Page'!$C$4+1))*('Summary Page'!$C$4+1))*('Summary Page'!$C$4+1)</f>
        <v>183.45599999999999</v>
      </c>
      <c r="EQ48" s="7">
        <f t="shared" si="29"/>
        <v>100</v>
      </c>
      <c r="ER48" s="16">
        <f t="shared" si="17"/>
        <v>31.790262172284645</v>
      </c>
      <c r="ES48" s="16">
        <f t="shared" si="18"/>
        <v>23.191011235955056</v>
      </c>
      <c r="ET48" s="7">
        <f t="shared" si="30"/>
        <v>27.829213483146066</v>
      </c>
      <c r="EU48" s="7">
        <f>((AVERAGE(ER43:ER48)*('Summary Page'!$C$2+1))*('Summary Page'!$C$2+1))*('Summary Page'!$C$2+1)</f>
        <v>44.796351121098617</v>
      </c>
      <c r="EV48" s="7">
        <f>((AVERAGE(ER43:ER48)*('Summary Page'!$C$3+1))*('Summary Page'!$C$3+1))*('Summary Page'!$C$3+1)</f>
        <v>56.05298064918852</v>
      </c>
      <c r="EW48" s="7">
        <f>((AVERAGE(ER43:ER48)*('Summary Page'!$C$4+1))*('Summary Page'!$C$4+1))*('Summary Page'!$C$4+1)</f>
        <v>49.592089887640448</v>
      </c>
      <c r="EX48" s="11">
        <f t="shared" si="31"/>
        <v>37.088639200998756</v>
      </c>
      <c r="EY48" s="11">
        <f t="shared" si="32"/>
        <v>27.056179775280899</v>
      </c>
      <c r="EZ48" s="11">
        <f t="shared" si="33"/>
        <v>32.467415730337081</v>
      </c>
      <c r="FA48" s="11">
        <f t="shared" si="41"/>
        <v>52.262409641281721</v>
      </c>
      <c r="FB48" s="11">
        <f t="shared" si="35"/>
        <v>65.395144090719938</v>
      </c>
      <c r="FC48" s="11">
        <f t="shared" si="36"/>
        <v>57.857438202247188</v>
      </c>
    </row>
    <row r="49" spans="1:156" ht="15.75" x14ac:dyDescent="0.25">
      <c r="A49" s="10">
        <v>44501</v>
      </c>
      <c r="B49" s="64">
        <v>125</v>
      </c>
      <c r="C49" s="64">
        <v>82</v>
      </c>
      <c r="D49" s="64">
        <v>52</v>
      </c>
      <c r="E49" s="64">
        <f t="shared" si="1"/>
        <v>103.5</v>
      </c>
      <c r="F49" s="64"/>
      <c r="G49" s="64"/>
      <c r="H49" s="64">
        <v>36</v>
      </c>
      <c r="I49" s="64">
        <v>43</v>
      </c>
      <c r="J49" s="64"/>
      <c r="K49" s="64">
        <v>98</v>
      </c>
      <c r="L49" s="64">
        <v>83</v>
      </c>
      <c r="M49" s="64">
        <v>41</v>
      </c>
      <c r="N49" s="64">
        <v>39</v>
      </c>
      <c r="O49" s="64">
        <f t="shared" si="8"/>
        <v>62</v>
      </c>
      <c r="P49" s="64"/>
      <c r="Q49" s="64"/>
      <c r="R49" s="64">
        <v>44</v>
      </c>
      <c r="S49" s="64">
        <v>50</v>
      </c>
      <c r="T49" s="64"/>
      <c r="U49" s="64">
        <v>68</v>
      </c>
      <c r="V49" s="13"/>
      <c r="W49" s="13"/>
      <c r="X49" s="13"/>
      <c r="Y49" s="13"/>
      <c r="Z49" s="13"/>
      <c r="AA49" s="13"/>
      <c r="AB49" s="13"/>
      <c r="AC49" s="13"/>
      <c r="AD49" s="40">
        <v>113</v>
      </c>
      <c r="AE49" s="64">
        <v>74</v>
      </c>
      <c r="AF49" s="64"/>
      <c r="AG49" s="40">
        <v>987</v>
      </c>
      <c r="AH49">
        <v>1026</v>
      </c>
      <c r="AN49" s="13">
        <f>U49*1.2</f>
        <v>81.599999999999994</v>
      </c>
      <c r="AS49" s="5">
        <f t="shared" si="38"/>
        <v>62.5</v>
      </c>
      <c r="AT49" s="13">
        <f t="shared" si="39"/>
        <v>45.5</v>
      </c>
      <c r="AU49" s="13">
        <f t="shared" si="40"/>
        <v>54.6</v>
      </c>
      <c r="BA49" s="40">
        <f t="shared" si="42"/>
        <v>99.6</v>
      </c>
      <c r="CQ49" s="40">
        <f t="shared" si="25"/>
        <v>49.199999999999996</v>
      </c>
      <c r="CW49" s="40">
        <f t="shared" si="26"/>
        <v>46.8</v>
      </c>
      <c r="EA49" s="40">
        <f t="shared" si="27"/>
        <v>52.8</v>
      </c>
      <c r="EG49" s="40">
        <f t="shared" si="28"/>
        <v>60</v>
      </c>
      <c r="EM49" s="40">
        <f t="shared" si="22"/>
        <v>88.8</v>
      </c>
      <c r="ER49" s="16">
        <f t="shared" si="17"/>
        <v>29.573033707865164</v>
      </c>
      <c r="ES49" s="16">
        <f t="shared" si="18"/>
        <v>30.741573033707869</v>
      </c>
      <c r="ET49" s="7">
        <f t="shared" si="30"/>
        <v>36.889887640449444</v>
      </c>
      <c r="EX49" s="11">
        <f t="shared" si="31"/>
        <v>34.501872659176023</v>
      </c>
      <c r="EY49" s="11">
        <f t="shared" si="32"/>
        <v>35.86516853932585</v>
      </c>
      <c r="EZ49" s="11">
        <f t="shared" si="33"/>
        <v>43.038202247191016</v>
      </c>
    </row>
    <row r="50" spans="1:156" ht="15.75" x14ac:dyDescent="0.25">
      <c r="A50" s="10">
        <v>44531</v>
      </c>
      <c r="B50" s="64">
        <v>158</v>
      </c>
      <c r="C50" s="64">
        <v>110</v>
      </c>
      <c r="D50" s="64">
        <v>75</v>
      </c>
      <c r="E50" s="64">
        <f t="shared" si="1"/>
        <v>134</v>
      </c>
      <c r="F50" s="64"/>
      <c r="G50" s="64"/>
      <c r="H50" s="64">
        <v>47</v>
      </c>
      <c r="I50" s="64">
        <v>52</v>
      </c>
      <c r="J50" s="64"/>
      <c r="K50" s="64">
        <v>66</v>
      </c>
      <c r="L50" s="64">
        <v>92</v>
      </c>
      <c r="M50" s="64">
        <v>34</v>
      </c>
      <c r="N50" s="64">
        <v>27</v>
      </c>
      <c r="O50" s="64">
        <f t="shared" si="8"/>
        <v>63</v>
      </c>
      <c r="P50" s="64"/>
      <c r="Q50" s="64"/>
      <c r="R50" s="64">
        <v>29</v>
      </c>
      <c r="S50" s="64">
        <v>35</v>
      </c>
      <c r="T50" s="64"/>
      <c r="U50" s="64">
        <v>46</v>
      </c>
      <c r="AD50" s="40">
        <v>113</v>
      </c>
      <c r="AE50" s="64">
        <v>62</v>
      </c>
      <c r="AF50" s="64"/>
      <c r="AG50" s="40">
        <v>1110</v>
      </c>
      <c r="AH50">
        <v>1231</v>
      </c>
      <c r="AS50" s="5">
        <f t="shared" si="38"/>
        <v>81</v>
      </c>
      <c r="EM50" s="40">
        <f t="shared" si="22"/>
        <v>74.399999999999991</v>
      </c>
      <c r="ER50" s="16">
        <f t="shared" si="17"/>
        <v>33.258426966292134</v>
      </c>
      <c r="ES50" s="16">
        <f t="shared" si="18"/>
        <v>36.883895131086135</v>
      </c>
      <c r="ET50" s="7">
        <f t="shared" si="30"/>
        <v>44.260674157303363</v>
      </c>
      <c r="EX50" s="11">
        <f t="shared" si="31"/>
        <v>38.801498127340821</v>
      </c>
      <c r="EY50" s="11">
        <f t="shared" si="32"/>
        <v>43.031210986267155</v>
      </c>
      <c r="EZ50" s="11">
        <f t="shared" si="33"/>
        <v>51.637453183520591</v>
      </c>
    </row>
    <row r="51" spans="1:156" x14ac:dyDescent="0.25">
      <c r="A51" s="10">
        <v>44581</v>
      </c>
      <c r="B51" s="64">
        <v>156</v>
      </c>
      <c r="C51" s="64">
        <v>115</v>
      </c>
      <c r="D51" s="64">
        <v>78</v>
      </c>
      <c r="E51" s="64">
        <f t="shared" si="1"/>
        <v>135.5</v>
      </c>
      <c r="F51" s="64"/>
      <c r="G51" s="64"/>
      <c r="H51" s="64">
        <v>67</v>
      </c>
      <c r="I51" s="64">
        <v>82</v>
      </c>
      <c r="J51" s="64"/>
      <c r="K51" s="64">
        <v>60</v>
      </c>
      <c r="L51" s="64">
        <v>82</v>
      </c>
      <c r="M51" s="64">
        <v>37</v>
      </c>
      <c r="N51" s="64">
        <v>35</v>
      </c>
      <c r="O51" s="64">
        <f t="shared" si="8"/>
        <v>59.5</v>
      </c>
      <c r="P51" s="64"/>
      <c r="Q51" s="64"/>
      <c r="R51" s="64">
        <v>18</v>
      </c>
      <c r="S51" s="64">
        <v>29</v>
      </c>
      <c r="T51" s="64"/>
      <c r="U51" s="64">
        <v>29</v>
      </c>
      <c r="AE51" s="64"/>
      <c r="AF51" s="64"/>
    </row>
    <row r="52" spans="1:156" x14ac:dyDescent="0.25">
      <c r="A52" s="10">
        <v>44593</v>
      </c>
      <c r="B52" s="64">
        <v>161</v>
      </c>
      <c r="C52" s="64">
        <v>116</v>
      </c>
      <c r="D52" s="64">
        <v>78</v>
      </c>
      <c r="E52" s="64">
        <f t="shared" ref="E52:E59" si="43">AVERAGE(B52:C52)</f>
        <v>138.5</v>
      </c>
      <c r="F52" s="64"/>
      <c r="G52" s="64"/>
      <c r="H52" s="64">
        <v>42</v>
      </c>
      <c r="I52" s="64">
        <v>55</v>
      </c>
      <c r="J52" s="64"/>
      <c r="K52" s="64">
        <v>60</v>
      </c>
      <c r="L52" s="64">
        <v>78</v>
      </c>
      <c r="M52" s="64">
        <v>30</v>
      </c>
      <c r="N52" s="64">
        <v>27</v>
      </c>
      <c r="O52" s="64">
        <f t="shared" ref="O52:O66" si="44">AVERAGE(L52:M52)</f>
        <v>54</v>
      </c>
      <c r="P52" s="64"/>
      <c r="Q52" s="64"/>
      <c r="R52" s="64">
        <v>35</v>
      </c>
      <c r="S52" s="64">
        <v>47</v>
      </c>
      <c r="T52" s="64"/>
      <c r="U52" s="64">
        <v>26</v>
      </c>
      <c r="V52" s="64">
        <v>136</v>
      </c>
      <c r="W52" s="64">
        <v>55</v>
      </c>
      <c r="X52" s="64">
        <v>45</v>
      </c>
      <c r="Y52" s="64">
        <f t="shared" ref="Y52:Y60" si="45">AVERAGE(V52:W52)</f>
        <v>95.5</v>
      </c>
      <c r="Z52" s="64">
        <v>34</v>
      </c>
      <c r="AA52" s="64">
        <v>43</v>
      </c>
      <c r="AB52" s="64"/>
      <c r="AC52" s="64">
        <v>57</v>
      </c>
      <c r="AD52" s="40">
        <v>110</v>
      </c>
      <c r="AE52" s="64">
        <v>46</v>
      </c>
      <c r="AF52" s="64">
        <v>85</v>
      </c>
      <c r="AG52" s="40">
        <v>1162</v>
      </c>
      <c r="AH52">
        <v>1272</v>
      </c>
      <c r="AI52">
        <v>1172</v>
      </c>
      <c r="AJ52" s="16">
        <f t="shared" ref="AJ52:AL63" si="46">((AG52/37.5)/0.83)*(AD52/100)</f>
        <v>41.06666666666667</v>
      </c>
      <c r="AK52" s="11">
        <f t="shared" si="46"/>
        <v>18.799036144578317</v>
      </c>
      <c r="AL52" s="519">
        <f t="shared" si="46"/>
        <v>32.006425702811242</v>
      </c>
    </row>
    <row r="53" spans="1:156" ht="15.75" thickBot="1" x14ac:dyDescent="0.3">
      <c r="A53" s="10">
        <v>44617</v>
      </c>
      <c r="B53" s="64">
        <v>153</v>
      </c>
      <c r="C53" s="64">
        <v>100</v>
      </c>
      <c r="D53" s="64">
        <v>64</v>
      </c>
      <c r="E53" s="64">
        <f t="shared" si="43"/>
        <v>126.5</v>
      </c>
      <c r="F53" s="64"/>
      <c r="G53" s="64"/>
      <c r="H53" s="64">
        <v>63</v>
      </c>
      <c r="I53" s="64">
        <v>80</v>
      </c>
      <c r="J53" s="64"/>
      <c r="K53" s="64">
        <v>56</v>
      </c>
      <c r="L53" s="64">
        <v>123</v>
      </c>
      <c r="M53" s="64">
        <v>42</v>
      </c>
      <c r="N53" s="64">
        <v>38</v>
      </c>
      <c r="O53" s="64">
        <f t="shared" si="44"/>
        <v>82.5</v>
      </c>
      <c r="P53" s="64"/>
      <c r="Q53" s="64"/>
      <c r="R53" s="64">
        <v>50</v>
      </c>
      <c r="S53" s="64">
        <v>58</v>
      </c>
      <c r="T53" s="64"/>
      <c r="U53" s="64">
        <v>33</v>
      </c>
      <c r="V53" s="64">
        <v>105</v>
      </c>
      <c r="W53" s="64">
        <v>52</v>
      </c>
      <c r="X53" s="64">
        <v>40</v>
      </c>
      <c r="Y53" s="64">
        <f t="shared" si="45"/>
        <v>78.5</v>
      </c>
      <c r="Z53" s="64">
        <v>28</v>
      </c>
      <c r="AA53" s="64">
        <v>36</v>
      </c>
      <c r="AB53" s="64"/>
      <c r="AC53" s="64">
        <v>57</v>
      </c>
      <c r="AD53" s="40">
        <v>114</v>
      </c>
      <c r="AE53" s="64">
        <v>73</v>
      </c>
      <c r="AF53" s="64">
        <v>85</v>
      </c>
      <c r="AG53" s="40">
        <v>1071</v>
      </c>
      <c r="AH53">
        <v>1151</v>
      </c>
      <c r="AI53">
        <v>1051</v>
      </c>
      <c r="AJ53" s="16">
        <f t="shared" si="46"/>
        <v>39.226987951807224</v>
      </c>
      <c r="AK53" s="11">
        <f t="shared" si="46"/>
        <v>26.995341365461844</v>
      </c>
      <c r="AL53" s="519">
        <f t="shared" si="46"/>
        <v>28.702008032128514</v>
      </c>
    </row>
    <row r="54" spans="1:156" ht="15.75" thickBot="1" x14ac:dyDescent="0.3">
      <c r="A54" s="10">
        <v>44655</v>
      </c>
      <c r="B54" s="90">
        <v>155</v>
      </c>
      <c r="C54" s="485">
        <v>77</v>
      </c>
      <c r="D54" s="486">
        <v>63</v>
      </c>
      <c r="E54" s="120">
        <f t="shared" si="43"/>
        <v>116</v>
      </c>
      <c r="F54" s="40"/>
      <c r="G54" s="64"/>
      <c r="H54" s="64">
        <v>66</v>
      </c>
      <c r="I54" s="64">
        <v>84</v>
      </c>
      <c r="J54" s="64"/>
      <c r="K54" s="64">
        <v>46</v>
      </c>
      <c r="L54" s="90">
        <v>116</v>
      </c>
      <c r="M54" s="485">
        <v>50</v>
      </c>
      <c r="N54" s="486">
        <v>47</v>
      </c>
      <c r="O54" s="120">
        <f t="shared" si="44"/>
        <v>83</v>
      </c>
      <c r="R54" s="64">
        <v>26</v>
      </c>
      <c r="S54" s="64">
        <v>34</v>
      </c>
      <c r="T54" s="64"/>
      <c r="U54" s="64">
        <v>38</v>
      </c>
      <c r="V54" s="90">
        <v>117</v>
      </c>
      <c r="W54" s="485">
        <v>41</v>
      </c>
      <c r="X54" s="486">
        <v>31</v>
      </c>
      <c r="Y54" s="120">
        <f t="shared" si="45"/>
        <v>79</v>
      </c>
      <c r="Z54" s="64">
        <v>31</v>
      </c>
      <c r="AA54" s="64">
        <v>41</v>
      </c>
      <c r="AB54" s="64"/>
      <c r="AC54" s="64">
        <v>56</v>
      </c>
      <c r="AD54" s="64">
        <v>110</v>
      </c>
      <c r="AE54" s="64">
        <v>69</v>
      </c>
      <c r="AF54" s="64">
        <v>92</v>
      </c>
      <c r="AG54" s="40">
        <v>1060</v>
      </c>
      <c r="AH54">
        <v>1169</v>
      </c>
      <c r="AI54">
        <v>1052</v>
      </c>
      <c r="AJ54" s="16">
        <f t="shared" si="46"/>
        <v>37.46184738955823</v>
      </c>
      <c r="AK54" s="11">
        <f t="shared" si="46"/>
        <v>25.915180722891563</v>
      </c>
      <c r="AL54" s="519">
        <f t="shared" si="46"/>
        <v>31.095261044176709</v>
      </c>
    </row>
    <row r="55" spans="1:156" ht="15.75" thickBot="1" x14ac:dyDescent="0.3">
      <c r="A55" s="10">
        <v>44691</v>
      </c>
      <c r="B55" s="90">
        <v>140</v>
      </c>
      <c r="C55" s="485">
        <v>61</v>
      </c>
      <c r="D55" s="486">
        <v>50</v>
      </c>
      <c r="E55" s="120">
        <f t="shared" si="43"/>
        <v>100.5</v>
      </c>
      <c r="F55" s="40"/>
      <c r="G55" s="64"/>
      <c r="H55" s="64">
        <v>53</v>
      </c>
      <c r="I55" s="64">
        <v>80</v>
      </c>
      <c r="J55" s="64"/>
      <c r="K55" s="64">
        <v>41</v>
      </c>
      <c r="L55" s="90">
        <v>117</v>
      </c>
      <c r="M55" s="485">
        <v>53</v>
      </c>
      <c r="N55" s="486">
        <v>47</v>
      </c>
      <c r="O55" s="120">
        <f t="shared" si="44"/>
        <v>85</v>
      </c>
      <c r="R55" s="64">
        <v>52</v>
      </c>
      <c r="S55" s="64">
        <v>62</v>
      </c>
      <c r="T55" s="64"/>
      <c r="U55" s="64">
        <v>47</v>
      </c>
      <c r="V55" s="90">
        <v>85</v>
      </c>
      <c r="W55" s="485">
        <v>40</v>
      </c>
      <c r="X55" s="486">
        <v>31</v>
      </c>
      <c r="Y55" s="120">
        <f t="shared" si="45"/>
        <v>62.5</v>
      </c>
      <c r="Z55" s="64">
        <v>35</v>
      </c>
      <c r="AA55" s="64">
        <v>46</v>
      </c>
      <c r="AB55" s="64"/>
      <c r="AC55" s="64">
        <v>47</v>
      </c>
      <c r="AD55" s="64">
        <v>100</v>
      </c>
      <c r="AE55" s="64">
        <v>88</v>
      </c>
      <c r="AF55" s="64">
        <v>76</v>
      </c>
      <c r="AG55" s="40">
        <v>1025</v>
      </c>
      <c r="AH55">
        <v>1090</v>
      </c>
      <c r="AI55">
        <v>979</v>
      </c>
      <c r="AJ55" s="16">
        <f t="shared" si="46"/>
        <v>32.931726907630519</v>
      </c>
      <c r="AK55" s="11">
        <f t="shared" si="46"/>
        <v>30.817670682730924</v>
      </c>
      <c r="AL55" s="519">
        <f t="shared" si="46"/>
        <v>23.904899598393573</v>
      </c>
    </row>
    <row r="56" spans="1:156" ht="15.75" thickBot="1" x14ac:dyDescent="0.3">
      <c r="A56" s="10">
        <v>44714</v>
      </c>
      <c r="B56" s="90">
        <v>145</v>
      </c>
      <c r="C56" s="485">
        <v>49</v>
      </c>
      <c r="D56" s="486">
        <v>46</v>
      </c>
      <c r="E56" s="120">
        <f t="shared" si="43"/>
        <v>97</v>
      </c>
      <c r="F56" s="40"/>
      <c r="G56" s="64"/>
      <c r="H56" s="64">
        <v>66</v>
      </c>
      <c r="I56" s="64">
        <v>81</v>
      </c>
      <c r="J56" s="64"/>
      <c r="K56" s="64">
        <v>37</v>
      </c>
      <c r="L56" s="90">
        <v>119</v>
      </c>
      <c r="M56" s="485">
        <v>50</v>
      </c>
      <c r="N56" s="486">
        <v>43</v>
      </c>
      <c r="O56" s="120">
        <f t="shared" si="44"/>
        <v>84.5</v>
      </c>
      <c r="R56" s="64">
        <v>41</v>
      </c>
      <c r="S56" s="64">
        <v>60</v>
      </c>
      <c r="T56" s="64"/>
      <c r="U56" s="64">
        <v>43</v>
      </c>
      <c r="V56" s="90">
        <v>83</v>
      </c>
      <c r="W56" s="485">
        <v>28</v>
      </c>
      <c r="X56" s="486">
        <v>21</v>
      </c>
      <c r="Y56" s="120">
        <f t="shared" si="45"/>
        <v>55.5</v>
      </c>
      <c r="Z56" s="64">
        <v>20</v>
      </c>
      <c r="AA56" s="64">
        <v>28</v>
      </c>
      <c r="AB56" s="64"/>
      <c r="AC56" s="64">
        <v>45</v>
      </c>
      <c r="AD56" s="64">
        <v>94</v>
      </c>
      <c r="AE56" s="64">
        <v>85</v>
      </c>
      <c r="AF56" s="64">
        <v>70</v>
      </c>
      <c r="AG56" s="40">
        <v>1043</v>
      </c>
      <c r="AH56">
        <v>1090</v>
      </c>
      <c r="AI56">
        <v>979</v>
      </c>
      <c r="AJ56" s="16">
        <f t="shared" si="46"/>
        <v>31.499437751004013</v>
      </c>
      <c r="AK56" s="11">
        <f t="shared" si="46"/>
        <v>29.76706827309237</v>
      </c>
      <c r="AL56" s="519">
        <f t="shared" si="46"/>
        <v>22.017670682730923</v>
      </c>
    </row>
    <row r="57" spans="1:156" ht="15.75" thickBot="1" x14ac:dyDescent="0.3">
      <c r="A57" s="10">
        <v>44753</v>
      </c>
      <c r="B57" s="90">
        <v>116</v>
      </c>
      <c r="C57" s="485">
        <v>50</v>
      </c>
      <c r="D57" s="486">
        <v>47</v>
      </c>
      <c r="E57" s="120">
        <f t="shared" si="43"/>
        <v>83</v>
      </c>
      <c r="F57" s="40"/>
      <c r="G57" s="64"/>
      <c r="H57" s="64">
        <v>54</v>
      </c>
      <c r="I57" s="64">
        <v>75</v>
      </c>
      <c r="J57" s="64"/>
      <c r="K57" s="64">
        <v>44</v>
      </c>
      <c r="L57" s="90">
        <v>86</v>
      </c>
      <c r="M57" s="485">
        <v>43</v>
      </c>
      <c r="N57" s="486">
        <v>33</v>
      </c>
      <c r="O57" s="120">
        <f t="shared" si="44"/>
        <v>64.5</v>
      </c>
      <c r="R57" s="64">
        <v>30</v>
      </c>
      <c r="S57" s="64">
        <v>41</v>
      </c>
      <c r="T57" s="64"/>
      <c r="U57" s="64">
        <v>41</v>
      </c>
      <c r="V57" s="90">
        <v>86</v>
      </c>
      <c r="W57" s="485">
        <v>17</v>
      </c>
      <c r="X57" s="486">
        <v>16</v>
      </c>
      <c r="Y57" s="120">
        <f t="shared" si="45"/>
        <v>51.5</v>
      </c>
      <c r="Z57" s="64">
        <v>23</v>
      </c>
      <c r="AA57" s="64">
        <v>31</v>
      </c>
      <c r="AB57" s="64"/>
      <c r="AC57" s="64">
        <v>33.5</v>
      </c>
      <c r="AD57" s="64">
        <v>98</v>
      </c>
      <c r="AE57" s="64">
        <v>75</v>
      </c>
      <c r="AF57" s="64">
        <v>65</v>
      </c>
      <c r="AG57" s="40">
        <v>1031</v>
      </c>
      <c r="AH57">
        <v>869</v>
      </c>
      <c r="AI57">
        <v>989</v>
      </c>
      <c r="AJ57" s="16">
        <f t="shared" si="46"/>
        <v>32.462008032128516</v>
      </c>
      <c r="AK57" s="11">
        <f t="shared" si="46"/>
        <v>20.939759036144579</v>
      </c>
      <c r="AL57" s="519">
        <f t="shared" si="46"/>
        <v>20.65381526104418</v>
      </c>
    </row>
    <row r="58" spans="1:156" ht="15.75" thickBot="1" x14ac:dyDescent="0.3">
      <c r="A58" s="10">
        <v>44774</v>
      </c>
      <c r="B58" s="90">
        <v>82</v>
      </c>
      <c r="C58" s="485">
        <v>48</v>
      </c>
      <c r="D58" s="486">
        <v>48</v>
      </c>
      <c r="E58" s="120">
        <f t="shared" si="43"/>
        <v>65</v>
      </c>
      <c r="F58" s="40"/>
      <c r="G58" s="64"/>
      <c r="H58" s="64">
        <v>69</v>
      </c>
      <c r="I58" s="64">
        <v>92</v>
      </c>
      <c r="J58" s="64"/>
      <c r="K58" s="64">
        <v>38</v>
      </c>
      <c r="L58" s="90">
        <v>92</v>
      </c>
      <c r="M58" s="485">
        <v>46</v>
      </c>
      <c r="N58" s="486">
        <v>33</v>
      </c>
      <c r="O58" s="120">
        <f t="shared" si="44"/>
        <v>69</v>
      </c>
      <c r="R58" s="64">
        <v>17</v>
      </c>
      <c r="S58" s="64">
        <v>25</v>
      </c>
      <c r="T58" s="64"/>
      <c r="U58" s="64">
        <v>45</v>
      </c>
      <c r="V58" s="90">
        <v>88</v>
      </c>
      <c r="W58" s="485">
        <v>18</v>
      </c>
      <c r="X58" s="486">
        <v>17</v>
      </c>
      <c r="Y58" s="120">
        <f t="shared" si="45"/>
        <v>53</v>
      </c>
      <c r="Z58" s="64">
        <v>21</v>
      </c>
      <c r="AA58" s="64">
        <v>30</v>
      </c>
      <c r="AB58" s="64"/>
      <c r="AC58" s="64">
        <v>35</v>
      </c>
      <c r="AD58" s="64">
        <v>104</v>
      </c>
      <c r="AE58" s="64">
        <v>92</v>
      </c>
      <c r="AF58" s="64">
        <v>78</v>
      </c>
      <c r="AG58" s="40">
        <v>854</v>
      </c>
      <c r="AH58">
        <v>720</v>
      </c>
      <c r="AI58">
        <v>827</v>
      </c>
      <c r="AJ58" s="16">
        <f t="shared" si="46"/>
        <v>28.535261044176707</v>
      </c>
      <c r="AK58" s="11">
        <f t="shared" si="46"/>
        <v>21.281927710843373</v>
      </c>
      <c r="AL58" s="519">
        <f t="shared" si="46"/>
        <v>20.724819277108438</v>
      </c>
    </row>
    <row r="59" spans="1:156" ht="15.75" thickBot="1" x14ac:dyDescent="0.3">
      <c r="A59" s="10">
        <v>44805</v>
      </c>
      <c r="B59" s="90">
        <v>87</v>
      </c>
      <c r="C59" s="485">
        <v>54</v>
      </c>
      <c r="D59" s="486">
        <v>43</v>
      </c>
      <c r="E59" s="120">
        <f t="shared" si="43"/>
        <v>70.5</v>
      </c>
      <c r="F59" s="40"/>
      <c r="G59" s="64"/>
      <c r="H59" s="64">
        <v>50</v>
      </c>
      <c r="I59" s="64">
        <v>72</v>
      </c>
      <c r="J59" s="64"/>
      <c r="K59" s="64">
        <v>43</v>
      </c>
      <c r="L59" s="90">
        <v>115</v>
      </c>
      <c r="M59" s="485">
        <v>33</v>
      </c>
      <c r="N59" s="486">
        <v>24</v>
      </c>
      <c r="O59" s="120">
        <f t="shared" si="44"/>
        <v>74</v>
      </c>
      <c r="R59" s="64">
        <v>13</v>
      </c>
      <c r="S59" s="64">
        <v>19</v>
      </c>
      <c r="T59" s="64"/>
      <c r="U59" s="64">
        <v>47</v>
      </c>
      <c r="V59" s="90">
        <v>80</v>
      </c>
      <c r="W59" s="485">
        <v>29</v>
      </c>
      <c r="X59" s="486">
        <v>25</v>
      </c>
      <c r="Y59" s="120">
        <f t="shared" si="45"/>
        <v>54.5</v>
      </c>
      <c r="Z59" s="64">
        <v>26</v>
      </c>
      <c r="AA59" s="64">
        <v>34</v>
      </c>
      <c r="AB59" s="64"/>
      <c r="AC59" s="64">
        <v>35</v>
      </c>
      <c r="AD59" s="64">
        <v>93</v>
      </c>
      <c r="AE59" s="64">
        <v>96</v>
      </c>
      <c r="AF59" s="64">
        <v>73</v>
      </c>
      <c r="AG59" s="40">
        <v>898</v>
      </c>
      <c r="AH59">
        <v>743</v>
      </c>
      <c r="AI59">
        <v>876</v>
      </c>
      <c r="AJ59" s="16">
        <f t="shared" si="46"/>
        <v>26.831807228915665</v>
      </c>
      <c r="AK59" s="11">
        <f t="shared" si="46"/>
        <v>22.916626506024098</v>
      </c>
      <c r="AL59" s="519">
        <f t="shared" si="46"/>
        <v>20.5455421686747</v>
      </c>
    </row>
    <row r="60" spans="1:156" ht="15.75" thickBot="1" x14ac:dyDescent="0.3">
      <c r="A60" s="10">
        <v>44838</v>
      </c>
      <c r="B60" s="90">
        <v>75</v>
      </c>
      <c r="C60" s="485">
        <v>66</v>
      </c>
      <c r="D60" s="486">
        <v>55</v>
      </c>
      <c r="E60" s="120">
        <f t="shared" ref="E60:E66" si="47">AVERAGE(B60:C60)</f>
        <v>70.5</v>
      </c>
      <c r="F60" s="40"/>
      <c r="G60" s="64"/>
      <c r="H60" s="64">
        <v>30</v>
      </c>
      <c r="I60" s="64">
        <v>42</v>
      </c>
      <c r="J60" s="64"/>
      <c r="K60" s="64">
        <v>47</v>
      </c>
      <c r="L60" s="90">
        <v>114</v>
      </c>
      <c r="M60" s="485">
        <v>29</v>
      </c>
      <c r="N60" s="486">
        <v>19</v>
      </c>
      <c r="O60" s="120">
        <f t="shared" si="44"/>
        <v>71.5</v>
      </c>
      <c r="R60" s="64">
        <v>18</v>
      </c>
      <c r="S60" s="64">
        <v>22</v>
      </c>
      <c r="T60" s="64"/>
      <c r="U60" s="64">
        <v>37</v>
      </c>
      <c r="V60" s="90">
        <v>83</v>
      </c>
      <c r="W60" s="485">
        <v>32</v>
      </c>
      <c r="X60" s="486">
        <v>27</v>
      </c>
      <c r="Y60" s="120">
        <f t="shared" si="45"/>
        <v>57.5</v>
      </c>
      <c r="Z60" s="64">
        <v>23</v>
      </c>
      <c r="AA60" s="64">
        <v>30</v>
      </c>
      <c r="AB60" s="64"/>
      <c r="AC60" s="64">
        <v>33</v>
      </c>
      <c r="AD60" s="64">
        <v>99</v>
      </c>
      <c r="AE60" s="64">
        <v>96</v>
      </c>
      <c r="AF60" s="64">
        <v>79</v>
      </c>
      <c r="AG60" s="40">
        <v>696</v>
      </c>
      <c r="AH60">
        <v>799</v>
      </c>
      <c r="AI60">
        <v>812</v>
      </c>
      <c r="AJ60" s="16">
        <f t="shared" si="46"/>
        <v>22.137831325301207</v>
      </c>
      <c r="AK60" s="11">
        <f t="shared" si="46"/>
        <v>24.643855421686748</v>
      </c>
      <c r="AL60" s="519">
        <f t="shared" si="46"/>
        <v>20.609799196787151</v>
      </c>
    </row>
    <row r="61" spans="1:156" ht="15.75" thickBot="1" x14ac:dyDescent="0.3">
      <c r="A61" s="10">
        <v>44868</v>
      </c>
      <c r="B61" s="90">
        <v>82</v>
      </c>
      <c r="C61" s="485">
        <v>55</v>
      </c>
      <c r="D61" s="486">
        <v>50</v>
      </c>
      <c r="E61" s="120">
        <f t="shared" si="47"/>
        <v>68.5</v>
      </c>
      <c r="F61" s="40"/>
      <c r="G61" s="64"/>
      <c r="H61" s="64">
        <v>20</v>
      </c>
      <c r="I61" s="64">
        <v>32</v>
      </c>
      <c r="J61" s="64"/>
      <c r="K61" s="64">
        <v>36</v>
      </c>
      <c r="L61" s="90">
        <v>96</v>
      </c>
      <c r="M61" s="485">
        <v>33</v>
      </c>
      <c r="N61" s="486">
        <v>27</v>
      </c>
      <c r="O61" s="120">
        <f t="shared" si="44"/>
        <v>64.5</v>
      </c>
      <c r="R61" s="64">
        <v>25</v>
      </c>
      <c r="S61" s="64">
        <v>32</v>
      </c>
      <c r="T61" s="64"/>
      <c r="U61" s="64">
        <v>28</v>
      </c>
      <c r="V61" s="90">
        <v>75</v>
      </c>
      <c r="W61" s="485">
        <v>29</v>
      </c>
      <c r="X61" s="486">
        <v>24</v>
      </c>
      <c r="Y61" s="120">
        <f t="shared" ref="Y61:Y66" si="48">AVERAGE(V61:W61)</f>
        <v>52</v>
      </c>
      <c r="Z61" s="64">
        <v>23</v>
      </c>
      <c r="AA61" s="64">
        <v>28</v>
      </c>
      <c r="AB61" s="64"/>
      <c r="AC61" s="64">
        <v>28</v>
      </c>
      <c r="AD61" s="64">
        <v>87</v>
      </c>
      <c r="AE61" s="64">
        <v>77</v>
      </c>
      <c r="AF61" s="64">
        <v>66</v>
      </c>
      <c r="AG61" s="40">
        <v>839</v>
      </c>
      <c r="AH61">
        <v>847</v>
      </c>
      <c r="AI61">
        <v>882</v>
      </c>
      <c r="AJ61" s="16">
        <f>((AG61/37.5)/0.83)*(AD61/100)</f>
        <v>23.451566265060244</v>
      </c>
      <c r="AK61" s="11">
        <f t="shared" si="46"/>
        <v>20.95389558232932</v>
      </c>
      <c r="AL61" s="519">
        <f t="shared" si="46"/>
        <v>18.702650602409641</v>
      </c>
    </row>
    <row r="62" spans="1:156" ht="15.75" thickBot="1" x14ac:dyDescent="0.3">
      <c r="A62" s="10">
        <v>44908</v>
      </c>
      <c r="B62" s="90">
        <v>75</v>
      </c>
      <c r="C62" s="485">
        <v>42</v>
      </c>
      <c r="D62" s="486">
        <v>35</v>
      </c>
      <c r="E62" s="120">
        <f t="shared" si="47"/>
        <v>58.5</v>
      </c>
      <c r="F62" s="40"/>
      <c r="G62" s="64"/>
      <c r="H62" s="64">
        <v>19</v>
      </c>
      <c r="I62" s="64">
        <v>28</v>
      </c>
      <c r="J62" s="64"/>
      <c r="K62" s="64">
        <v>35</v>
      </c>
      <c r="L62" s="90">
        <v>76</v>
      </c>
      <c r="M62" s="485">
        <v>21</v>
      </c>
      <c r="N62" s="486">
        <v>20</v>
      </c>
      <c r="O62" s="120">
        <f t="shared" si="44"/>
        <v>48.5</v>
      </c>
      <c r="R62" s="64">
        <v>22</v>
      </c>
      <c r="S62" s="64">
        <v>25</v>
      </c>
      <c r="T62" s="64"/>
      <c r="U62" s="64">
        <v>26</v>
      </c>
      <c r="V62" s="90">
        <v>68</v>
      </c>
      <c r="W62" s="485">
        <v>30</v>
      </c>
      <c r="X62" s="486">
        <v>25</v>
      </c>
      <c r="Y62" s="120">
        <f t="shared" si="48"/>
        <v>49</v>
      </c>
      <c r="Z62" s="64">
        <v>24</v>
      </c>
      <c r="AA62" s="64">
        <v>30</v>
      </c>
      <c r="AB62" s="64"/>
      <c r="AC62" s="64">
        <v>31</v>
      </c>
      <c r="AD62" s="64">
        <v>100</v>
      </c>
      <c r="AE62" s="64">
        <v>87</v>
      </c>
      <c r="AF62" s="64">
        <v>94</v>
      </c>
      <c r="AG62" s="40">
        <v>650</v>
      </c>
      <c r="AH62">
        <v>584</v>
      </c>
      <c r="AI62">
        <v>613</v>
      </c>
      <c r="AJ62" s="16">
        <f>((AG62/37.5)/0.83)*(AD62/100)</f>
        <v>20.883534136546185</v>
      </c>
      <c r="AK62" s="11">
        <f t="shared" si="46"/>
        <v>16.323855421686748</v>
      </c>
      <c r="AL62" s="519">
        <f>((AI62/37.5)/0.83)*(AF62/100)</f>
        <v>18.513092369477913</v>
      </c>
    </row>
    <row r="63" spans="1:156" ht="15.75" thickBot="1" x14ac:dyDescent="0.3">
      <c r="A63" s="10">
        <v>44965</v>
      </c>
      <c r="B63" s="90">
        <v>100</v>
      </c>
      <c r="C63" s="485">
        <v>32</v>
      </c>
      <c r="D63" s="486">
        <v>26</v>
      </c>
      <c r="E63" s="120">
        <f t="shared" si="47"/>
        <v>66</v>
      </c>
      <c r="F63" s="40"/>
      <c r="G63" s="64"/>
      <c r="H63" s="64">
        <v>23</v>
      </c>
      <c r="I63" s="64">
        <v>30</v>
      </c>
      <c r="J63" s="64"/>
      <c r="K63" s="64">
        <v>33</v>
      </c>
      <c r="L63" s="90">
        <v>53</v>
      </c>
      <c r="M63" s="485">
        <v>17</v>
      </c>
      <c r="N63" s="486">
        <v>17</v>
      </c>
      <c r="O63" s="120">
        <f t="shared" si="44"/>
        <v>35</v>
      </c>
      <c r="R63" s="64">
        <v>15</v>
      </c>
      <c r="S63" s="64">
        <v>18</v>
      </c>
      <c r="T63" s="64"/>
      <c r="U63" s="64">
        <v>25</v>
      </c>
      <c r="V63" s="90">
        <v>90</v>
      </c>
      <c r="W63" s="485">
        <v>44</v>
      </c>
      <c r="X63" s="486">
        <v>36</v>
      </c>
      <c r="Y63" s="120">
        <f t="shared" si="48"/>
        <v>67</v>
      </c>
      <c r="Z63" s="64">
        <v>24</v>
      </c>
      <c r="AA63" s="64">
        <v>31</v>
      </c>
      <c r="AB63" s="64"/>
      <c r="AC63" s="64">
        <v>40</v>
      </c>
      <c r="AD63" s="64">
        <v>101</v>
      </c>
      <c r="AE63" s="64">
        <v>77</v>
      </c>
      <c r="AF63" s="64">
        <v>125</v>
      </c>
      <c r="AG63" s="40">
        <v>692</v>
      </c>
      <c r="AH63">
        <v>618</v>
      </c>
      <c r="AI63">
        <v>622</v>
      </c>
      <c r="AJ63" s="16">
        <f>((AG63/37.5)/0.83)*(AD63/100)</f>
        <v>22.455261044176705</v>
      </c>
      <c r="AK63" s="11">
        <f t="shared" si="46"/>
        <v>15.288674698795182</v>
      </c>
      <c r="AL63" s="519">
        <f>((AI63/37.5)/0.83)*(AF63/100)</f>
        <v>24.979919678714857</v>
      </c>
    </row>
    <row r="64" spans="1:156" ht="15.75" thickBot="1" x14ac:dyDescent="0.3">
      <c r="A64" s="10">
        <v>44992</v>
      </c>
      <c r="B64" s="90">
        <v>102</v>
      </c>
      <c r="C64" s="485">
        <v>32</v>
      </c>
      <c r="D64" s="486">
        <v>27</v>
      </c>
      <c r="E64" s="120">
        <f t="shared" si="47"/>
        <v>67</v>
      </c>
      <c r="F64" s="40"/>
      <c r="G64" s="64"/>
      <c r="H64" s="64">
        <v>26</v>
      </c>
      <c r="I64" s="64">
        <v>36</v>
      </c>
      <c r="J64" s="64"/>
      <c r="K64" s="64">
        <v>39</v>
      </c>
      <c r="L64" s="90">
        <v>67</v>
      </c>
      <c r="M64" s="485">
        <v>25</v>
      </c>
      <c r="N64" s="486">
        <v>22</v>
      </c>
      <c r="O64" s="120">
        <f t="shared" si="44"/>
        <v>46</v>
      </c>
      <c r="R64" s="64">
        <v>23</v>
      </c>
      <c r="S64" s="64">
        <v>26</v>
      </c>
      <c r="T64" s="64"/>
      <c r="U64" s="64">
        <v>31</v>
      </c>
      <c r="V64" s="90">
        <v>112</v>
      </c>
      <c r="W64" s="485">
        <v>44</v>
      </c>
      <c r="X64" s="486">
        <v>35</v>
      </c>
      <c r="Y64" s="120">
        <f t="shared" si="48"/>
        <v>78</v>
      </c>
      <c r="Z64" s="64">
        <v>29</v>
      </c>
      <c r="AA64" s="64">
        <v>36</v>
      </c>
      <c r="AB64" s="64"/>
      <c r="AC64" s="64">
        <v>46</v>
      </c>
      <c r="AD64" s="64">
        <v>107</v>
      </c>
      <c r="AE64" s="64">
        <v>97</v>
      </c>
      <c r="AF64" s="64">
        <v>117</v>
      </c>
      <c r="AG64" s="40">
        <v>683</v>
      </c>
      <c r="AH64">
        <v>581</v>
      </c>
      <c r="AI64">
        <v>746</v>
      </c>
      <c r="AJ64" s="16">
        <f t="shared" ref="AJ64:AL66" si="49">((AG64/37.5)/0.85)*(AD64/100)</f>
        <v>22.927372549019612</v>
      </c>
      <c r="AK64" s="11">
        <f t="shared" si="49"/>
        <v>17.680627450980396</v>
      </c>
      <c r="AL64" s="519">
        <f t="shared" si="49"/>
        <v>27.382588235294119</v>
      </c>
    </row>
    <row r="65" spans="1:38" ht="15.75" thickBot="1" x14ac:dyDescent="0.3">
      <c r="A65" s="10">
        <v>45020</v>
      </c>
      <c r="B65" s="90">
        <v>87</v>
      </c>
      <c r="C65" s="485">
        <v>37</v>
      </c>
      <c r="D65" s="486">
        <v>34</v>
      </c>
      <c r="E65" s="120">
        <f t="shared" si="47"/>
        <v>62</v>
      </c>
      <c r="F65" s="40"/>
      <c r="G65" s="64"/>
      <c r="H65" s="64">
        <v>40</v>
      </c>
      <c r="I65" s="64">
        <v>46</v>
      </c>
      <c r="J65" s="64"/>
      <c r="K65" s="64">
        <v>40</v>
      </c>
      <c r="L65" s="90">
        <v>88</v>
      </c>
      <c r="M65" s="485">
        <v>34</v>
      </c>
      <c r="N65" s="486">
        <v>28</v>
      </c>
      <c r="O65" s="120">
        <f t="shared" si="44"/>
        <v>61</v>
      </c>
      <c r="R65" s="64">
        <v>26</v>
      </c>
      <c r="S65" s="64">
        <v>33</v>
      </c>
      <c r="T65" s="64"/>
      <c r="U65" s="64">
        <v>38</v>
      </c>
      <c r="V65" s="90">
        <v>82</v>
      </c>
      <c r="W65" s="485">
        <v>42</v>
      </c>
      <c r="X65" s="486">
        <v>33</v>
      </c>
      <c r="Y65" s="120">
        <f t="shared" si="48"/>
        <v>62</v>
      </c>
      <c r="Z65" s="64">
        <v>19</v>
      </c>
      <c r="AA65" s="64">
        <v>27</v>
      </c>
      <c r="AB65" s="64"/>
      <c r="AC65" s="64">
        <v>42</v>
      </c>
      <c r="AD65" s="64">
        <v>100</v>
      </c>
      <c r="AE65" s="64">
        <v>94</v>
      </c>
      <c r="AF65" s="64">
        <v>107</v>
      </c>
      <c r="AG65" s="40">
        <v>741</v>
      </c>
      <c r="AH65">
        <v>785</v>
      </c>
      <c r="AI65">
        <v>764</v>
      </c>
      <c r="AJ65" s="16">
        <f t="shared" si="49"/>
        <v>23.247058823529414</v>
      </c>
      <c r="AK65" s="11">
        <f t="shared" si="49"/>
        <v>23.149803921568626</v>
      </c>
      <c r="AL65" s="519">
        <f t="shared" si="49"/>
        <v>25.646431372549024</v>
      </c>
    </row>
    <row r="66" spans="1:38" ht="15.75" thickBot="1" x14ac:dyDescent="0.3">
      <c r="A66" s="10">
        <v>45047</v>
      </c>
      <c r="B66" s="90">
        <v>90</v>
      </c>
      <c r="C66" s="485">
        <v>37</v>
      </c>
      <c r="D66" s="486">
        <v>31</v>
      </c>
      <c r="E66" s="120">
        <f t="shared" si="47"/>
        <v>63.5</v>
      </c>
      <c r="F66" s="40"/>
      <c r="G66" s="64"/>
      <c r="H66" s="64">
        <v>39</v>
      </c>
      <c r="I66" s="64">
        <v>46</v>
      </c>
      <c r="J66" s="64">
        <v>5</v>
      </c>
      <c r="K66" s="64">
        <v>43</v>
      </c>
      <c r="L66" s="90">
        <v>83</v>
      </c>
      <c r="M66" s="485">
        <v>42</v>
      </c>
      <c r="N66" s="486">
        <v>35</v>
      </c>
      <c r="O66" s="120">
        <f t="shared" si="44"/>
        <v>62.5</v>
      </c>
      <c r="R66" s="64">
        <v>32</v>
      </c>
      <c r="S66" s="64">
        <v>40</v>
      </c>
      <c r="T66" s="64">
        <v>21</v>
      </c>
      <c r="U66" s="64">
        <v>38</v>
      </c>
      <c r="V66" s="90">
        <v>92</v>
      </c>
      <c r="W66" s="485">
        <v>37</v>
      </c>
      <c r="X66" s="486">
        <v>30</v>
      </c>
      <c r="Y66" s="120">
        <f t="shared" si="48"/>
        <v>64.5</v>
      </c>
      <c r="Z66" s="64">
        <v>27</v>
      </c>
      <c r="AA66" s="64">
        <v>34</v>
      </c>
      <c r="AB66" s="64">
        <v>47</v>
      </c>
      <c r="AC66" s="64">
        <v>40</v>
      </c>
      <c r="AD66" s="64">
        <v>107</v>
      </c>
      <c r="AE66" s="64">
        <v>102</v>
      </c>
      <c r="AF66" s="64">
        <v>111</v>
      </c>
      <c r="AG66" s="40">
        <v>726</v>
      </c>
      <c r="AH66">
        <v>785</v>
      </c>
      <c r="AI66">
        <v>764</v>
      </c>
      <c r="AJ66" s="16">
        <f t="shared" si="49"/>
        <v>24.370823529411766</v>
      </c>
      <c r="AK66" s="11">
        <f t="shared" si="49"/>
        <v>25.12</v>
      </c>
      <c r="AL66" s="519">
        <f t="shared" si="49"/>
        <v>26.605176470588241</v>
      </c>
    </row>
  </sheetData>
  <mergeCells count="7">
    <mergeCell ref="ER2:EW2"/>
    <mergeCell ref="EX2:FC2"/>
    <mergeCell ref="AN2:AQ2"/>
    <mergeCell ref="AS2:AX2"/>
    <mergeCell ref="AD2:AF2"/>
    <mergeCell ref="AG2:AI2"/>
    <mergeCell ref="AJ2:AL2"/>
  </mergeCells>
  <phoneticPr fontId="11" type="noConversion"/>
  <conditionalFormatting sqref="BF5:BG25 BK5:BM25 BQ5:BS25 BW5:BY25 CC5:CE25 CI5:CK25 BA5:BD10 C5:D25 L5:M25 L27 BA11:BA49 CQ5:CQ49">
    <cfRule type="cellIs" dxfId="1023" priority="427" operator="lessThan">
      <formula>40</formula>
    </cfRule>
    <cfRule type="cellIs" dxfId="1022" priority="429" operator="greaterThan">
      <formula>80</formula>
    </cfRule>
  </conditionalFormatting>
  <conditionalFormatting sqref="BK5:BK14 BQ5:BQ14 BW5:BW14 CC5:CC14 CI5:CI14 DA5:DA14 DG5:DG14 C5:D25 AH38:AM39 V33:AG40 AN26:AN49 AD47:AD50 L27:N27 F5:AN24 F25:N25 P25:AN25 P27:AF27 V30:AG30 V31:AF32 AD52:AD53 V28:AF29 AG48:AG50 AG47:AM47 V41:AD46 AG41:AG46 AG52:AG54">
    <cfRule type="cellIs" dxfId="1021" priority="428" operator="greaterThan">
      <formula>80</formula>
    </cfRule>
  </conditionalFormatting>
  <conditionalFormatting sqref="CW25:CW49">
    <cfRule type="cellIs" dxfId="1020" priority="423" operator="lessThan">
      <formula>40</formula>
    </cfRule>
    <cfRule type="cellIs" dxfId="1019" priority="424" operator="greaterThan">
      <formula>80</formula>
    </cfRule>
  </conditionalFormatting>
  <conditionalFormatting sqref="DC25">
    <cfRule type="cellIs" dxfId="1018" priority="421" operator="lessThan">
      <formula>40</formula>
    </cfRule>
    <cfRule type="cellIs" dxfId="1017" priority="422" operator="greaterThan">
      <formula>80</formula>
    </cfRule>
  </conditionalFormatting>
  <conditionalFormatting sqref="DI25">
    <cfRule type="cellIs" dxfId="1016" priority="413" operator="lessThan">
      <formula>40</formula>
    </cfRule>
    <cfRule type="cellIs" dxfId="1015" priority="414" operator="greaterThan">
      <formula>80</formula>
    </cfRule>
  </conditionalFormatting>
  <conditionalFormatting sqref="AO5:AR48">
    <cfRule type="cellIs" dxfId="1014" priority="417" operator="lessThan">
      <formula>40</formula>
    </cfRule>
    <cfRule type="cellIs" dxfId="1013" priority="418" operator="greaterThan">
      <formula>80</formula>
    </cfRule>
  </conditionalFormatting>
  <conditionalFormatting sqref="DO25:DO48">
    <cfRule type="cellIs" dxfId="1012" priority="407" operator="lessThan">
      <formula>40</formula>
    </cfRule>
    <cfRule type="cellIs" dxfId="1011" priority="408" operator="greaterThan">
      <formula>80</formula>
    </cfRule>
  </conditionalFormatting>
  <conditionalFormatting sqref="DU25:DU48">
    <cfRule type="cellIs" dxfId="1010" priority="401" operator="lessThan">
      <formula>40</formula>
    </cfRule>
    <cfRule type="cellIs" dxfId="1009" priority="402" operator="greaterThan">
      <formula>80</formula>
    </cfRule>
  </conditionalFormatting>
  <conditionalFormatting sqref="EA25:EA49">
    <cfRule type="cellIs" dxfId="1008" priority="395" operator="lessThan">
      <formula>40</formula>
    </cfRule>
    <cfRule type="cellIs" dxfId="1007" priority="396" operator="greaterThan">
      <formula>80</formula>
    </cfRule>
  </conditionalFormatting>
  <conditionalFormatting sqref="EG25:EG49">
    <cfRule type="cellIs" dxfId="1006" priority="389" operator="lessThan">
      <formula>40</formula>
    </cfRule>
    <cfRule type="cellIs" dxfId="1005" priority="390" operator="greaterThan">
      <formula>80</formula>
    </cfRule>
  </conditionalFormatting>
  <conditionalFormatting sqref="AS5:AU49 AS50">
    <cfRule type="cellIs" dxfId="1004" priority="386" operator="greaterThan">
      <formula>80</formula>
    </cfRule>
  </conditionalFormatting>
  <conditionalFormatting sqref="AV5:AX15">
    <cfRule type="cellIs" dxfId="1003" priority="384" operator="lessThan">
      <formula>40</formula>
    </cfRule>
    <cfRule type="cellIs" dxfId="1002" priority="385" operator="greaterThan">
      <formula>80</formula>
    </cfRule>
  </conditionalFormatting>
  <conditionalFormatting sqref="B5">
    <cfRule type="cellIs" dxfId="1001" priority="383" operator="greaterThan">
      <formula>80</formula>
    </cfRule>
  </conditionalFormatting>
  <conditionalFormatting sqref="B6:B11">
    <cfRule type="cellIs" dxfId="1000" priority="382" operator="greaterThan">
      <formula>80</formula>
    </cfRule>
  </conditionalFormatting>
  <conditionalFormatting sqref="B12">
    <cfRule type="cellIs" dxfId="999" priority="381" operator="greaterThan">
      <formula>80</formula>
    </cfRule>
  </conditionalFormatting>
  <conditionalFormatting sqref="BK5:BK25 BQ5:BQ25 BW5:BW25 CC5:CC25 CI5:CI25 DA5:DA25 DG5:DG25 B5:D12 M27:N27 C13:D25 F5:J25 P27:AC27">
    <cfRule type="cellIs" dxfId="998" priority="380" operator="lessThan">
      <formula>35</formula>
    </cfRule>
  </conditionalFormatting>
  <conditionalFormatting sqref="BE5">
    <cfRule type="cellIs" dxfId="997" priority="366" operator="greaterThan">
      <formula>80</formula>
    </cfRule>
  </conditionalFormatting>
  <conditionalFormatting sqref="BE6:BE11 BE13:BE14">
    <cfRule type="cellIs" dxfId="996" priority="365" operator="greaterThan">
      <formula>80</formula>
    </cfRule>
  </conditionalFormatting>
  <conditionalFormatting sqref="BE12">
    <cfRule type="cellIs" dxfId="995" priority="364" operator="greaterThan">
      <formula>80</formula>
    </cfRule>
  </conditionalFormatting>
  <conditionalFormatting sqref="BE5:BE25">
    <cfRule type="cellIs" dxfId="994" priority="363" operator="lessThan">
      <formula>35</formula>
    </cfRule>
  </conditionalFormatting>
  <conditionalFormatting sqref="AD5:AD14">
    <cfRule type="cellIs" dxfId="993" priority="360" operator="greaterThan">
      <formula>80</formula>
    </cfRule>
  </conditionalFormatting>
  <conditionalFormatting sqref="EM24:EM50">
    <cfRule type="cellIs" dxfId="992" priority="358" operator="lessThan">
      <formula>40</formula>
    </cfRule>
    <cfRule type="cellIs" dxfId="991" priority="359" operator="greaterThan">
      <formula>80</formula>
    </cfRule>
  </conditionalFormatting>
  <conditionalFormatting sqref="AD5:AD25 AG30 AH38:AM39 AH47:AM47 AD27:AD50 AG33:AG50 AD52:AD53 AG52:AG54">
    <cfRule type="cellIs" dxfId="990" priority="357" operator="lessThan">
      <formula>35</formula>
    </cfRule>
  </conditionalFormatting>
  <conditionalFormatting sqref="AV16:AX48">
    <cfRule type="cellIs" dxfId="989" priority="353" operator="lessThan">
      <formula>40</formula>
    </cfRule>
    <cfRule type="cellIs" dxfId="988" priority="354" operator="greaterThan">
      <formula>80</formula>
    </cfRule>
  </conditionalFormatting>
  <conditionalFormatting sqref="BB11:BD48">
    <cfRule type="cellIs" dxfId="987" priority="351" operator="lessThan">
      <formula>40</formula>
    </cfRule>
    <cfRule type="cellIs" dxfId="986" priority="352" operator="greaterThan">
      <formula>80</formula>
    </cfRule>
  </conditionalFormatting>
  <conditionalFormatting sqref="BH16:BJ25">
    <cfRule type="cellIs" dxfId="985" priority="349" operator="lessThan">
      <formula>40</formula>
    </cfRule>
    <cfRule type="cellIs" dxfId="984" priority="350" operator="greaterThan">
      <formula>80</formula>
    </cfRule>
  </conditionalFormatting>
  <conditionalFormatting sqref="BN16:BP25">
    <cfRule type="cellIs" dxfId="983" priority="347" operator="lessThan">
      <formula>40</formula>
    </cfRule>
    <cfRule type="cellIs" dxfId="982" priority="348" operator="greaterThan">
      <formula>80</formula>
    </cfRule>
  </conditionalFormatting>
  <conditionalFormatting sqref="BT16:BV25">
    <cfRule type="cellIs" dxfId="981" priority="345" operator="lessThan">
      <formula>40</formula>
    </cfRule>
    <cfRule type="cellIs" dxfId="980" priority="346" operator="greaterThan">
      <formula>80</formula>
    </cfRule>
  </conditionalFormatting>
  <conditionalFormatting sqref="BZ16:CB25">
    <cfRule type="cellIs" dxfId="979" priority="343" operator="lessThan">
      <formula>40</formula>
    </cfRule>
    <cfRule type="cellIs" dxfId="978" priority="344" operator="greaterThan">
      <formula>80</formula>
    </cfRule>
  </conditionalFormatting>
  <conditionalFormatting sqref="CF16:CH25">
    <cfRule type="cellIs" dxfId="977" priority="341" operator="lessThan">
      <formula>40</formula>
    </cfRule>
    <cfRule type="cellIs" dxfId="976" priority="342" operator="greaterThan">
      <formula>80</formula>
    </cfRule>
  </conditionalFormatting>
  <conditionalFormatting sqref="CL16:CN25">
    <cfRule type="cellIs" dxfId="975" priority="339" operator="lessThan">
      <formula>40</formula>
    </cfRule>
    <cfRule type="cellIs" dxfId="974" priority="340" operator="greaterThan">
      <formula>80</formula>
    </cfRule>
  </conditionalFormatting>
  <conditionalFormatting sqref="CR11:CT48">
    <cfRule type="cellIs" dxfId="973" priority="337" operator="lessThan">
      <formula>40</formula>
    </cfRule>
    <cfRule type="cellIs" dxfId="972" priority="338" operator="greaterThan">
      <formula>80</formula>
    </cfRule>
  </conditionalFormatting>
  <conditionalFormatting sqref="CX11:CZ48">
    <cfRule type="cellIs" dxfId="971" priority="335" operator="lessThan">
      <formula>40</formula>
    </cfRule>
    <cfRule type="cellIs" dxfId="970" priority="336" operator="greaterThan">
      <formula>80</formula>
    </cfRule>
  </conditionalFormatting>
  <conditionalFormatting sqref="DD16:DF25">
    <cfRule type="cellIs" dxfId="969" priority="333" operator="lessThan">
      <formula>40</formula>
    </cfRule>
    <cfRule type="cellIs" dxfId="968" priority="334" operator="greaterThan">
      <formula>80</formula>
    </cfRule>
  </conditionalFormatting>
  <conditionalFormatting sqref="DJ16:DL25">
    <cfRule type="cellIs" dxfId="967" priority="331" operator="lessThan">
      <formula>40</formula>
    </cfRule>
    <cfRule type="cellIs" dxfId="966" priority="332" operator="greaterThan">
      <formula>80</formula>
    </cfRule>
  </conditionalFormatting>
  <conditionalFormatting sqref="DP16:DR48">
    <cfRule type="cellIs" dxfId="965" priority="329" operator="lessThan">
      <formula>40</formula>
    </cfRule>
    <cfRule type="cellIs" dxfId="964" priority="330" operator="greaterThan">
      <formula>80</formula>
    </cfRule>
  </conditionalFormatting>
  <conditionalFormatting sqref="DV16:DX48">
    <cfRule type="cellIs" dxfId="963" priority="327" operator="lessThan">
      <formula>40</formula>
    </cfRule>
    <cfRule type="cellIs" dxfId="962" priority="328" operator="greaterThan">
      <formula>80</formula>
    </cfRule>
  </conditionalFormatting>
  <conditionalFormatting sqref="EB11:ED48">
    <cfRule type="cellIs" dxfId="961" priority="325" operator="lessThan">
      <formula>40</formula>
    </cfRule>
    <cfRule type="cellIs" dxfId="960" priority="326" operator="greaterThan">
      <formula>80</formula>
    </cfRule>
  </conditionalFormatting>
  <conditionalFormatting sqref="EH11:EJ48">
    <cfRule type="cellIs" dxfId="959" priority="323" operator="lessThan">
      <formula>40</formula>
    </cfRule>
    <cfRule type="cellIs" dxfId="958" priority="324" operator="greaterThan">
      <formula>80</formula>
    </cfRule>
  </conditionalFormatting>
  <conditionalFormatting sqref="EN11:EP48">
    <cfRule type="cellIs" dxfId="957" priority="321" operator="lessThan">
      <formula>40</formula>
    </cfRule>
    <cfRule type="cellIs" dxfId="956" priority="322" operator="greaterThan">
      <formula>80</formula>
    </cfRule>
  </conditionalFormatting>
  <conditionalFormatting sqref="BH5:BJ15">
    <cfRule type="cellIs" dxfId="955" priority="319" operator="lessThan">
      <formula>40</formula>
    </cfRule>
    <cfRule type="cellIs" dxfId="954" priority="320" operator="greaterThan">
      <formula>80</formula>
    </cfRule>
  </conditionalFormatting>
  <conditionalFormatting sqref="BN5:BP15">
    <cfRule type="cellIs" dxfId="953" priority="317" operator="lessThan">
      <formula>40</formula>
    </cfRule>
    <cfRule type="cellIs" dxfId="952" priority="318" operator="greaterThan">
      <formula>80</formula>
    </cfRule>
  </conditionalFormatting>
  <conditionalFormatting sqref="BT5:BV15">
    <cfRule type="cellIs" dxfId="951" priority="315" operator="lessThan">
      <formula>40</formula>
    </cfRule>
    <cfRule type="cellIs" dxfId="950" priority="316" operator="greaterThan">
      <formula>80</formula>
    </cfRule>
  </conditionalFormatting>
  <conditionalFormatting sqref="BZ5:CB15">
    <cfRule type="cellIs" dxfId="949" priority="313" operator="lessThan">
      <formula>40</formula>
    </cfRule>
    <cfRule type="cellIs" dxfId="948" priority="314" operator="greaterThan">
      <formula>80</formula>
    </cfRule>
  </conditionalFormatting>
  <conditionalFormatting sqref="CF5:CH15">
    <cfRule type="cellIs" dxfId="947" priority="311" operator="lessThan">
      <formula>40</formula>
    </cfRule>
    <cfRule type="cellIs" dxfId="946" priority="312" operator="greaterThan">
      <formula>80</formula>
    </cfRule>
  </conditionalFormatting>
  <conditionalFormatting sqref="CL5:CN15">
    <cfRule type="cellIs" dxfId="945" priority="309" operator="lessThan">
      <formula>40</formula>
    </cfRule>
    <cfRule type="cellIs" dxfId="944" priority="310" operator="greaterThan">
      <formula>80</formula>
    </cfRule>
  </conditionalFormatting>
  <conditionalFormatting sqref="CR5:CT10">
    <cfRule type="cellIs" dxfId="943" priority="307" operator="lessThan">
      <formula>40</formula>
    </cfRule>
    <cfRule type="cellIs" dxfId="942" priority="308" operator="greaterThan">
      <formula>80</formula>
    </cfRule>
  </conditionalFormatting>
  <conditionalFormatting sqref="CX5:CZ10">
    <cfRule type="cellIs" dxfId="941" priority="305" operator="lessThan">
      <formula>40</formula>
    </cfRule>
    <cfRule type="cellIs" dxfId="940" priority="306" operator="greaterThan">
      <formula>80</formula>
    </cfRule>
  </conditionalFormatting>
  <conditionalFormatting sqref="DD5:DF15">
    <cfRule type="cellIs" dxfId="939" priority="303" operator="lessThan">
      <formula>40</formula>
    </cfRule>
    <cfRule type="cellIs" dxfId="938" priority="304" operator="greaterThan">
      <formula>80</formula>
    </cfRule>
  </conditionalFormatting>
  <conditionalFormatting sqref="DJ5:DL15">
    <cfRule type="cellIs" dxfId="937" priority="301" operator="lessThan">
      <formula>40</formula>
    </cfRule>
    <cfRule type="cellIs" dxfId="936" priority="302" operator="greaterThan">
      <formula>80</formula>
    </cfRule>
  </conditionalFormatting>
  <conditionalFormatting sqref="DP5:DR15">
    <cfRule type="cellIs" dxfId="935" priority="299" operator="lessThan">
      <formula>40</formula>
    </cfRule>
    <cfRule type="cellIs" dxfId="934" priority="300" operator="greaterThan">
      <formula>80</formula>
    </cfRule>
  </conditionalFormatting>
  <conditionalFormatting sqref="DV5:DX15">
    <cfRule type="cellIs" dxfId="933" priority="297" operator="lessThan">
      <formula>40</formula>
    </cfRule>
    <cfRule type="cellIs" dxfId="932" priority="298" operator="greaterThan">
      <formula>80</formula>
    </cfRule>
  </conditionalFormatting>
  <conditionalFormatting sqref="EB5:ED10">
    <cfRule type="cellIs" dxfId="931" priority="295" operator="lessThan">
      <formula>40</formula>
    </cfRule>
    <cfRule type="cellIs" dxfId="930" priority="296" operator="greaterThan">
      <formula>80</formula>
    </cfRule>
  </conditionalFormatting>
  <conditionalFormatting sqref="EH5:EJ10">
    <cfRule type="cellIs" dxfId="929" priority="293" operator="lessThan">
      <formula>40</formula>
    </cfRule>
    <cfRule type="cellIs" dxfId="928" priority="294" operator="greaterThan">
      <formula>80</formula>
    </cfRule>
  </conditionalFormatting>
  <conditionalFormatting sqref="EN5:EQ5 EN6:EP10 EQ6:EQ48">
    <cfRule type="cellIs" dxfId="927" priority="291" operator="lessThan">
      <formula>40</formula>
    </cfRule>
    <cfRule type="cellIs" dxfId="926" priority="292" operator="greaterThan">
      <formula>80</formula>
    </cfRule>
  </conditionalFormatting>
  <conditionalFormatting sqref="ET26:ET50">
    <cfRule type="cellIs" dxfId="925" priority="289" operator="lessThan">
      <formula>40</formula>
    </cfRule>
    <cfRule type="cellIs" dxfId="924" priority="290" operator="greaterThan">
      <formula>80</formula>
    </cfRule>
  </conditionalFormatting>
  <conditionalFormatting sqref="EU26:EW48">
    <cfRule type="cellIs" dxfId="923" priority="287" operator="lessThan">
      <formula>40</formula>
    </cfRule>
    <cfRule type="cellIs" dxfId="922" priority="288" operator="greaterThan">
      <formula>80</formula>
    </cfRule>
  </conditionalFormatting>
  <conditionalFormatting sqref="B13:B25">
    <cfRule type="cellIs" dxfId="921" priority="286" operator="greaterThan">
      <formula>80</formula>
    </cfRule>
  </conditionalFormatting>
  <conditionalFormatting sqref="B13:B25">
    <cfRule type="cellIs" dxfId="920" priority="285" operator="lessThan">
      <formula>35</formula>
    </cfRule>
  </conditionalFormatting>
  <conditionalFormatting sqref="V48:AC49">
    <cfRule type="cellIs" dxfId="919" priority="274" operator="greaterThan">
      <formula>80</formula>
    </cfRule>
  </conditionalFormatting>
  <conditionalFormatting sqref="V47:AC47">
    <cfRule type="cellIs" dxfId="918" priority="270" operator="greaterThan">
      <formula>80</formula>
    </cfRule>
  </conditionalFormatting>
  <conditionalFormatting sqref="R54:U54">
    <cfRule type="cellIs" dxfId="917" priority="250" operator="greaterThan">
      <formula>80</formula>
    </cfRule>
  </conditionalFormatting>
  <conditionalFormatting sqref="R54:U54">
    <cfRule type="cellIs" dxfId="916" priority="248" operator="lessThan">
      <formula>35</formula>
    </cfRule>
  </conditionalFormatting>
  <conditionalFormatting sqref="S54:U54">
    <cfRule type="cellIs" dxfId="915" priority="244" operator="lessThan">
      <formula>40</formula>
    </cfRule>
    <cfRule type="cellIs" dxfId="914" priority="245" operator="greaterThan">
      <formula>80</formula>
    </cfRule>
  </conditionalFormatting>
  <conditionalFormatting sqref="L28:U53">
    <cfRule type="cellIs" dxfId="913" priority="241" operator="lessThan">
      <formula>40</formula>
    </cfRule>
    <cfRule type="cellIs" dxfId="912" priority="243" operator="greaterThan">
      <formula>80</formula>
    </cfRule>
  </conditionalFormatting>
  <conditionalFormatting sqref="L28:U53">
    <cfRule type="cellIs" dxfId="911" priority="242" operator="greaterThan">
      <formula>80</formula>
    </cfRule>
  </conditionalFormatting>
  <conditionalFormatting sqref="L28:U53">
    <cfRule type="cellIs" dxfId="910" priority="240" operator="lessThan">
      <formula>35</formula>
    </cfRule>
  </conditionalFormatting>
  <conditionalFormatting sqref="B26:K54">
    <cfRule type="cellIs" dxfId="909" priority="237" operator="lessThan">
      <formula>40</formula>
    </cfRule>
    <cfRule type="cellIs" dxfId="908" priority="239" operator="greaterThan">
      <formula>80</formula>
    </cfRule>
  </conditionalFormatting>
  <conditionalFormatting sqref="B26:K54">
    <cfRule type="cellIs" dxfId="907" priority="238" operator="greaterThan">
      <formula>80</formula>
    </cfRule>
  </conditionalFormatting>
  <conditionalFormatting sqref="B26:K54">
    <cfRule type="cellIs" dxfId="906" priority="236" operator="lessThan">
      <formula>35</formula>
    </cfRule>
  </conditionalFormatting>
  <conditionalFormatting sqref="V52:AC53 Z54:AD54">
    <cfRule type="cellIs" dxfId="905" priority="233" operator="lessThan">
      <formula>40</formula>
    </cfRule>
    <cfRule type="cellIs" dxfId="904" priority="235" operator="greaterThan">
      <formula>80</formula>
    </cfRule>
  </conditionalFormatting>
  <conditionalFormatting sqref="V52:AC53 Z54:AD54">
    <cfRule type="cellIs" dxfId="903" priority="234" operator="greaterThan">
      <formula>80</formula>
    </cfRule>
  </conditionalFormatting>
  <conditionalFormatting sqref="V52:AC53 Z54:AD54">
    <cfRule type="cellIs" dxfId="902" priority="232" operator="lessThan">
      <formula>35</formula>
    </cfRule>
  </conditionalFormatting>
  <conditionalFormatting sqref="AE41:AF54">
    <cfRule type="cellIs" dxfId="901" priority="229" operator="lessThan">
      <formula>40</formula>
    </cfRule>
    <cfRule type="cellIs" dxfId="900" priority="231" operator="greaterThan">
      <formula>80</formula>
    </cfRule>
  </conditionalFormatting>
  <conditionalFormatting sqref="AE41:AF54">
    <cfRule type="cellIs" dxfId="899" priority="230" operator="greaterThan">
      <formula>80</formula>
    </cfRule>
  </conditionalFormatting>
  <conditionalFormatting sqref="AE41:AF54">
    <cfRule type="cellIs" dxfId="898" priority="228" operator="lessThan">
      <formula>35</formula>
    </cfRule>
  </conditionalFormatting>
  <conditionalFormatting sqref="L54:O54">
    <cfRule type="cellIs" dxfId="897" priority="225" operator="lessThan">
      <formula>40</formula>
    </cfRule>
    <cfRule type="cellIs" dxfId="896" priority="227" operator="greaterThan">
      <formula>80</formula>
    </cfRule>
  </conditionalFormatting>
  <conditionalFormatting sqref="L54:O54">
    <cfRule type="cellIs" dxfId="895" priority="226" operator="greaterThan">
      <formula>80</formula>
    </cfRule>
  </conditionalFormatting>
  <conditionalFormatting sqref="L54:O54">
    <cfRule type="cellIs" dxfId="894" priority="224" operator="lessThan">
      <formula>35</formula>
    </cfRule>
  </conditionalFormatting>
  <conditionalFormatting sqref="V54:Y54">
    <cfRule type="cellIs" dxfId="893" priority="221" operator="lessThan">
      <formula>40</formula>
    </cfRule>
    <cfRule type="cellIs" dxfId="892" priority="223" operator="greaterThan">
      <formula>80</formula>
    </cfRule>
  </conditionalFormatting>
  <conditionalFormatting sqref="V54:Y54">
    <cfRule type="cellIs" dxfId="891" priority="222" operator="greaterThan">
      <formula>80</formula>
    </cfRule>
  </conditionalFormatting>
  <conditionalFormatting sqref="V54:Y54">
    <cfRule type="cellIs" dxfId="890" priority="220" operator="lessThan">
      <formula>35</formula>
    </cfRule>
  </conditionalFormatting>
  <conditionalFormatting sqref="AG55:AG56">
    <cfRule type="cellIs" dxfId="889" priority="219" operator="greaterThan">
      <formula>80</formula>
    </cfRule>
  </conditionalFormatting>
  <conditionalFormatting sqref="AG55:AG56">
    <cfRule type="cellIs" dxfId="888" priority="218" operator="lessThan">
      <formula>35</formula>
    </cfRule>
  </conditionalFormatting>
  <conditionalFormatting sqref="R55:U56">
    <cfRule type="cellIs" dxfId="887" priority="217" operator="greaterThan">
      <formula>80</formula>
    </cfRule>
  </conditionalFormatting>
  <conditionalFormatting sqref="R55:U56">
    <cfRule type="cellIs" dxfId="886" priority="216" operator="lessThan">
      <formula>35</formula>
    </cfRule>
  </conditionalFormatting>
  <conditionalFormatting sqref="S55:U56">
    <cfRule type="cellIs" dxfId="885" priority="214" operator="lessThan">
      <formula>40</formula>
    </cfRule>
    <cfRule type="cellIs" dxfId="884" priority="215" operator="greaterThan">
      <formula>80</formula>
    </cfRule>
  </conditionalFormatting>
  <conditionalFormatting sqref="B55:K56">
    <cfRule type="cellIs" dxfId="883" priority="211" operator="lessThan">
      <formula>40</formula>
    </cfRule>
    <cfRule type="cellIs" dxfId="882" priority="213" operator="greaterThan">
      <formula>80</formula>
    </cfRule>
  </conditionalFormatting>
  <conditionalFormatting sqref="B55:K56">
    <cfRule type="cellIs" dxfId="881" priority="212" operator="greaterThan">
      <formula>80</formula>
    </cfRule>
  </conditionalFormatting>
  <conditionalFormatting sqref="B55:K56">
    <cfRule type="cellIs" dxfId="880" priority="210" operator="lessThan">
      <formula>35</formula>
    </cfRule>
  </conditionalFormatting>
  <conditionalFormatting sqref="Z55:AD56">
    <cfRule type="cellIs" dxfId="879" priority="207" operator="lessThan">
      <formula>40</formula>
    </cfRule>
    <cfRule type="cellIs" dxfId="878" priority="209" operator="greaterThan">
      <formula>80</formula>
    </cfRule>
  </conditionalFormatting>
  <conditionalFormatting sqref="Z55:AD56">
    <cfRule type="cellIs" dxfId="877" priority="208" operator="greaterThan">
      <formula>80</formula>
    </cfRule>
  </conditionalFormatting>
  <conditionalFormatting sqref="Z55:AD56">
    <cfRule type="cellIs" dxfId="876" priority="206" operator="lessThan">
      <formula>35</formula>
    </cfRule>
  </conditionalFormatting>
  <conditionalFormatting sqref="AE55:AF56">
    <cfRule type="cellIs" dxfId="875" priority="203" operator="lessThan">
      <formula>40</formula>
    </cfRule>
    <cfRule type="cellIs" dxfId="874" priority="205" operator="greaterThan">
      <formula>80</formula>
    </cfRule>
  </conditionalFormatting>
  <conditionalFormatting sqref="AE55:AF56">
    <cfRule type="cellIs" dxfId="873" priority="204" operator="greaterThan">
      <formula>80</formula>
    </cfRule>
  </conditionalFormatting>
  <conditionalFormatting sqref="AE55:AF56">
    <cfRule type="cellIs" dxfId="872" priority="202" operator="lessThan">
      <formula>35</formula>
    </cfRule>
  </conditionalFormatting>
  <conditionalFormatting sqref="L55:O56">
    <cfRule type="cellIs" dxfId="871" priority="199" operator="lessThan">
      <formula>40</formula>
    </cfRule>
    <cfRule type="cellIs" dxfId="870" priority="201" operator="greaterThan">
      <formula>80</formula>
    </cfRule>
  </conditionalFormatting>
  <conditionalFormatting sqref="L55:O56">
    <cfRule type="cellIs" dxfId="869" priority="200" operator="greaterThan">
      <formula>80</formula>
    </cfRule>
  </conditionalFormatting>
  <conditionalFormatting sqref="L55:O56">
    <cfRule type="cellIs" dxfId="868" priority="198" operator="lessThan">
      <formula>35</formula>
    </cfRule>
  </conditionalFormatting>
  <conditionalFormatting sqref="V55:Y56 Y57">
    <cfRule type="cellIs" dxfId="867" priority="195" operator="lessThan">
      <formula>40</formula>
    </cfRule>
    <cfRule type="cellIs" dxfId="866" priority="197" operator="greaterThan">
      <formula>80</formula>
    </cfRule>
  </conditionalFormatting>
  <conditionalFormatting sqref="V55:Y56 Y57">
    <cfRule type="cellIs" dxfId="865" priority="196" operator="greaterThan">
      <formula>80</formula>
    </cfRule>
  </conditionalFormatting>
  <conditionalFormatting sqref="V55:Y56 Y57">
    <cfRule type="cellIs" dxfId="864" priority="194" operator="lessThan">
      <formula>35</formula>
    </cfRule>
  </conditionalFormatting>
  <conditionalFormatting sqref="AG57">
    <cfRule type="cellIs" dxfId="863" priority="193" operator="greaterThan">
      <formula>80</formula>
    </cfRule>
  </conditionalFormatting>
  <conditionalFormatting sqref="AG57">
    <cfRule type="cellIs" dxfId="862" priority="192" operator="lessThan">
      <formula>35</formula>
    </cfRule>
  </conditionalFormatting>
  <conditionalFormatting sqref="R57:U57">
    <cfRule type="cellIs" dxfId="861" priority="191" operator="greaterThan">
      <formula>80</formula>
    </cfRule>
  </conditionalFormatting>
  <conditionalFormatting sqref="R57:U57">
    <cfRule type="cellIs" dxfId="860" priority="190" operator="lessThan">
      <formula>35</formula>
    </cfRule>
  </conditionalFormatting>
  <conditionalFormatting sqref="S57:U57">
    <cfRule type="cellIs" dxfId="859" priority="188" operator="lessThan">
      <formula>40</formula>
    </cfRule>
    <cfRule type="cellIs" dxfId="858" priority="189" operator="greaterThan">
      <formula>80</formula>
    </cfRule>
  </conditionalFormatting>
  <conditionalFormatting sqref="B57:K57">
    <cfRule type="cellIs" dxfId="857" priority="185" operator="lessThan">
      <formula>40</formula>
    </cfRule>
    <cfRule type="cellIs" dxfId="856" priority="187" operator="greaterThan">
      <formula>80</formula>
    </cfRule>
  </conditionalFormatting>
  <conditionalFormatting sqref="B57:K57">
    <cfRule type="cellIs" dxfId="855" priority="186" operator="greaterThan">
      <formula>80</formula>
    </cfRule>
  </conditionalFormatting>
  <conditionalFormatting sqref="B57:K57">
    <cfRule type="cellIs" dxfId="854" priority="184" operator="lessThan">
      <formula>35</formula>
    </cfRule>
  </conditionalFormatting>
  <conditionalFormatting sqref="Z57:AD57">
    <cfRule type="cellIs" dxfId="853" priority="181" operator="lessThan">
      <formula>40</formula>
    </cfRule>
    <cfRule type="cellIs" dxfId="852" priority="183" operator="greaterThan">
      <formula>80</formula>
    </cfRule>
  </conditionalFormatting>
  <conditionalFormatting sqref="Z57:AD57">
    <cfRule type="cellIs" dxfId="851" priority="182" operator="greaterThan">
      <formula>80</formula>
    </cfRule>
  </conditionalFormatting>
  <conditionalFormatting sqref="Z57:AD57">
    <cfRule type="cellIs" dxfId="850" priority="180" operator="lessThan">
      <formula>35</formula>
    </cfRule>
  </conditionalFormatting>
  <conditionalFormatting sqref="AE57:AF57">
    <cfRule type="cellIs" dxfId="849" priority="177" operator="lessThan">
      <formula>40</formula>
    </cfRule>
    <cfRule type="cellIs" dxfId="848" priority="179" operator="greaterThan">
      <formula>80</formula>
    </cfRule>
  </conditionalFormatting>
  <conditionalFormatting sqref="AE57:AF57">
    <cfRule type="cellIs" dxfId="847" priority="178" operator="greaterThan">
      <formula>80</formula>
    </cfRule>
  </conditionalFormatting>
  <conditionalFormatting sqref="AE57:AF57">
    <cfRule type="cellIs" dxfId="846" priority="176" operator="lessThan">
      <formula>35</formula>
    </cfRule>
  </conditionalFormatting>
  <conditionalFormatting sqref="L57:O57">
    <cfRule type="cellIs" dxfId="845" priority="173" operator="lessThan">
      <formula>40</formula>
    </cfRule>
    <cfRule type="cellIs" dxfId="844" priority="175" operator="greaterThan">
      <formula>80</formula>
    </cfRule>
  </conditionalFormatting>
  <conditionalFormatting sqref="L57:O57">
    <cfRule type="cellIs" dxfId="843" priority="174" operator="greaterThan">
      <formula>80</formula>
    </cfRule>
  </conditionalFormatting>
  <conditionalFormatting sqref="L57:O57">
    <cfRule type="cellIs" dxfId="842" priority="172" operator="lessThan">
      <formula>35</formula>
    </cfRule>
  </conditionalFormatting>
  <conditionalFormatting sqref="V57:X57">
    <cfRule type="cellIs" dxfId="841" priority="169" operator="lessThan">
      <formula>40</formula>
    </cfRule>
    <cfRule type="cellIs" dxfId="840" priority="171" operator="greaterThan">
      <formula>80</formula>
    </cfRule>
  </conditionalFormatting>
  <conditionalFormatting sqref="V57:X57">
    <cfRule type="cellIs" dxfId="839" priority="170" operator="greaterThan">
      <formula>80</formula>
    </cfRule>
  </conditionalFormatting>
  <conditionalFormatting sqref="V57:X57">
    <cfRule type="cellIs" dxfId="838" priority="168" operator="lessThan">
      <formula>35</formula>
    </cfRule>
  </conditionalFormatting>
  <conditionalFormatting sqref="Y58:Y66">
    <cfRule type="cellIs" dxfId="837" priority="165" operator="lessThan">
      <formula>40</formula>
    </cfRule>
    <cfRule type="cellIs" dxfId="836" priority="167" operator="greaterThan">
      <formula>80</formula>
    </cfRule>
  </conditionalFormatting>
  <conditionalFormatting sqref="Y58:Y66">
    <cfRule type="cellIs" dxfId="835" priority="166" operator="greaterThan">
      <formula>80</formula>
    </cfRule>
  </conditionalFormatting>
  <conditionalFormatting sqref="Y58:Y66">
    <cfRule type="cellIs" dxfId="834" priority="164" operator="lessThan">
      <formula>35</formula>
    </cfRule>
  </conditionalFormatting>
  <conditionalFormatting sqref="AG58:AG66">
    <cfRule type="cellIs" dxfId="833" priority="163" operator="greaterThan">
      <formula>80</formula>
    </cfRule>
  </conditionalFormatting>
  <conditionalFormatting sqref="AG58:AG66">
    <cfRule type="cellIs" dxfId="832" priority="162" operator="lessThan">
      <formula>35</formula>
    </cfRule>
  </conditionalFormatting>
  <conditionalFormatting sqref="R58:U58">
    <cfRule type="cellIs" dxfId="831" priority="161" operator="greaterThan">
      <formula>80</formula>
    </cfRule>
  </conditionalFormatting>
  <conditionalFormatting sqref="R58:U58">
    <cfRule type="cellIs" dxfId="830" priority="160" operator="lessThan">
      <formula>35</formula>
    </cfRule>
  </conditionalFormatting>
  <conditionalFormatting sqref="S58:U58">
    <cfRule type="cellIs" dxfId="829" priority="158" operator="lessThan">
      <formula>40</formula>
    </cfRule>
    <cfRule type="cellIs" dxfId="828" priority="159" operator="greaterThan">
      <formula>80</formula>
    </cfRule>
  </conditionalFormatting>
  <conditionalFormatting sqref="B58:K66">
    <cfRule type="cellIs" dxfId="827" priority="155" operator="lessThan">
      <formula>40</formula>
    </cfRule>
    <cfRule type="cellIs" dxfId="826" priority="157" operator="greaterThan">
      <formula>80</formula>
    </cfRule>
  </conditionalFormatting>
  <conditionalFormatting sqref="B58:K66">
    <cfRule type="cellIs" dxfId="825" priority="156" operator="greaterThan">
      <formula>80</formula>
    </cfRule>
  </conditionalFormatting>
  <conditionalFormatting sqref="B58:K66">
    <cfRule type="cellIs" dxfId="824" priority="154" operator="lessThan">
      <formula>35</formula>
    </cfRule>
  </conditionalFormatting>
  <conditionalFormatting sqref="Z58:AD58">
    <cfRule type="cellIs" dxfId="823" priority="151" operator="lessThan">
      <formula>40</formula>
    </cfRule>
    <cfRule type="cellIs" dxfId="822" priority="153" operator="greaterThan">
      <formula>80</formula>
    </cfRule>
  </conditionalFormatting>
  <conditionalFormatting sqref="Z58:AD58">
    <cfRule type="cellIs" dxfId="821" priority="152" operator="greaterThan">
      <formula>80</formula>
    </cfRule>
  </conditionalFormatting>
  <conditionalFormatting sqref="Z58:AD58">
    <cfRule type="cellIs" dxfId="820" priority="150" operator="lessThan">
      <formula>35</formula>
    </cfRule>
  </conditionalFormatting>
  <conditionalFormatting sqref="AE58:AF58">
    <cfRule type="cellIs" dxfId="819" priority="147" operator="lessThan">
      <formula>40</formula>
    </cfRule>
    <cfRule type="cellIs" dxfId="818" priority="149" operator="greaterThan">
      <formula>80</formula>
    </cfRule>
  </conditionalFormatting>
  <conditionalFormatting sqref="AE58:AF58">
    <cfRule type="cellIs" dxfId="817" priority="148" operator="greaterThan">
      <formula>80</formula>
    </cfRule>
  </conditionalFormatting>
  <conditionalFormatting sqref="AE58:AF58">
    <cfRule type="cellIs" dxfId="816" priority="146" operator="lessThan">
      <formula>35</formula>
    </cfRule>
  </conditionalFormatting>
  <conditionalFormatting sqref="L58:O66">
    <cfRule type="cellIs" dxfId="815" priority="143" operator="lessThan">
      <formula>40</formula>
    </cfRule>
    <cfRule type="cellIs" dxfId="814" priority="145" operator="greaterThan">
      <formula>80</formula>
    </cfRule>
  </conditionalFormatting>
  <conditionalFormatting sqref="L58:O66">
    <cfRule type="cellIs" dxfId="813" priority="144" operator="greaterThan">
      <formula>80</formula>
    </cfRule>
  </conditionalFormatting>
  <conditionalFormatting sqref="L58:O66">
    <cfRule type="cellIs" dxfId="812" priority="142" operator="lessThan">
      <formula>35</formula>
    </cfRule>
  </conditionalFormatting>
  <conditionalFormatting sqref="V58:X58">
    <cfRule type="cellIs" dxfId="811" priority="139" operator="lessThan">
      <formula>40</formula>
    </cfRule>
    <cfRule type="cellIs" dxfId="810" priority="141" operator="greaterThan">
      <formula>80</formula>
    </cfRule>
  </conditionalFormatting>
  <conditionalFormatting sqref="V58:X58">
    <cfRule type="cellIs" dxfId="809" priority="140" operator="greaterThan">
      <formula>80</formula>
    </cfRule>
  </conditionalFormatting>
  <conditionalFormatting sqref="V58:X58">
    <cfRule type="cellIs" dxfId="808" priority="138" operator="lessThan">
      <formula>35</formula>
    </cfRule>
  </conditionalFormatting>
  <conditionalFormatting sqref="AG26:AM51 AG52:AI60 AM52:AM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U59">
    <cfRule type="cellIs" dxfId="807" priority="136" operator="greaterThan">
      <formula>80</formula>
    </cfRule>
  </conditionalFormatting>
  <conditionalFormatting sqref="R59:U59">
    <cfRule type="cellIs" dxfId="806" priority="135" operator="lessThan">
      <formula>35</formula>
    </cfRule>
  </conditionalFormatting>
  <conditionalFormatting sqref="S59:U59">
    <cfRule type="cellIs" dxfId="805" priority="133" operator="lessThan">
      <formula>40</formula>
    </cfRule>
    <cfRule type="cellIs" dxfId="804" priority="134" operator="greaterThan">
      <formula>80</formula>
    </cfRule>
  </conditionalFormatting>
  <conditionalFormatting sqref="Z59:AD59">
    <cfRule type="cellIs" dxfId="803" priority="130" operator="lessThan">
      <formula>40</formula>
    </cfRule>
    <cfRule type="cellIs" dxfId="802" priority="132" operator="greaterThan">
      <formula>80</formula>
    </cfRule>
  </conditionalFormatting>
  <conditionalFormatting sqref="Z59:AD59">
    <cfRule type="cellIs" dxfId="801" priority="131" operator="greaterThan">
      <formula>80</formula>
    </cfRule>
  </conditionalFormatting>
  <conditionalFormatting sqref="Z59:AD59">
    <cfRule type="cellIs" dxfId="800" priority="129" operator="lessThan">
      <formula>35</formula>
    </cfRule>
  </conditionalFormatting>
  <conditionalFormatting sqref="AE59:AF59">
    <cfRule type="cellIs" dxfId="799" priority="126" operator="lessThan">
      <formula>40</formula>
    </cfRule>
    <cfRule type="cellIs" dxfId="798" priority="128" operator="greaterThan">
      <formula>80</formula>
    </cfRule>
  </conditionalFormatting>
  <conditionalFormatting sqref="AE59:AF59">
    <cfRule type="cellIs" dxfId="797" priority="127" operator="greaterThan">
      <formula>80</formula>
    </cfRule>
  </conditionalFormatting>
  <conditionalFormatting sqref="AE59:AF59">
    <cfRule type="cellIs" dxfId="796" priority="125" operator="lessThan">
      <formula>35</formula>
    </cfRule>
  </conditionalFormatting>
  <conditionalFormatting sqref="V59:X59">
    <cfRule type="cellIs" dxfId="795" priority="122" operator="lessThan">
      <formula>40</formula>
    </cfRule>
    <cfRule type="cellIs" dxfId="794" priority="124" operator="greaterThan">
      <formula>80</formula>
    </cfRule>
  </conditionalFormatting>
  <conditionalFormatting sqref="V59:X59">
    <cfRule type="cellIs" dxfId="793" priority="123" operator="greaterThan">
      <formula>80</formula>
    </cfRule>
  </conditionalFormatting>
  <conditionalFormatting sqref="V59:X59">
    <cfRule type="cellIs" dxfId="792" priority="121" operator="lessThan">
      <formula>35</formula>
    </cfRule>
  </conditionalFormatting>
  <conditionalFormatting sqref="R60:U60">
    <cfRule type="cellIs" dxfId="791" priority="120" operator="greaterThan">
      <formula>80</formula>
    </cfRule>
  </conditionalFormatting>
  <conditionalFormatting sqref="R60:U60">
    <cfRule type="cellIs" dxfId="790" priority="119" operator="lessThan">
      <formula>35</formula>
    </cfRule>
  </conditionalFormatting>
  <conditionalFormatting sqref="S60:U60">
    <cfRule type="cellIs" dxfId="789" priority="117" operator="lessThan">
      <formula>40</formula>
    </cfRule>
    <cfRule type="cellIs" dxfId="788" priority="118" operator="greaterThan">
      <formula>80</formula>
    </cfRule>
  </conditionalFormatting>
  <conditionalFormatting sqref="Z60:AD60">
    <cfRule type="cellIs" dxfId="787" priority="114" operator="lessThan">
      <formula>40</formula>
    </cfRule>
    <cfRule type="cellIs" dxfId="786" priority="116" operator="greaterThan">
      <formula>80</formula>
    </cfRule>
  </conditionalFormatting>
  <conditionalFormatting sqref="Z60:AD60">
    <cfRule type="cellIs" dxfId="785" priority="115" operator="greaterThan">
      <formula>80</formula>
    </cfRule>
  </conditionalFormatting>
  <conditionalFormatting sqref="Z60:AD60">
    <cfRule type="cellIs" dxfId="784" priority="113" operator="lessThan">
      <formula>35</formula>
    </cfRule>
  </conditionalFormatting>
  <conditionalFormatting sqref="AE60:AF60">
    <cfRule type="cellIs" dxfId="783" priority="110" operator="lessThan">
      <formula>40</formula>
    </cfRule>
    <cfRule type="cellIs" dxfId="782" priority="112" operator="greaterThan">
      <formula>80</formula>
    </cfRule>
  </conditionalFormatting>
  <conditionalFormatting sqref="AE60:AF60">
    <cfRule type="cellIs" dxfId="781" priority="111" operator="greaterThan">
      <formula>80</formula>
    </cfRule>
  </conditionalFormatting>
  <conditionalFormatting sqref="AE60:AF60">
    <cfRule type="cellIs" dxfId="780" priority="109" operator="lessThan">
      <formula>35</formula>
    </cfRule>
  </conditionalFormatting>
  <conditionalFormatting sqref="V60:X60">
    <cfRule type="cellIs" dxfId="779" priority="106" operator="lessThan">
      <formula>40</formula>
    </cfRule>
    <cfRule type="cellIs" dxfId="778" priority="108" operator="greaterThan">
      <formula>80</formula>
    </cfRule>
  </conditionalFormatting>
  <conditionalFormatting sqref="V60:X60">
    <cfRule type="cellIs" dxfId="777" priority="107" operator="greaterThan">
      <formula>80</formula>
    </cfRule>
  </conditionalFormatting>
  <conditionalFormatting sqref="V60:X60">
    <cfRule type="cellIs" dxfId="776" priority="105" operator="lessThan">
      <formula>35</formula>
    </cfRule>
  </conditionalFormatting>
  <conditionalFormatting sqref="AM61:AM66 AG61:AI6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U61">
    <cfRule type="cellIs" dxfId="775" priority="103" operator="greaterThan">
      <formula>80</formula>
    </cfRule>
  </conditionalFormatting>
  <conditionalFormatting sqref="R61:U61">
    <cfRule type="cellIs" dxfId="774" priority="102" operator="lessThan">
      <formula>35</formula>
    </cfRule>
  </conditionalFormatting>
  <conditionalFormatting sqref="S61:U61">
    <cfRule type="cellIs" dxfId="773" priority="100" operator="lessThan">
      <formula>40</formula>
    </cfRule>
    <cfRule type="cellIs" dxfId="772" priority="101" operator="greaterThan">
      <formula>80</formula>
    </cfRule>
  </conditionalFormatting>
  <conditionalFormatting sqref="Z61:AD61">
    <cfRule type="cellIs" dxfId="771" priority="97" operator="lessThan">
      <formula>40</formula>
    </cfRule>
    <cfRule type="cellIs" dxfId="770" priority="99" operator="greaterThan">
      <formula>80</formula>
    </cfRule>
  </conditionalFormatting>
  <conditionalFormatting sqref="Z61:AD61">
    <cfRule type="cellIs" dxfId="769" priority="98" operator="greaterThan">
      <formula>80</formula>
    </cfRule>
  </conditionalFormatting>
  <conditionalFormatting sqref="Z61:AD61">
    <cfRule type="cellIs" dxfId="768" priority="96" operator="lessThan">
      <formula>35</formula>
    </cfRule>
  </conditionalFormatting>
  <conditionalFormatting sqref="AE61:AF61">
    <cfRule type="cellIs" dxfId="767" priority="93" operator="lessThan">
      <formula>40</formula>
    </cfRule>
    <cfRule type="cellIs" dxfId="766" priority="95" operator="greaterThan">
      <formula>80</formula>
    </cfRule>
  </conditionalFormatting>
  <conditionalFormatting sqref="AE61:AF61">
    <cfRule type="cellIs" dxfId="765" priority="94" operator="greaterThan">
      <formula>80</formula>
    </cfRule>
  </conditionalFormatting>
  <conditionalFormatting sqref="AE61:AF61">
    <cfRule type="cellIs" dxfId="764" priority="92" operator="lessThan">
      <formula>35</formula>
    </cfRule>
  </conditionalFormatting>
  <conditionalFormatting sqref="V61:X61">
    <cfRule type="cellIs" dxfId="763" priority="89" operator="lessThan">
      <formula>40</formula>
    </cfRule>
    <cfRule type="cellIs" dxfId="762" priority="91" operator="greaterThan">
      <formula>80</formula>
    </cfRule>
  </conditionalFormatting>
  <conditionalFormatting sqref="V61:X61">
    <cfRule type="cellIs" dxfId="761" priority="90" operator="greaterThan">
      <formula>80</formula>
    </cfRule>
  </conditionalFormatting>
  <conditionalFormatting sqref="V61:X61">
    <cfRule type="cellIs" dxfId="760" priority="88" operator="lessThan">
      <formula>35</formula>
    </cfRule>
  </conditionalFormatting>
  <conditionalFormatting sqref="AJ52:AJ6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2:AK6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2:AL6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:U62">
    <cfRule type="cellIs" dxfId="759" priority="84" operator="greaterThan">
      <formula>80</formula>
    </cfRule>
  </conditionalFormatting>
  <conditionalFormatting sqref="R62:U62">
    <cfRule type="cellIs" dxfId="758" priority="83" operator="lessThan">
      <formula>35</formula>
    </cfRule>
  </conditionalFormatting>
  <conditionalFormatting sqref="S62:U62">
    <cfRule type="cellIs" dxfId="757" priority="81" operator="lessThan">
      <formula>40</formula>
    </cfRule>
    <cfRule type="cellIs" dxfId="756" priority="82" operator="greaterThan">
      <formula>80</formula>
    </cfRule>
  </conditionalFormatting>
  <conditionalFormatting sqref="Z62:AD62">
    <cfRule type="cellIs" dxfId="755" priority="78" operator="lessThan">
      <formula>40</formula>
    </cfRule>
    <cfRule type="cellIs" dxfId="754" priority="80" operator="greaterThan">
      <formula>80</formula>
    </cfRule>
  </conditionalFormatting>
  <conditionalFormatting sqref="Z62:AD62">
    <cfRule type="cellIs" dxfId="753" priority="79" operator="greaterThan">
      <formula>80</formula>
    </cfRule>
  </conditionalFormatting>
  <conditionalFormatting sqref="Z62:AD62">
    <cfRule type="cellIs" dxfId="752" priority="77" operator="lessThan">
      <formula>35</formula>
    </cfRule>
  </conditionalFormatting>
  <conditionalFormatting sqref="AE62:AF62">
    <cfRule type="cellIs" dxfId="751" priority="74" operator="lessThan">
      <formula>40</formula>
    </cfRule>
    <cfRule type="cellIs" dxfId="750" priority="76" operator="greaterThan">
      <formula>80</formula>
    </cfRule>
  </conditionalFormatting>
  <conditionalFormatting sqref="AE62:AF62">
    <cfRule type="cellIs" dxfId="749" priority="75" operator="greaterThan">
      <formula>80</formula>
    </cfRule>
  </conditionalFormatting>
  <conditionalFormatting sqref="AE62:AF62">
    <cfRule type="cellIs" dxfId="748" priority="73" operator="lessThan">
      <formula>35</formula>
    </cfRule>
  </conditionalFormatting>
  <conditionalFormatting sqref="V62:X62">
    <cfRule type="cellIs" dxfId="747" priority="70" operator="lessThan">
      <formula>40</formula>
    </cfRule>
    <cfRule type="cellIs" dxfId="746" priority="72" operator="greaterThan">
      <formula>80</formula>
    </cfRule>
  </conditionalFormatting>
  <conditionalFormatting sqref="V62:X62">
    <cfRule type="cellIs" dxfId="745" priority="71" operator="greaterThan">
      <formula>80</formula>
    </cfRule>
  </conditionalFormatting>
  <conditionalFormatting sqref="V62:X62">
    <cfRule type="cellIs" dxfId="744" priority="69" operator="lessThan">
      <formula>35</formula>
    </cfRule>
  </conditionalFormatting>
  <conditionalFormatting sqref="BD4 AX4">
    <cfRule type="cellIs" dxfId="743" priority="67" operator="lessThan">
      <formula>40</formula>
    </cfRule>
    <cfRule type="cellIs" dxfId="742" priority="68" operator="greaterThan">
      <formula>80</formula>
    </cfRule>
  </conditionalFormatting>
  <conditionalFormatting sqref="B4:AW4">
    <cfRule type="cellIs" dxfId="741" priority="65" operator="lessThan">
      <formula>40</formula>
    </cfRule>
    <cfRule type="cellIs" dxfId="740" priority="66" operator="greaterThan">
      <formula>80</formula>
    </cfRule>
  </conditionalFormatting>
  <conditionalFormatting sqref="R63:U63">
    <cfRule type="cellIs" dxfId="739" priority="64" operator="greaterThan">
      <formula>80</formula>
    </cfRule>
  </conditionalFormatting>
  <conditionalFormatting sqref="R63:U63">
    <cfRule type="cellIs" dxfId="738" priority="63" operator="lessThan">
      <formula>35</formula>
    </cfRule>
  </conditionalFormatting>
  <conditionalFormatting sqref="S63:U63">
    <cfRule type="cellIs" dxfId="737" priority="61" operator="lessThan">
      <formula>40</formula>
    </cfRule>
    <cfRule type="cellIs" dxfId="736" priority="62" operator="greaterThan">
      <formula>80</formula>
    </cfRule>
  </conditionalFormatting>
  <conditionalFormatting sqref="Z63:AD63">
    <cfRule type="cellIs" dxfId="735" priority="58" operator="lessThan">
      <formula>40</formula>
    </cfRule>
    <cfRule type="cellIs" dxfId="734" priority="60" operator="greaterThan">
      <formula>80</formula>
    </cfRule>
  </conditionalFormatting>
  <conditionalFormatting sqref="Z63:AD63">
    <cfRule type="cellIs" dxfId="733" priority="59" operator="greaterThan">
      <formula>80</formula>
    </cfRule>
  </conditionalFormatting>
  <conditionalFormatting sqref="Z63:AD63">
    <cfRule type="cellIs" dxfId="732" priority="57" operator="lessThan">
      <formula>35</formula>
    </cfRule>
  </conditionalFormatting>
  <conditionalFormatting sqref="AE63:AF63">
    <cfRule type="cellIs" dxfId="731" priority="54" operator="lessThan">
      <formula>40</formula>
    </cfRule>
    <cfRule type="cellIs" dxfId="730" priority="56" operator="greaterThan">
      <formula>80</formula>
    </cfRule>
  </conditionalFormatting>
  <conditionalFormatting sqref="AE63:AF63">
    <cfRule type="cellIs" dxfId="729" priority="55" operator="greaterThan">
      <formula>80</formula>
    </cfRule>
  </conditionalFormatting>
  <conditionalFormatting sqref="AE63:AF63">
    <cfRule type="cellIs" dxfId="728" priority="53" operator="lessThan">
      <formula>35</formula>
    </cfRule>
  </conditionalFormatting>
  <conditionalFormatting sqref="V63:X63">
    <cfRule type="cellIs" dxfId="727" priority="50" operator="lessThan">
      <formula>40</formula>
    </cfRule>
    <cfRule type="cellIs" dxfId="726" priority="52" operator="greaterThan">
      <formula>80</formula>
    </cfRule>
  </conditionalFormatting>
  <conditionalFormatting sqref="V63:X63">
    <cfRule type="cellIs" dxfId="725" priority="51" operator="greaterThan">
      <formula>80</formula>
    </cfRule>
  </conditionalFormatting>
  <conditionalFormatting sqref="V63:X63">
    <cfRule type="cellIs" dxfId="724" priority="49" operator="lessThan">
      <formula>35</formula>
    </cfRule>
  </conditionalFormatting>
  <conditionalFormatting sqref="R64:U64">
    <cfRule type="cellIs" dxfId="723" priority="48" operator="greaterThan">
      <formula>80</formula>
    </cfRule>
  </conditionalFormatting>
  <conditionalFormatting sqref="R64:U64">
    <cfRule type="cellIs" dxfId="722" priority="47" operator="lessThan">
      <formula>35</formula>
    </cfRule>
  </conditionalFormatting>
  <conditionalFormatting sqref="S64:U64">
    <cfRule type="cellIs" dxfId="721" priority="45" operator="lessThan">
      <formula>40</formula>
    </cfRule>
    <cfRule type="cellIs" dxfId="720" priority="46" operator="greaterThan">
      <formula>80</formula>
    </cfRule>
  </conditionalFormatting>
  <conditionalFormatting sqref="Z64:AD64">
    <cfRule type="cellIs" dxfId="719" priority="42" operator="lessThan">
      <formula>40</formula>
    </cfRule>
    <cfRule type="cellIs" dxfId="718" priority="44" operator="greaterThan">
      <formula>80</formula>
    </cfRule>
  </conditionalFormatting>
  <conditionalFormatting sqref="Z64:AD64">
    <cfRule type="cellIs" dxfId="717" priority="43" operator="greaterThan">
      <formula>80</formula>
    </cfRule>
  </conditionalFormatting>
  <conditionalFormatting sqref="Z64:AD64">
    <cfRule type="cellIs" dxfId="716" priority="41" operator="lessThan">
      <formula>35</formula>
    </cfRule>
  </conditionalFormatting>
  <conditionalFormatting sqref="AE64:AF64">
    <cfRule type="cellIs" dxfId="715" priority="38" operator="lessThan">
      <formula>40</formula>
    </cfRule>
    <cfRule type="cellIs" dxfId="714" priority="40" operator="greaterThan">
      <formula>80</formula>
    </cfRule>
  </conditionalFormatting>
  <conditionalFormatting sqref="AE64:AF64">
    <cfRule type="cellIs" dxfId="713" priority="39" operator="greaterThan">
      <formula>80</formula>
    </cfRule>
  </conditionalFormatting>
  <conditionalFormatting sqref="AE64:AF64">
    <cfRule type="cellIs" dxfId="712" priority="37" operator="lessThan">
      <formula>35</formula>
    </cfRule>
  </conditionalFormatting>
  <conditionalFormatting sqref="V64:X64">
    <cfRule type="cellIs" dxfId="711" priority="34" operator="lessThan">
      <formula>40</formula>
    </cfRule>
    <cfRule type="cellIs" dxfId="710" priority="36" operator="greaterThan">
      <formula>80</formula>
    </cfRule>
  </conditionalFormatting>
  <conditionalFormatting sqref="V64:X64">
    <cfRule type="cellIs" dxfId="709" priority="35" operator="greaterThan">
      <formula>80</formula>
    </cfRule>
  </conditionalFormatting>
  <conditionalFormatting sqref="V64:X64">
    <cfRule type="cellIs" dxfId="708" priority="33" operator="lessThan">
      <formula>35</formula>
    </cfRule>
  </conditionalFormatting>
  <conditionalFormatting sqref="R65:U65">
    <cfRule type="cellIs" dxfId="707" priority="32" operator="greaterThan">
      <formula>80</formula>
    </cfRule>
  </conditionalFormatting>
  <conditionalFormatting sqref="R65:U65">
    <cfRule type="cellIs" dxfId="706" priority="31" operator="lessThan">
      <formula>35</formula>
    </cfRule>
  </conditionalFormatting>
  <conditionalFormatting sqref="S65:U65">
    <cfRule type="cellIs" dxfId="705" priority="29" operator="lessThan">
      <formula>40</formula>
    </cfRule>
    <cfRule type="cellIs" dxfId="704" priority="30" operator="greaterThan">
      <formula>80</formula>
    </cfRule>
  </conditionalFormatting>
  <conditionalFormatting sqref="Z65:AD65">
    <cfRule type="cellIs" dxfId="703" priority="26" operator="lessThan">
      <formula>40</formula>
    </cfRule>
    <cfRule type="cellIs" dxfId="702" priority="28" operator="greaterThan">
      <formula>80</formula>
    </cfRule>
  </conditionalFormatting>
  <conditionalFormatting sqref="Z65:AD65">
    <cfRule type="cellIs" dxfId="701" priority="27" operator="greaterThan">
      <formula>80</formula>
    </cfRule>
  </conditionalFormatting>
  <conditionalFormatting sqref="Z65:AD65">
    <cfRule type="cellIs" dxfId="700" priority="25" operator="lessThan">
      <formula>35</formula>
    </cfRule>
  </conditionalFormatting>
  <conditionalFormatting sqref="AE65:AF65">
    <cfRule type="cellIs" dxfId="699" priority="22" operator="lessThan">
      <formula>40</formula>
    </cfRule>
    <cfRule type="cellIs" dxfId="698" priority="24" operator="greaterThan">
      <formula>80</formula>
    </cfRule>
  </conditionalFormatting>
  <conditionalFormatting sqref="AE65:AF65">
    <cfRule type="cellIs" dxfId="697" priority="23" operator="greaterThan">
      <formula>80</formula>
    </cfRule>
  </conditionalFormatting>
  <conditionalFormatting sqref="AE65:AF65">
    <cfRule type="cellIs" dxfId="696" priority="21" operator="lessThan">
      <formula>35</formula>
    </cfRule>
  </conditionalFormatting>
  <conditionalFormatting sqref="V65:X65">
    <cfRule type="cellIs" dxfId="695" priority="18" operator="lessThan">
      <formula>40</formula>
    </cfRule>
    <cfRule type="cellIs" dxfId="694" priority="20" operator="greaterThan">
      <formula>80</formula>
    </cfRule>
  </conditionalFormatting>
  <conditionalFormatting sqref="V65:X65">
    <cfRule type="cellIs" dxfId="693" priority="19" operator="greaterThan">
      <formula>80</formula>
    </cfRule>
  </conditionalFormatting>
  <conditionalFormatting sqref="V65:X65">
    <cfRule type="cellIs" dxfId="692" priority="17" operator="lessThan">
      <formula>35</formula>
    </cfRule>
  </conditionalFormatting>
  <conditionalFormatting sqref="R66:U66">
    <cfRule type="cellIs" dxfId="691" priority="16" operator="greaterThan">
      <formula>80</formula>
    </cfRule>
  </conditionalFormatting>
  <conditionalFormatting sqref="R66:U66">
    <cfRule type="cellIs" dxfId="690" priority="15" operator="lessThan">
      <formula>35</formula>
    </cfRule>
  </conditionalFormatting>
  <conditionalFormatting sqref="S66:U66">
    <cfRule type="cellIs" dxfId="689" priority="13" operator="lessThan">
      <formula>40</formula>
    </cfRule>
    <cfRule type="cellIs" dxfId="688" priority="14" operator="greaterThan">
      <formula>80</formula>
    </cfRule>
  </conditionalFormatting>
  <conditionalFormatting sqref="Z66:AD66">
    <cfRule type="cellIs" dxfId="687" priority="10" operator="lessThan">
      <formula>40</formula>
    </cfRule>
    <cfRule type="cellIs" dxfId="686" priority="12" operator="greaterThan">
      <formula>80</formula>
    </cfRule>
  </conditionalFormatting>
  <conditionalFormatting sqref="Z66:AD66">
    <cfRule type="cellIs" dxfId="685" priority="11" operator="greaterThan">
      <formula>80</formula>
    </cfRule>
  </conditionalFormatting>
  <conditionalFormatting sqref="Z66:AD66">
    <cfRule type="cellIs" dxfId="684" priority="9" operator="lessThan">
      <formula>35</formula>
    </cfRule>
  </conditionalFormatting>
  <conditionalFormatting sqref="AE66:AF66">
    <cfRule type="cellIs" dxfId="683" priority="6" operator="lessThan">
      <formula>40</formula>
    </cfRule>
    <cfRule type="cellIs" dxfId="682" priority="8" operator="greaterThan">
      <formula>80</formula>
    </cfRule>
  </conditionalFormatting>
  <conditionalFormatting sqref="AE66:AF66">
    <cfRule type="cellIs" dxfId="681" priority="7" operator="greaterThan">
      <formula>80</formula>
    </cfRule>
  </conditionalFormatting>
  <conditionalFormatting sqref="AE66:AF66">
    <cfRule type="cellIs" dxfId="680" priority="5" operator="lessThan">
      <formula>35</formula>
    </cfRule>
  </conditionalFormatting>
  <conditionalFormatting sqref="V66:X66">
    <cfRule type="cellIs" dxfId="679" priority="2" operator="lessThan">
      <formula>40</formula>
    </cfRule>
    <cfRule type="cellIs" dxfId="678" priority="4" operator="greaterThan">
      <formula>80</formula>
    </cfRule>
  </conditionalFormatting>
  <conditionalFormatting sqref="V66:X66">
    <cfRule type="cellIs" dxfId="677" priority="3" operator="greaterThan">
      <formula>80</formula>
    </cfRule>
  </conditionalFormatting>
  <conditionalFormatting sqref="V66:X66">
    <cfRule type="cellIs" dxfId="676" priority="1" operator="lessThan">
      <formula>35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59A2-E862-4CCC-A72A-0B92D08608DC}">
  <sheetPr>
    <tabColor rgb="FF00B050"/>
  </sheetPr>
  <dimension ref="A1:IG66"/>
  <sheetViews>
    <sheetView zoomScale="130" zoomScaleNormal="130" workbookViewId="0">
      <pane ySplit="4" topLeftCell="A50" activePane="bottomLeft" state="frozen"/>
      <selection activeCell="A66" sqref="A66"/>
      <selection pane="bottomLeft" activeCell="A66" sqref="A66"/>
    </sheetView>
  </sheetViews>
  <sheetFormatPr defaultRowHeight="15" outlineLevelCol="2" x14ac:dyDescent="0.25"/>
  <cols>
    <col min="1" max="1" width="11.85546875" bestFit="1" customWidth="1"/>
    <col min="2" max="10" width="5.5703125" customWidth="1"/>
    <col min="11" max="12" width="5.5703125" hidden="1" customWidth="1" outlineLevel="1"/>
    <col min="13" max="13" width="5.5703125" customWidth="1" collapsed="1"/>
    <col min="14" max="14" width="5.5703125" style="99" customWidth="1"/>
    <col min="15" max="22" width="5.5703125" customWidth="1"/>
    <col min="23" max="24" width="5.5703125" hidden="1" customWidth="1" outlineLevel="1"/>
    <col min="25" max="25" width="5.5703125" style="46" customWidth="1" collapsed="1"/>
    <col min="26" max="34" width="5.5703125" customWidth="1"/>
    <col min="35" max="36" width="5.5703125" hidden="1" customWidth="1" outlineLevel="1"/>
    <col min="37" max="37" width="5.5703125" customWidth="1" collapsed="1"/>
    <col min="38" max="142" width="7" customWidth="1"/>
    <col min="143" max="143" width="24.5703125" customWidth="1" outlineLevel="1"/>
    <col min="144" max="161" width="8" customWidth="1" outlineLevel="1"/>
    <col min="162" max="162" width="11.85546875" style="9" customWidth="1" outlineLevel="1"/>
    <col min="163" max="164" width="9.140625" customWidth="1" outlineLevel="1"/>
    <col min="165" max="168" width="7" customWidth="1" outlineLevel="2"/>
    <col min="169" max="170" width="9.140625" customWidth="1" outlineLevel="1"/>
    <col min="171" max="174" width="7" customWidth="1" outlineLevel="2"/>
    <col min="175" max="176" width="9.140625" customWidth="1" outlineLevel="1"/>
    <col min="177" max="180" width="7" customWidth="1" outlineLevel="2"/>
    <col min="181" max="182" width="9.140625" customWidth="1" outlineLevel="1"/>
    <col min="183" max="186" width="7" customWidth="1" outlineLevel="2"/>
    <col min="187" max="188" width="9.140625" customWidth="1" outlineLevel="1"/>
    <col min="189" max="192" width="7" customWidth="1" outlineLevel="2"/>
    <col min="193" max="194" width="9.140625" customWidth="1" outlineLevel="1"/>
    <col min="195" max="198" width="7" customWidth="1" outlineLevel="2"/>
    <col min="199" max="200" width="9.140625" customWidth="1" outlineLevel="1"/>
    <col min="201" max="204" width="7" customWidth="1" outlineLevel="2"/>
    <col min="205" max="206" width="9.140625" customWidth="1" outlineLevel="1"/>
    <col min="207" max="210" width="7" customWidth="1" outlineLevel="2"/>
    <col min="211" max="212" width="9.140625" customWidth="1" outlineLevel="1"/>
    <col min="213" max="216" width="7" customWidth="1" outlineLevel="2"/>
    <col min="217" max="218" width="9.140625" customWidth="1" outlineLevel="1"/>
    <col min="219" max="222" width="7" customWidth="1" outlineLevel="2"/>
    <col min="223" max="224" width="9.140625" customWidth="1" outlineLevel="1"/>
    <col min="225" max="229" width="7" customWidth="1" outlineLevel="2"/>
    <col min="230" max="241" width="9.140625" customWidth="1" outlineLevel="1"/>
  </cols>
  <sheetData>
    <row r="1" spans="1:241" ht="15.75" thickBot="1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 s="40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</row>
    <row r="2" spans="1:241" ht="29.1" customHeight="1" thickBot="1" x14ac:dyDescent="0.3">
      <c r="B2">
        <v>950</v>
      </c>
      <c r="C2" s="38">
        <v>980</v>
      </c>
      <c r="D2" s="39">
        <v>981</v>
      </c>
      <c r="E2" s="477">
        <v>983</v>
      </c>
      <c r="F2" s="478">
        <v>984</v>
      </c>
      <c r="G2" s="478" t="s">
        <v>84</v>
      </c>
      <c r="H2" s="479" t="s">
        <v>85</v>
      </c>
      <c r="I2" s="480" t="s">
        <v>86</v>
      </c>
      <c r="J2" s="85">
        <v>986</v>
      </c>
      <c r="K2" s="83">
        <v>987</v>
      </c>
      <c r="L2" s="83" t="s">
        <v>87</v>
      </c>
      <c r="M2" s="38" t="s">
        <v>88</v>
      </c>
      <c r="N2" s="105">
        <v>950</v>
      </c>
      <c r="O2" s="38">
        <v>980</v>
      </c>
      <c r="P2" s="39">
        <v>981</v>
      </c>
      <c r="Q2" s="38">
        <v>983</v>
      </c>
      <c r="R2" s="39">
        <v>984</v>
      </c>
      <c r="S2" s="39" t="s">
        <v>84</v>
      </c>
      <c r="T2" s="38" t="s">
        <v>85</v>
      </c>
      <c r="U2" s="85" t="s">
        <v>86</v>
      </c>
      <c r="V2" s="39">
        <v>986</v>
      </c>
      <c r="W2" s="38">
        <v>987</v>
      </c>
      <c r="X2" s="85" t="s">
        <v>87</v>
      </c>
      <c r="Y2" s="487" t="s">
        <v>88</v>
      </c>
      <c r="Z2" s="39">
        <v>950</v>
      </c>
      <c r="AA2" s="38">
        <v>980</v>
      </c>
      <c r="AB2" s="39">
        <v>981</v>
      </c>
      <c r="AC2" s="38">
        <v>983</v>
      </c>
      <c r="AD2" s="39">
        <v>984</v>
      </c>
      <c r="AE2" s="39" t="s">
        <v>84</v>
      </c>
      <c r="AF2" s="38" t="s">
        <v>85</v>
      </c>
      <c r="AG2" s="85" t="s">
        <v>86</v>
      </c>
      <c r="AH2" s="39">
        <v>986</v>
      </c>
      <c r="AI2" s="38">
        <v>987</v>
      </c>
      <c r="AJ2" s="106" t="s">
        <v>87</v>
      </c>
      <c r="AK2" s="38" t="s">
        <v>88</v>
      </c>
      <c r="AL2" s="639" t="s">
        <v>89</v>
      </c>
      <c r="AM2" s="629"/>
      <c r="AN2" s="85"/>
      <c r="AO2" s="639" t="s">
        <v>90</v>
      </c>
      <c r="AP2" s="635"/>
      <c r="AQ2" s="629"/>
      <c r="AR2" s="645" t="s">
        <v>62</v>
      </c>
      <c r="AS2" s="646"/>
      <c r="AT2" s="646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640" t="s">
        <v>91</v>
      </c>
      <c r="EN2" s="641"/>
      <c r="EO2" s="641"/>
      <c r="EP2" s="641"/>
      <c r="EQ2" s="641"/>
      <c r="ER2" s="642"/>
      <c r="ES2" s="86"/>
      <c r="ET2" s="640" t="s">
        <v>92</v>
      </c>
      <c r="EU2" s="641"/>
      <c r="EV2" s="641"/>
      <c r="EW2" s="641"/>
      <c r="EX2" s="641"/>
      <c r="EY2" s="642"/>
      <c r="EZ2" s="641" t="s">
        <v>93</v>
      </c>
      <c r="FA2" s="641"/>
      <c r="FB2" s="641"/>
      <c r="FC2" s="641"/>
      <c r="FD2" s="641"/>
      <c r="FE2" s="642"/>
      <c r="FF2" s="640" t="s">
        <v>94</v>
      </c>
      <c r="FI2" s="41">
        <v>980</v>
      </c>
      <c r="FJ2" s="41">
        <v>980</v>
      </c>
      <c r="FK2" s="41">
        <v>980</v>
      </c>
      <c r="FL2" s="41">
        <v>980</v>
      </c>
      <c r="FO2" s="42">
        <v>981</v>
      </c>
      <c r="FP2" s="42">
        <v>981</v>
      </c>
      <c r="FQ2" s="42">
        <v>981</v>
      </c>
      <c r="FR2" s="42">
        <v>981</v>
      </c>
      <c r="FU2" s="41">
        <v>983</v>
      </c>
      <c r="FV2" s="41">
        <v>983</v>
      </c>
      <c r="FW2" s="41">
        <v>983</v>
      </c>
      <c r="FX2" s="41">
        <v>983</v>
      </c>
      <c r="GA2" s="42">
        <v>984</v>
      </c>
      <c r="GB2" s="42">
        <v>984</v>
      </c>
      <c r="GC2" s="42">
        <v>984</v>
      </c>
      <c r="GD2" s="42">
        <v>984</v>
      </c>
      <c r="GG2" s="41">
        <v>985</v>
      </c>
      <c r="GH2" s="41">
        <v>985</v>
      </c>
      <c r="GI2" s="41">
        <v>985</v>
      </c>
      <c r="GJ2" s="41">
        <v>985</v>
      </c>
      <c r="GM2" s="42" t="s">
        <v>84</v>
      </c>
      <c r="GN2" s="42" t="s">
        <v>84</v>
      </c>
      <c r="GO2" s="42" t="s">
        <v>84</v>
      </c>
      <c r="GP2" s="42" t="s">
        <v>84</v>
      </c>
      <c r="GS2" s="41" t="s">
        <v>85</v>
      </c>
      <c r="GT2" s="41" t="s">
        <v>85</v>
      </c>
      <c r="GU2" s="41" t="s">
        <v>85</v>
      </c>
      <c r="GV2" s="41" t="s">
        <v>85</v>
      </c>
      <c r="GY2" s="18">
        <v>986</v>
      </c>
      <c r="GZ2" s="18">
        <v>986</v>
      </c>
      <c r="HA2" s="18">
        <v>986</v>
      </c>
      <c r="HB2" s="18">
        <v>986</v>
      </c>
      <c r="HE2" s="43">
        <v>987</v>
      </c>
      <c r="HF2" s="43">
        <v>987</v>
      </c>
      <c r="HG2" s="43">
        <v>987</v>
      </c>
      <c r="HH2" s="43">
        <v>987</v>
      </c>
      <c r="HK2" s="43">
        <v>988</v>
      </c>
      <c r="HL2" s="43">
        <v>988</v>
      </c>
      <c r="HM2" s="43">
        <v>988</v>
      </c>
      <c r="HN2" s="43">
        <v>988</v>
      </c>
      <c r="HQ2" s="43" t="s">
        <v>95</v>
      </c>
      <c r="HR2" s="43" t="s">
        <v>96</v>
      </c>
      <c r="HS2" s="43" t="s">
        <v>97</v>
      </c>
      <c r="HT2" s="43" t="s">
        <v>98</v>
      </c>
      <c r="HU2" s="43" t="s">
        <v>99</v>
      </c>
      <c r="HV2" s="639" t="s">
        <v>100</v>
      </c>
      <c r="HW2" s="635"/>
      <c r="HX2" s="635"/>
      <c r="HY2" s="635"/>
      <c r="HZ2" s="635"/>
      <c r="IA2" s="629"/>
      <c r="IB2" s="639" t="s">
        <v>101</v>
      </c>
      <c r="IC2" s="635"/>
      <c r="ID2" s="635"/>
      <c r="IE2" s="635"/>
      <c r="IF2" s="635"/>
      <c r="IG2" s="635"/>
    </row>
    <row r="3" spans="1:241" ht="63.75" customHeight="1" thickBot="1" x14ac:dyDescent="0.3">
      <c r="A3" t="s">
        <v>22</v>
      </c>
      <c r="B3" t="s">
        <v>23</v>
      </c>
      <c r="C3" s="83" t="s">
        <v>75</v>
      </c>
      <c r="D3" s="85" t="s">
        <v>75</v>
      </c>
      <c r="E3" s="83" t="s">
        <v>75</v>
      </c>
      <c r="F3" s="85" t="s">
        <v>75</v>
      </c>
      <c r="G3" s="85" t="s">
        <v>75</v>
      </c>
      <c r="H3" s="83" t="s">
        <v>75</v>
      </c>
      <c r="I3" s="85" t="s">
        <v>75</v>
      </c>
      <c r="J3" s="85" t="s">
        <v>75</v>
      </c>
      <c r="K3" s="83" t="s">
        <v>75</v>
      </c>
      <c r="L3" s="83" t="s">
        <v>75</v>
      </c>
      <c r="M3" s="83" t="s">
        <v>75</v>
      </c>
      <c r="N3" s="97" t="s">
        <v>24</v>
      </c>
      <c r="O3" s="85" t="s">
        <v>24</v>
      </c>
      <c r="P3" s="85" t="s">
        <v>24</v>
      </c>
      <c r="Q3" s="85" t="s">
        <v>24</v>
      </c>
      <c r="R3" s="85" t="s">
        <v>24</v>
      </c>
      <c r="S3" s="85" t="s">
        <v>24</v>
      </c>
      <c r="T3" s="85" t="s">
        <v>24</v>
      </c>
      <c r="U3" s="85" t="s">
        <v>24</v>
      </c>
      <c r="V3" s="85" t="s">
        <v>24</v>
      </c>
      <c r="W3" s="85" t="s">
        <v>24</v>
      </c>
      <c r="X3" s="85" t="s">
        <v>24</v>
      </c>
      <c r="Y3" s="84" t="s">
        <v>24</v>
      </c>
      <c r="Z3" s="85" t="s">
        <v>25</v>
      </c>
      <c r="AA3" s="85" t="s">
        <v>25</v>
      </c>
      <c r="AB3" s="85" t="s">
        <v>25</v>
      </c>
      <c r="AC3" s="85" t="s">
        <v>25</v>
      </c>
      <c r="AD3" s="85" t="s">
        <v>25</v>
      </c>
      <c r="AE3" s="85" t="s">
        <v>25</v>
      </c>
      <c r="AF3" s="85" t="s">
        <v>25</v>
      </c>
      <c r="AG3" s="85" t="s">
        <v>25</v>
      </c>
      <c r="AH3" s="85" t="s">
        <v>25</v>
      </c>
      <c r="AI3" s="85" t="s">
        <v>25</v>
      </c>
      <c r="AJ3" s="85" t="s">
        <v>25</v>
      </c>
      <c r="AK3" s="85" t="s">
        <v>25</v>
      </c>
      <c r="AL3" s="85" t="s">
        <v>75</v>
      </c>
      <c r="AM3" s="85" t="s">
        <v>24</v>
      </c>
      <c r="AN3" s="85" t="s">
        <v>25</v>
      </c>
      <c r="AO3" s="83" t="s">
        <v>75</v>
      </c>
      <c r="AP3" s="85" t="s">
        <v>24</v>
      </c>
      <c r="AQ3" s="85" t="s">
        <v>25</v>
      </c>
      <c r="AR3" s="83" t="s">
        <v>75</v>
      </c>
      <c r="AS3" s="85" t="s">
        <v>24</v>
      </c>
      <c r="AT3" s="85" t="s">
        <v>25</v>
      </c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  <c r="DB3" s="85"/>
      <c r="DC3" s="85"/>
      <c r="DD3" s="85"/>
      <c r="DE3" s="85"/>
      <c r="DF3" s="85"/>
      <c r="DG3" s="85"/>
      <c r="DH3" s="85"/>
      <c r="DI3" s="85"/>
      <c r="DJ3" s="85"/>
      <c r="DK3" s="85"/>
      <c r="DL3" s="85"/>
      <c r="DM3" s="85"/>
      <c r="DN3" s="85"/>
      <c r="DO3" s="85"/>
      <c r="DP3" s="85"/>
      <c r="DQ3" s="85"/>
      <c r="DR3" s="85"/>
      <c r="DS3" s="85"/>
      <c r="DT3" s="85"/>
      <c r="DU3" s="85"/>
      <c r="DV3" s="85"/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21" t="s">
        <v>75</v>
      </c>
      <c r="EN3" s="22" t="s">
        <v>24</v>
      </c>
      <c r="EO3" s="22" t="s">
        <v>102</v>
      </c>
      <c r="EP3" s="22" t="s">
        <v>79</v>
      </c>
      <c r="EQ3" s="22" t="s">
        <v>80</v>
      </c>
      <c r="ER3" s="22" t="s">
        <v>81</v>
      </c>
      <c r="ES3" s="22" t="s">
        <v>103</v>
      </c>
      <c r="ET3" s="21" t="s">
        <v>75</v>
      </c>
      <c r="EU3" s="22" t="s">
        <v>24</v>
      </c>
      <c r="EV3" s="22" t="s">
        <v>102</v>
      </c>
      <c r="EW3" s="22" t="s">
        <v>79</v>
      </c>
      <c r="EX3" s="22" t="s">
        <v>80</v>
      </c>
      <c r="EY3" s="22" t="s">
        <v>81</v>
      </c>
      <c r="EZ3" s="21" t="s">
        <v>75</v>
      </c>
      <c r="FA3" s="22" t="s">
        <v>24</v>
      </c>
      <c r="FB3" s="22" t="s">
        <v>24</v>
      </c>
      <c r="FC3" s="22" t="s">
        <v>79</v>
      </c>
      <c r="FD3" s="22" t="s">
        <v>80</v>
      </c>
      <c r="FE3" s="22" t="s">
        <v>81</v>
      </c>
      <c r="FF3" s="647"/>
      <c r="FI3" s="85" t="s">
        <v>24</v>
      </c>
      <c r="FJ3" s="85" t="s">
        <v>79</v>
      </c>
      <c r="FK3" s="85" t="s">
        <v>80</v>
      </c>
      <c r="FL3" s="84" t="s">
        <v>81</v>
      </c>
      <c r="FO3" s="85" t="s">
        <v>24</v>
      </c>
      <c r="FP3" s="85" t="s">
        <v>79</v>
      </c>
      <c r="FQ3" s="85" t="s">
        <v>80</v>
      </c>
      <c r="FR3" s="85" t="s">
        <v>81</v>
      </c>
      <c r="FU3" s="85" t="s">
        <v>24</v>
      </c>
      <c r="FV3" s="85" t="s">
        <v>79</v>
      </c>
      <c r="FW3" s="85" t="s">
        <v>80</v>
      </c>
      <c r="FX3" s="84" t="s">
        <v>81</v>
      </c>
      <c r="GA3" s="85" t="s">
        <v>24</v>
      </c>
      <c r="GB3" s="85" t="s">
        <v>79</v>
      </c>
      <c r="GC3" s="85" t="s">
        <v>80</v>
      </c>
      <c r="GD3" s="85" t="s">
        <v>81</v>
      </c>
      <c r="GG3" s="85" t="s">
        <v>24</v>
      </c>
      <c r="GH3" s="85" t="s">
        <v>79</v>
      </c>
      <c r="GI3" s="85" t="s">
        <v>80</v>
      </c>
      <c r="GJ3" s="84" t="s">
        <v>81</v>
      </c>
      <c r="GM3" s="85" t="s">
        <v>24</v>
      </c>
      <c r="GN3" s="85" t="s">
        <v>79</v>
      </c>
      <c r="GO3" s="85" t="s">
        <v>80</v>
      </c>
      <c r="GP3" s="85" t="s">
        <v>81</v>
      </c>
      <c r="GS3" s="85" t="s">
        <v>24</v>
      </c>
      <c r="GT3" s="85" t="s">
        <v>79</v>
      </c>
      <c r="GU3" s="85" t="s">
        <v>80</v>
      </c>
      <c r="GV3" s="84" t="s">
        <v>81</v>
      </c>
      <c r="GY3" s="85" t="s">
        <v>24</v>
      </c>
      <c r="GZ3" s="85" t="s">
        <v>79</v>
      </c>
      <c r="HA3" s="85" t="s">
        <v>80</v>
      </c>
      <c r="HB3" s="85" t="s">
        <v>81</v>
      </c>
      <c r="HE3" s="85" t="s">
        <v>24</v>
      </c>
      <c r="HF3" s="85" t="s">
        <v>79</v>
      </c>
      <c r="HG3" s="85" t="s">
        <v>80</v>
      </c>
      <c r="HH3" s="84" t="s">
        <v>81</v>
      </c>
      <c r="HK3" s="85" t="s">
        <v>78</v>
      </c>
      <c r="HL3" s="85" t="s">
        <v>79</v>
      </c>
      <c r="HM3" s="85" t="s">
        <v>80</v>
      </c>
      <c r="HN3" s="84" t="s">
        <v>81</v>
      </c>
      <c r="HQ3" s="85" t="s">
        <v>24</v>
      </c>
      <c r="HR3" s="85" t="s">
        <v>79</v>
      </c>
      <c r="HS3" s="85" t="s">
        <v>80</v>
      </c>
      <c r="HT3" s="85" t="s">
        <v>81</v>
      </c>
      <c r="HU3" s="85" t="s">
        <v>83</v>
      </c>
      <c r="HV3" s="83" t="s">
        <v>75</v>
      </c>
      <c r="HW3" s="85" t="s">
        <v>24</v>
      </c>
      <c r="HX3" s="85" t="s">
        <v>24</v>
      </c>
      <c r="HY3" s="85" t="s">
        <v>79</v>
      </c>
      <c r="HZ3" s="85" t="s">
        <v>80</v>
      </c>
      <c r="IA3" s="85" t="s">
        <v>81</v>
      </c>
      <c r="IB3" s="83" t="s">
        <v>75</v>
      </c>
      <c r="IC3" s="85" t="s">
        <v>24</v>
      </c>
      <c r="ID3" s="85" t="s">
        <v>24</v>
      </c>
      <c r="IE3" s="85" t="s">
        <v>79</v>
      </c>
      <c r="IF3" s="85" t="s">
        <v>80</v>
      </c>
      <c r="IG3" s="85" t="s">
        <v>81</v>
      </c>
    </row>
    <row r="4" spans="1:241" x14ac:dyDescent="0.25">
      <c r="A4" s="10">
        <v>45047</v>
      </c>
      <c r="B4" s="7">
        <f>VLOOKUP($A$4,$A$5:$AY$100,B1,FALSE)</f>
        <v>8</v>
      </c>
      <c r="C4" s="7">
        <f t="shared" ref="C4:AT4" si="0">VLOOKUP($A$4,$A$5:$AY$100,C1,FALSE)</f>
        <v>30</v>
      </c>
      <c r="D4" s="7">
        <f t="shared" si="0"/>
        <v>18</v>
      </c>
      <c r="E4" s="7">
        <f t="shared" si="0"/>
        <v>30</v>
      </c>
      <c r="F4" s="7">
        <f t="shared" si="0"/>
        <v>21</v>
      </c>
      <c r="G4" s="7">
        <f t="shared" si="0"/>
        <v>22</v>
      </c>
      <c r="H4" s="7">
        <f t="shared" si="0"/>
        <v>28</v>
      </c>
      <c r="I4" s="7">
        <f t="shared" si="0"/>
        <v>25.25</v>
      </c>
      <c r="J4" s="7">
        <f t="shared" si="0"/>
        <v>16</v>
      </c>
      <c r="K4" s="7">
        <f t="shared" si="0"/>
        <v>0</v>
      </c>
      <c r="L4" s="7">
        <f t="shared" si="0"/>
        <v>0</v>
      </c>
      <c r="M4" s="7">
        <f t="shared" si="0"/>
        <v>15</v>
      </c>
      <c r="N4" s="7">
        <f t="shared" si="0"/>
        <v>12</v>
      </c>
      <c r="O4" s="7">
        <f t="shared" si="0"/>
        <v>37</v>
      </c>
      <c r="P4" s="7">
        <f t="shared" si="0"/>
        <v>1</v>
      </c>
      <c r="Q4" s="7">
        <f t="shared" si="0"/>
        <v>45</v>
      </c>
      <c r="R4" s="7">
        <f t="shared" si="0"/>
        <v>21</v>
      </c>
      <c r="S4" s="7">
        <f t="shared" si="0"/>
        <v>36</v>
      </c>
      <c r="T4" s="7">
        <f t="shared" si="0"/>
        <v>38</v>
      </c>
      <c r="U4" s="7">
        <f t="shared" si="0"/>
        <v>35</v>
      </c>
      <c r="V4" s="7">
        <f t="shared" si="0"/>
        <v>14</v>
      </c>
      <c r="W4" s="7">
        <f t="shared" si="0"/>
        <v>0</v>
      </c>
      <c r="X4" s="7">
        <f t="shared" si="0"/>
        <v>0</v>
      </c>
      <c r="Y4" s="7">
        <f t="shared" si="0"/>
        <v>21</v>
      </c>
      <c r="Z4" s="7">
        <f t="shared" si="0"/>
        <v>16</v>
      </c>
      <c r="AA4" s="7">
        <f t="shared" si="0"/>
        <v>53</v>
      </c>
      <c r="AB4" s="7">
        <f t="shared" si="0"/>
        <v>2</v>
      </c>
      <c r="AC4" s="7">
        <f t="shared" si="0"/>
        <v>58</v>
      </c>
      <c r="AD4" s="7">
        <f t="shared" si="0"/>
        <v>39</v>
      </c>
      <c r="AE4" s="7">
        <f t="shared" si="0"/>
        <v>69</v>
      </c>
      <c r="AF4" s="7">
        <f t="shared" si="0"/>
        <v>53</v>
      </c>
      <c r="AG4" s="7">
        <f t="shared" si="0"/>
        <v>54.75</v>
      </c>
      <c r="AH4" s="7">
        <f t="shared" si="0"/>
        <v>29</v>
      </c>
      <c r="AI4" s="7">
        <f t="shared" si="0"/>
        <v>0</v>
      </c>
      <c r="AJ4" s="7">
        <f t="shared" si="0"/>
        <v>0</v>
      </c>
      <c r="AK4" s="7">
        <f t="shared" si="0"/>
        <v>30</v>
      </c>
      <c r="AL4" s="7">
        <f t="shared" si="0"/>
        <v>103</v>
      </c>
      <c r="AM4" s="7">
        <f t="shared" si="0"/>
        <v>124</v>
      </c>
      <c r="AN4" s="7">
        <f t="shared" si="0"/>
        <v>185</v>
      </c>
      <c r="AO4" s="7">
        <f t="shared" si="0"/>
        <v>270</v>
      </c>
      <c r="AP4" s="7">
        <f t="shared" si="0"/>
        <v>314</v>
      </c>
      <c r="AQ4" s="7">
        <f t="shared" si="0"/>
        <v>305</v>
      </c>
      <c r="AR4" s="7">
        <f t="shared" si="0"/>
        <v>8.7247058823529411</v>
      </c>
      <c r="AS4" s="7">
        <f t="shared" si="0"/>
        <v>12.21521568627451</v>
      </c>
      <c r="AT4" s="7">
        <f t="shared" si="0"/>
        <v>17.701960784313727</v>
      </c>
      <c r="AU4" s="7"/>
      <c r="BA4" s="7"/>
      <c r="FF4"/>
    </row>
    <row r="5" spans="1:241" ht="15.75" x14ac:dyDescent="0.25">
      <c r="A5" s="20">
        <v>43367</v>
      </c>
      <c r="B5" s="80"/>
      <c r="C5" s="64">
        <v>200</v>
      </c>
      <c r="D5" s="40">
        <v>81</v>
      </c>
      <c r="E5" s="64">
        <v>21</v>
      </c>
      <c r="F5" s="40">
        <v>90</v>
      </c>
      <c r="G5" s="40">
        <v>76</v>
      </c>
      <c r="H5" s="64">
        <v>57</v>
      </c>
      <c r="I5" s="14">
        <f t="shared" ref="I5:I51" si="1">AVERAGE(E5:H5)</f>
        <v>61</v>
      </c>
      <c r="J5" s="40">
        <v>15</v>
      </c>
      <c r="K5" s="64">
        <v>96</v>
      </c>
      <c r="L5" s="64"/>
      <c r="M5" s="64">
        <v>95</v>
      </c>
      <c r="N5" s="80"/>
      <c r="O5" s="40"/>
      <c r="P5" s="40"/>
      <c r="Q5" s="40"/>
      <c r="R5" s="40"/>
      <c r="S5" s="40"/>
      <c r="T5" s="40"/>
      <c r="U5" s="14" t="e">
        <f t="shared" ref="U5:U51" si="2">AVERAGE(Q5:T5)</f>
        <v>#DIV/0!</v>
      </c>
      <c r="V5" s="40"/>
      <c r="W5" s="40"/>
      <c r="X5" s="40"/>
      <c r="Y5" s="69"/>
      <c r="Z5" s="40"/>
      <c r="AA5" s="40"/>
      <c r="AB5" s="40"/>
      <c r="AC5" s="40"/>
      <c r="AD5" s="40"/>
      <c r="AE5" s="40"/>
      <c r="AF5" s="40"/>
      <c r="AG5" s="14" t="e">
        <f t="shared" ref="AG5:AG51" si="3">AVERAGE(AC5:AF5)</f>
        <v>#DIV/0!</v>
      </c>
      <c r="AH5" s="40"/>
      <c r="AI5" s="40"/>
      <c r="AJ5" s="40"/>
      <c r="AK5" s="40"/>
      <c r="AL5" s="40"/>
      <c r="EM5" s="5">
        <f t="shared" ref="EM5:EM51" si="4">AVERAGE(C5,D5,E5,F5,M5,G5,H5,K5,L5)</f>
        <v>89.5</v>
      </c>
      <c r="EN5" s="13"/>
      <c r="EO5" s="13"/>
      <c r="EP5" s="7">
        <f>((AVERAGE(EM5,EO5)*('Summary Page'!$C$2+1))*('Summary Page'!$C$2+1))*('Summary Page'!$C$2+1)</f>
        <v>139.70019199999999</v>
      </c>
      <c r="EQ5" s="7">
        <f>((AVERAGE(EM5,EO5)*('Summary Page'!$C$3+1))*('Summary Page'!$C$3+1))*('Summary Page'!$C$3+1)</f>
        <v>174.8046875</v>
      </c>
      <c r="ER5" s="7">
        <f>((AVERAGE(EM5,EO5)*('Summary Page'!$C$4+1))*('Summary Page'!$C$4+1))*('Summary Page'!$C$4+1)</f>
        <v>154.65599999999998</v>
      </c>
      <c r="ES5" s="7">
        <v>80</v>
      </c>
      <c r="ET5" s="5">
        <f t="shared" ref="ET5:ET55" si="5">AVERAGE(E5,F5,G5,H5)</f>
        <v>61</v>
      </c>
      <c r="EU5" s="13"/>
      <c r="EV5" s="13"/>
      <c r="EW5" s="7">
        <f>((AVERAGE(ET5,EV5)*('Summary Page'!$C$2+1))*('Summary Page'!$C$2+1))*('Summary Page'!$C$2+1)</f>
        <v>95.214655999999977</v>
      </c>
      <c r="EX5" s="7">
        <f>((AVERAGE(ET5,EV5)*('Summary Page'!$C$3+1))*('Summary Page'!$C$3+1))*('Summary Page'!$C$3+1)</f>
        <v>119.140625</v>
      </c>
      <c r="EY5" s="7">
        <f>((AVERAGE(ET5,EV5)*('Summary Page'!$C$4+1))*('Summary Page'!$C$4+1))*('Summary Page'!$C$4+1)</f>
        <v>105.408</v>
      </c>
      <c r="EZ5" s="5">
        <f t="shared" ref="EZ5:EZ51" si="6">AVERAGE(M5,K5,L5)</f>
        <v>95.5</v>
      </c>
      <c r="FA5" s="13"/>
      <c r="FB5" s="13"/>
      <c r="FC5" s="7">
        <f>((AVERAGE(EZ5,FB5)*('Summary Page'!$C$2+1))*('Summary Page'!$C$2+1))*('Summary Page'!$C$2+1)</f>
        <v>149.06556799999998</v>
      </c>
      <c r="FD5" s="7">
        <f>((AVERAGE(EZ5,FB5)*('Summary Page'!$C$3+1))*('Summary Page'!$C$3+1))*('Summary Page'!$C$3+1)</f>
        <v>186.5234375</v>
      </c>
      <c r="FE5" s="7">
        <f>((AVERAGE(EZ5,FB5)*('Summary Page'!$C$4+1))*('Summary Page'!$C$4+1))*('Summary Page'!$C$4+1)</f>
        <v>165.02399999999997</v>
      </c>
      <c r="FF5" s="5">
        <f t="shared" ref="FF5:FF55" si="7">AVERAGE(D5:M5,K5)</f>
        <v>68.8</v>
      </c>
      <c r="FI5" s="40"/>
      <c r="FJ5" s="7">
        <f>((AVERAGE(C5)*('Summary Page'!$C$2+1))*('Summary Page'!$C$2+1))*('Summary Page'!$C$2+1)</f>
        <v>312.17919999999992</v>
      </c>
      <c r="FK5" s="7">
        <f>((AVERAGE(C5)*('Summary Page'!$C$3+1))*('Summary Page'!$C$3+1))*('Summary Page'!$C$3+1)</f>
        <v>390.625</v>
      </c>
      <c r="FL5" s="7">
        <f>((AVERAGE(C5)*('Summary Page'!$C$4+1))*('Summary Page'!$C$4+1))*('Summary Page'!$C$4+1)</f>
        <v>345.59999999999997</v>
      </c>
      <c r="FO5" s="40"/>
      <c r="FP5" s="7">
        <f>((AVERAGE(D5)*('Summary Page'!$C$2+1))*('Summary Page'!$C$2+1))*('Summary Page'!$C$2+1)</f>
        <v>126.43257599999997</v>
      </c>
      <c r="FQ5" s="7">
        <f>((AVERAGE(D5)*('Summary Page'!$C$3+1))*('Summary Page'!$C$3+1))*('Summary Page'!$C$3+1)</f>
        <v>158.203125</v>
      </c>
      <c r="FR5" s="7">
        <f>((AVERAGE(D5)*('Summary Page'!$C$4+1))*('Summary Page'!$C$4+1))*('Summary Page'!$C$4+1)</f>
        <v>139.96799999999999</v>
      </c>
      <c r="FU5" s="40"/>
      <c r="FV5" s="7">
        <f>((AVERAGE(E5)*('Summary Page'!$C$2+1))*('Summary Page'!$C$2+1))*('Summary Page'!$C$2+1)</f>
        <v>32.778815999999992</v>
      </c>
      <c r="FW5" s="7">
        <f>((AVERAGE(E5)*('Summary Page'!$C$3+1))*('Summary Page'!$C$3+1))*('Summary Page'!$C$3+1)</f>
        <v>41.015625</v>
      </c>
      <c r="FX5" s="7">
        <f>((AVERAGE(E5)*('Summary Page'!$C$4+1))*('Summary Page'!$C$4+1))*('Summary Page'!$C$4+1)</f>
        <v>36.287999999999997</v>
      </c>
      <c r="GA5" s="40"/>
      <c r="GB5" s="7">
        <f>((AVERAGE(F5)*('Summary Page'!$C$2+1))*('Summary Page'!$C$2+1))*('Summary Page'!$C$2+1)</f>
        <v>140.48063999999997</v>
      </c>
      <c r="GC5" s="7">
        <f>((AVERAGE(F5)*('Summary Page'!$C$3+1))*('Summary Page'!$C$3+1))*('Summary Page'!$C$3+1)</f>
        <v>175.78125</v>
      </c>
      <c r="GD5" s="7">
        <f>((AVERAGE(F5)*('Summary Page'!$C$4+1))*('Summary Page'!$C$4+1))*('Summary Page'!$C$4+1)</f>
        <v>155.51999999999998</v>
      </c>
      <c r="GG5" s="40"/>
      <c r="GH5" s="7">
        <f>((AVERAGE(M5)*('Summary Page'!$C$2+1))*('Summary Page'!$C$2+1))*('Summary Page'!$C$2+1)</f>
        <v>148.28511999999998</v>
      </c>
      <c r="GI5" s="7">
        <f>((AVERAGE(M5)*('Summary Page'!$C$3+1))*('Summary Page'!$C$3+1))*('Summary Page'!$C$3+1)</f>
        <v>185.546875</v>
      </c>
      <c r="GJ5" s="7">
        <f>((AVERAGE(M5)*('Summary Page'!$C$4+1))*('Summary Page'!$C$4+1))*('Summary Page'!$C$4+1)</f>
        <v>164.15999999999997</v>
      </c>
      <c r="GM5" s="40"/>
      <c r="GN5" s="7">
        <f>((AVERAGE(G5)*('Summary Page'!$C$2+1))*('Summary Page'!$C$2+1))*('Summary Page'!$C$2+1)</f>
        <v>118.62809599999999</v>
      </c>
      <c r="GO5" s="7">
        <f>((AVERAGE(G5)*('Summary Page'!$C$3+1))*('Summary Page'!$C$3+1))*('Summary Page'!$C$3+1)</f>
        <v>148.4375</v>
      </c>
      <c r="GP5" s="7">
        <f>((AVERAGE(G5)*('Summary Page'!$C$4+1))*('Summary Page'!$C$4+1))*('Summary Page'!$C$4+1)</f>
        <v>131.328</v>
      </c>
      <c r="GS5" s="40"/>
      <c r="GT5" s="7">
        <f>((AVERAGE(H5)*('Summary Page'!$C$2+1))*('Summary Page'!$C$2+1))*('Summary Page'!$C$2+1)</f>
        <v>88.971071999999978</v>
      </c>
      <c r="GU5" s="7">
        <f>((AVERAGE(H5)*('Summary Page'!$C$3+1))*('Summary Page'!$C$3+1))*('Summary Page'!$C$3+1)</f>
        <v>111.328125</v>
      </c>
      <c r="GV5" s="7">
        <f>((AVERAGE(H5,GS5)*('Summary Page'!$C$4+1))*('Summary Page'!$C$4+1))*('Summary Page'!$C$4+1)</f>
        <v>98.495999999999981</v>
      </c>
      <c r="GY5" s="40"/>
      <c r="GZ5" s="7">
        <f>((AVERAGE(J5)*('Summary Page'!$C$2+1))*('Summary Page'!$C$2+1))*('Summary Page'!$C$2+1)</f>
        <v>23.413439999999994</v>
      </c>
      <c r="HA5" s="7">
        <f>((AVERAGE(J5)*('Summary Page'!$C$3+1))*('Summary Page'!$C$3+1))*('Summary Page'!$C$3+1)</f>
        <v>29.296875</v>
      </c>
      <c r="HB5" s="7">
        <f>((AVERAGE(J5)*('Summary Page'!$C$4+1))*('Summary Page'!$C$4+1))*('Summary Page'!$C$4+1)</f>
        <v>25.919999999999998</v>
      </c>
      <c r="HE5" s="40"/>
      <c r="HF5" s="7">
        <f>((AVERAGE(K5)*('Summary Page'!$C$2+1))*('Summary Page'!$C$2+1))*('Summary Page'!$C$2+1)</f>
        <v>149.84601599999996</v>
      </c>
      <c r="HG5" s="7">
        <f>((AVERAGE(K5)*('Summary Page'!$C$3+1))*('Summary Page'!$C$3+1))*('Summary Page'!$C$3+1)</f>
        <v>187.5</v>
      </c>
      <c r="HH5" s="7">
        <f>((AVERAGE(K5)*('Summary Page'!$C$4+1))*('Summary Page'!$C$4+1))*('Summary Page'!$C$4+1)</f>
        <v>165.88799999999998</v>
      </c>
      <c r="HK5" s="40"/>
      <c r="HL5" s="7" t="e">
        <f>((AVERAGE(L5,HK5)*('Summary Page'!$C$2+1))*('Summary Page'!$C$2+1))*('Summary Page'!$C$2+1)</f>
        <v>#DIV/0!</v>
      </c>
      <c r="HM5" s="7" t="e">
        <f>((AVERAGE(L5,HK5)*('Summary Page'!$C$3+1))*('Summary Page'!$C$3+1))*('Summary Page'!$C$3+1)</f>
        <v>#DIV/0!</v>
      </c>
      <c r="HN5" s="7" t="e">
        <f>((AVERAGE(L5,HK5)*('Summary Page'!$C$4+1))*('Summary Page'!$C$4+1))*('Summary Page'!$C$4+1)</f>
        <v>#DIV/0!</v>
      </c>
      <c r="HR5" s="7" t="e">
        <f>((AVERAGE(AL5,HQ5)*('Summary Page'!$C$2+1))*('Summary Page'!$C$2+1))*('Summary Page'!$C$2+1)</f>
        <v>#DIV/0!</v>
      </c>
      <c r="HS5" s="7" t="e">
        <f>((AVERAGE(AL5,HQ5)*('Summary Page'!$C$3+1))*('Summary Page'!$C$3+1))*('Summary Page'!$C$3+1)</f>
        <v>#DIV/0!</v>
      </c>
      <c r="HT5" s="7" t="e">
        <f>((AVERAGE(AL5,HQ5)*('Summary Page'!$C$4+1))*('Summary Page'!$C$4+1))*('Summary Page'!$C$4+1)</f>
        <v>#DIV/0!</v>
      </c>
      <c r="HU5" s="7">
        <v>100</v>
      </c>
      <c r="HV5" s="9"/>
    </row>
    <row r="6" spans="1:241" ht="15.75" x14ac:dyDescent="0.25">
      <c r="A6" s="20">
        <v>43381</v>
      </c>
      <c r="B6" s="80"/>
      <c r="C6" s="64">
        <v>306</v>
      </c>
      <c r="D6" s="40">
        <v>85</v>
      </c>
      <c r="E6" s="64">
        <v>25</v>
      </c>
      <c r="F6" s="40">
        <v>101</v>
      </c>
      <c r="G6" s="40">
        <v>76</v>
      </c>
      <c r="H6" s="64">
        <v>59</v>
      </c>
      <c r="I6" s="14">
        <f t="shared" si="1"/>
        <v>65.25</v>
      </c>
      <c r="J6" s="40">
        <v>20</v>
      </c>
      <c r="K6" s="64">
        <v>99</v>
      </c>
      <c r="L6" s="64"/>
      <c r="M6" s="64">
        <v>99</v>
      </c>
      <c r="N6" s="80"/>
      <c r="O6" s="40"/>
      <c r="P6" s="40"/>
      <c r="Q6" s="40"/>
      <c r="R6" s="40"/>
      <c r="S6" s="40"/>
      <c r="T6" s="40"/>
      <c r="U6" s="14" t="e">
        <f t="shared" si="2"/>
        <v>#DIV/0!</v>
      </c>
      <c r="V6" s="40"/>
      <c r="W6" s="40"/>
      <c r="X6" s="40"/>
      <c r="Y6" s="69"/>
      <c r="Z6" s="40"/>
      <c r="AA6" s="40"/>
      <c r="AB6" s="40"/>
      <c r="AC6" s="40"/>
      <c r="AD6" s="40"/>
      <c r="AE6" s="40"/>
      <c r="AF6" s="40"/>
      <c r="AG6" s="14" t="e">
        <f t="shared" si="3"/>
        <v>#DIV/0!</v>
      </c>
      <c r="AH6" s="40"/>
      <c r="AI6" s="40"/>
      <c r="AJ6" s="40"/>
      <c r="AK6" s="40"/>
      <c r="AL6" s="40"/>
      <c r="EM6" s="5">
        <f t="shared" si="4"/>
        <v>106.25</v>
      </c>
      <c r="EN6" s="13"/>
      <c r="EO6" s="13"/>
      <c r="EP6" s="7">
        <f>((AVERAGE(EM6,EO6)*('Summary Page'!$C$2+1))*('Summary Page'!$C$2+1))*('Summary Page'!$C$2+1)</f>
        <v>165.84519999999995</v>
      </c>
      <c r="EQ6" s="7">
        <f>((AVERAGE(EM6,EO6)*('Summary Page'!$C$3+1))*('Summary Page'!$C$3+1))*('Summary Page'!$C$3+1)</f>
        <v>207.51953125</v>
      </c>
      <c r="ER6" s="7">
        <f>((AVERAGE(EM6,EO6)*('Summary Page'!$C$4+1))*('Summary Page'!$C$4+1))*('Summary Page'!$C$4+1)</f>
        <v>183.6</v>
      </c>
      <c r="ES6" s="7">
        <v>80</v>
      </c>
      <c r="ET6" s="5">
        <f t="shared" si="5"/>
        <v>65.25</v>
      </c>
      <c r="EU6" s="13"/>
      <c r="EV6" s="13"/>
      <c r="EW6" s="7">
        <f>((AVERAGE(ET6,EV6)*('Summary Page'!$C$2+1))*('Summary Page'!$C$2+1))*('Summary Page'!$C$2+1)</f>
        <v>101.84846399999999</v>
      </c>
      <c r="EX6" s="7">
        <f>((AVERAGE(ET6,EV6)*('Summary Page'!$C$3+1))*('Summary Page'!$C$3+1))*('Summary Page'!$C$3+1)</f>
        <v>127.44140625</v>
      </c>
      <c r="EY6" s="7">
        <f>((AVERAGE(ET6,EV6)*('Summary Page'!$C$4+1))*('Summary Page'!$C$4+1))*('Summary Page'!$C$4+1)</f>
        <v>112.752</v>
      </c>
      <c r="EZ6" s="5">
        <f t="shared" si="6"/>
        <v>99</v>
      </c>
      <c r="FA6" s="13"/>
      <c r="FB6" s="13"/>
      <c r="FC6" s="7">
        <f>((AVERAGE(EZ6,FB6)*('Summary Page'!$C$2+1))*('Summary Page'!$C$2+1))*('Summary Page'!$C$2+1)</f>
        <v>154.52870399999998</v>
      </c>
      <c r="FD6" s="7">
        <f>((AVERAGE(EZ6,FB6)*('Summary Page'!$C$3+1))*('Summary Page'!$C$3+1))*('Summary Page'!$C$3+1)</f>
        <v>193.359375</v>
      </c>
      <c r="FE6" s="7">
        <f>((AVERAGE(EZ6,FB6)*('Summary Page'!$C$4+1))*('Summary Page'!$C$4+1))*('Summary Page'!$C$4+1)</f>
        <v>171.072</v>
      </c>
      <c r="FF6" s="5">
        <f t="shared" si="7"/>
        <v>72.825000000000003</v>
      </c>
      <c r="FI6" s="40"/>
      <c r="FJ6" s="7">
        <f>((AVERAGE(C6)*('Summary Page'!$C$2+1))*('Summary Page'!$C$2+1))*('Summary Page'!$C$2+1)</f>
        <v>477.63417599999991</v>
      </c>
      <c r="FK6" s="7">
        <f>((AVERAGE(C6)*('Summary Page'!$C$3+1))*('Summary Page'!$C$3+1))*('Summary Page'!$C$3+1)</f>
        <v>597.65625</v>
      </c>
      <c r="FL6" s="7">
        <f>((AVERAGE(C6)*('Summary Page'!$C$4+1))*('Summary Page'!$C$4+1))*('Summary Page'!$C$4+1)</f>
        <v>528.76799999999992</v>
      </c>
      <c r="FO6" s="40"/>
      <c r="FP6" s="7">
        <f>((AVERAGE(D6)*('Summary Page'!$C$2+1))*('Summary Page'!$C$2+1))*('Summary Page'!$C$2+1)</f>
        <v>132.67615999999998</v>
      </c>
      <c r="FQ6" s="7">
        <f>((AVERAGE(D6)*('Summary Page'!$C$3+1))*('Summary Page'!$C$3+1))*('Summary Page'!$C$3+1)</f>
        <v>166.015625</v>
      </c>
      <c r="FR6" s="7">
        <f>((AVERAGE(D6)*('Summary Page'!$C$4+1))*('Summary Page'!$C$4+1))*('Summary Page'!$C$4+1)</f>
        <v>146.88</v>
      </c>
      <c r="FU6" s="40"/>
      <c r="FV6" s="7">
        <f>((AVERAGE(E6)*('Summary Page'!$C$2+1))*('Summary Page'!$C$2+1))*('Summary Page'!$C$2+1)</f>
        <v>39.02239999999999</v>
      </c>
      <c r="FW6" s="7">
        <f>((AVERAGE(E6)*('Summary Page'!$C$3+1))*('Summary Page'!$C$3+1))*('Summary Page'!$C$3+1)</f>
        <v>48.828125</v>
      </c>
      <c r="FX6" s="7">
        <f>((AVERAGE(E6)*('Summary Page'!$C$4+1))*('Summary Page'!$C$4+1))*('Summary Page'!$C$4+1)</f>
        <v>43.199999999999996</v>
      </c>
      <c r="GA6" s="40"/>
      <c r="GB6" s="7">
        <f>((AVERAGE(F6)*('Summary Page'!$C$2+1))*('Summary Page'!$C$2+1))*('Summary Page'!$C$2+1)</f>
        <v>157.65049599999998</v>
      </c>
      <c r="GC6" s="7">
        <f>((AVERAGE(F6)*('Summary Page'!$C$3+1))*('Summary Page'!$C$3+1))*('Summary Page'!$C$3+1)</f>
        <v>197.265625</v>
      </c>
      <c r="GD6" s="7">
        <f>((AVERAGE(F6)*('Summary Page'!$C$4+1))*('Summary Page'!$C$4+1))*('Summary Page'!$C$4+1)</f>
        <v>174.52799999999996</v>
      </c>
      <c r="GG6" s="40"/>
      <c r="GH6" s="7">
        <f>((AVERAGE(M6)*('Summary Page'!$C$2+1))*('Summary Page'!$C$2+1))*('Summary Page'!$C$2+1)</f>
        <v>154.52870399999998</v>
      </c>
      <c r="GI6" s="7">
        <f>((AVERAGE(M6)*('Summary Page'!$C$3+1))*('Summary Page'!$C$3+1))*('Summary Page'!$C$3+1)</f>
        <v>193.359375</v>
      </c>
      <c r="GJ6" s="7">
        <f>((AVERAGE(M6)*('Summary Page'!$C$4+1))*('Summary Page'!$C$4+1))*('Summary Page'!$C$4+1)</f>
        <v>171.072</v>
      </c>
      <c r="GM6" s="40"/>
      <c r="GN6" s="7">
        <f>((AVERAGE(G6)*('Summary Page'!$C$2+1))*('Summary Page'!$C$2+1))*('Summary Page'!$C$2+1)</f>
        <v>118.62809599999999</v>
      </c>
      <c r="GO6" s="7">
        <f>((AVERAGE(G6)*('Summary Page'!$C$3+1))*('Summary Page'!$C$3+1))*('Summary Page'!$C$3+1)</f>
        <v>148.4375</v>
      </c>
      <c r="GP6" s="7">
        <f>((AVERAGE(G6)*('Summary Page'!$C$4+1))*('Summary Page'!$C$4+1))*('Summary Page'!$C$4+1)</f>
        <v>131.328</v>
      </c>
      <c r="GS6" s="40"/>
      <c r="GT6" s="7">
        <f>((AVERAGE(H6)*('Summary Page'!$C$2+1))*('Summary Page'!$C$2+1))*('Summary Page'!$C$2+1)</f>
        <v>92.092863999999977</v>
      </c>
      <c r="GU6" s="7">
        <f>((AVERAGE(H6)*('Summary Page'!$C$3+1))*('Summary Page'!$C$3+1))*('Summary Page'!$C$3+1)</f>
        <v>115.234375</v>
      </c>
      <c r="GV6" s="7">
        <f>((AVERAGE(H6,GS6)*('Summary Page'!$C$4+1))*('Summary Page'!$C$4+1))*('Summary Page'!$C$4+1)</f>
        <v>101.95199999999998</v>
      </c>
      <c r="GY6" s="40"/>
      <c r="GZ6" s="7">
        <f>((AVERAGE(J6)*('Summary Page'!$C$2+1))*('Summary Page'!$C$2+1))*('Summary Page'!$C$2+1)</f>
        <v>31.217919999999996</v>
      </c>
      <c r="HA6" s="7">
        <f>((AVERAGE(J6)*('Summary Page'!$C$3+1))*('Summary Page'!$C$3+1))*('Summary Page'!$C$3+1)</f>
        <v>39.0625</v>
      </c>
      <c r="HB6" s="7">
        <f>((AVERAGE(J6)*('Summary Page'!$C$4+1))*('Summary Page'!$C$4+1))*('Summary Page'!$C$4+1)</f>
        <v>34.559999999999995</v>
      </c>
      <c r="HE6" s="40"/>
      <c r="HF6" s="7">
        <f>((AVERAGE(K6)*('Summary Page'!$C$2+1))*('Summary Page'!$C$2+1))*('Summary Page'!$C$2+1)</f>
        <v>154.52870399999998</v>
      </c>
      <c r="HG6" s="7">
        <f>((AVERAGE(K6)*('Summary Page'!$C$3+1))*('Summary Page'!$C$3+1))*('Summary Page'!$C$3+1)</f>
        <v>193.359375</v>
      </c>
      <c r="HH6" s="7">
        <f>((AVERAGE(K6)*('Summary Page'!$C$4+1))*('Summary Page'!$C$4+1))*('Summary Page'!$C$4+1)</f>
        <v>171.072</v>
      </c>
      <c r="HK6" s="40"/>
      <c r="HL6" s="7" t="e">
        <f>((AVERAGE(L6,HK6)*('Summary Page'!$C$2+1))*('Summary Page'!$C$2+1))*('Summary Page'!$C$2+1)</f>
        <v>#DIV/0!</v>
      </c>
      <c r="HM6" s="7" t="e">
        <f>((AVERAGE(L6,HK6)*('Summary Page'!$C$3+1))*('Summary Page'!$C$3+1))*('Summary Page'!$C$3+1)</f>
        <v>#DIV/0!</v>
      </c>
      <c r="HN6" s="7" t="e">
        <f>((AVERAGE(L6,HK6)*('Summary Page'!$C$4+1))*('Summary Page'!$C$4+1))*('Summary Page'!$C$4+1)</f>
        <v>#DIV/0!</v>
      </c>
      <c r="HR6" s="7" t="e">
        <f>((AVERAGE(AL6,HQ6)*('Summary Page'!$C$2+1))*('Summary Page'!$C$2+1))*('Summary Page'!$C$2+1)</f>
        <v>#DIV/0!</v>
      </c>
      <c r="HS6" s="7" t="e">
        <f>((AVERAGE(AL6,HQ6)*('Summary Page'!$C$3+1))*('Summary Page'!$C$3+1))*('Summary Page'!$C$3+1)</f>
        <v>#DIV/0!</v>
      </c>
      <c r="HT6" s="7" t="e">
        <f>((AVERAGE(AL6,HQ6)*('Summary Page'!$C$4+1))*('Summary Page'!$C$4+1))*('Summary Page'!$C$4+1)</f>
        <v>#DIV/0!</v>
      </c>
      <c r="HU6" s="7">
        <v>100</v>
      </c>
      <c r="HV6" s="9"/>
    </row>
    <row r="7" spans="1:241" ht="15.75" x14ac:dyDescent="0.25">
      <c r="A7" s="20">
        <v>43402</v>
      </c>
      <c r="B7" s="80"/>
      <c r="C7" s="3">
        <v>351</v>
      </c>
      <c r="D7" s="6">
        <v>99</v>
      </c>
      <c r="E7" s="3">
        <v>28</v>
      </c>
      <c r="F7" s="6">
        <v>103</v>
      </c>
      <c r="G7" s="6">
        <v>79</v>
      </c>
      <c r="H7" s="3">
        <v>53</v>
      </c>
      <c r="I7" s="261">
        <f t="shared" si="1"/>
        <v>65.75</v>
      </c>
      <c r="J7" s="6">
        <v>39</v>
      </c>
      <c r="K7" s="3">
        <v>117</v>
      </c>
      <c r="L7" s="3"/>
      <c r="M7" s="3">
        <v>94</v>
      </c>
      <c r="N7" s="80"/>
      <c r="O7" s="6"/>
      <c r="P7" s="6"/>
      <c r="Q7" s="6"/>
      <c r="R7" s="6"/>
      <c r="S7" s="6"/>
      <c r="T7" s="6"/>
      <c r="U7" s="261" t="e">
        <f t="shared" si="2"/>
        <v>#DIV/0!</v>
      </c>
      <c r="V7" s="6"/>
      <c r="W7" s="40"/>
      <c r="X7" s="40"/>
      <c r="Y7" s="37"/>
      <c r="Z7" s="40"/>
      <c r="AA7" s="40"/>
      <c r="AB7" s="40"/>
      <c r="AC7" s="40"/>
      <c r="AD7" s="40"/>
      <c r="AE7" s="40"/>
      <c r="AF7" s="40"/>
      <c r="AG7" s="261" t="e">
        <f t="shared" si="3"/>
        <v>#DIV/0!</v>
      </c>
      <c r="AH7" s="40"/>
      <c r="AI7" s="40"/>
      <c r="AJ7" s="40"/>
      <c r="AK7" s="40"/>
      <c r="AL7" s="6"/>
      <c r="EM7" s="5">
        <f t="shared" si="4"/>
        <v>115.5</v>
      </c>
      <c r="EN7" s="13"/>
      <c r="EO7" s="13"/>
      <c r="EP7" s="7">
        <f>((AVERAGE(EM7,EO7)*('Summary Page'!$C$2+1))*('Summary Page'!$C$2+1))*('Summary Page'!$C$2+1)</f>
        <v>180.28348799999995</v>
      </c>
      <c r="EQ7" s="7">
        <f>((AVERAGE(EM7,EO7)*('Summary Page'!$C$3+1))*('Summary Page'!$C$3+1))*('Summary Page'!$C$3+1)</f>
        <v>225.5859375</v>
      </c>
      <c r="ER7" s="7">
        <f>((AVERAGE(EM7,EO7)*('Summary Page'!$C$4+1))*('Summary Page'!$C$4+1))*('Summary Page'!$C$4+1)</f>
        <v>199.58399999999997</v>
      </c>
      <c r="ES7" s="7">
        <v>80</v>
      </c>
      <c r="ET7" s="5">
        <f t="shared" si="5"/>
        <v>65.75</v>
      </c>
      <c r="EU7" s="13"/>
      <c r="EV7" s="13"/>
      <c r="EW7" s="7">
        <f>((AVERAGE(ET7,EV7)*('Summary Page'!$C$2+1))*('Summary Page'!$C$2+1))*('Summary Page'!$C$2+1)</f>
        <v>102.62891199999999</v>
      </c>
      <c r="EX7" s="7">
        <f>((AVERAGE(ET7,EV7)*('Summary Page'!$C$3+1))*('Summary Page'!$C$3+1))*('Summary Page'!$C$3+1)</f>
        <v>128.41796875</v>
      </c>
      <c r="EY7" s="7">
        <f>((AVERAGE(ET7,EV7)*('Summary Page'!$C$4+1))*('Summary Page'!$C$4+1))*('Summary Page'!$C$4+1)</f>
        <v>113.61599999999999</v>
      </c>
      <c r="EZ7" s="5">
        <f t="shared" si="6"/>
        <v>105.5</v>
      </c>
      <c r="FA7" s="13"/>
      <c r="FB7" s="13"/>
      <c r="FC7" s="7">
        <f>((AVERAGE(EZ7,FB7)*('Summary Page'!$C$2+1))*('Summary Page'!$C$2+1))*('Summary Page'!$C$2+1)</f>
        <v>164.67452799999995</v>
      </c>
      <c r="FD7" s="7">
        <f>((AVERAGE(EZ7,FB7)*('Summary Page'!$C$3+1))*('Summary Page'!$C$3+1))*('Summary Page'!$C$3+1)</f>
        <v>206.0546875</v>
      </c>
      <c r="FE7" s="7">
        <f>((AVERAGE(EZ7,FB7)*('Summary Page'!$C$4+1))*('Summary Page'!$C$4+1))*('Summary Page'!$C$4+1)</f>
        <v>182.30399999999997</v>
      </c>
      <c r="FF7" s="5">
        <f t="shared" si="7"/>
        <v>79.474999999999994</v>
      </c>
      <c r="FI7" s="6"/>
      <c r="FJ7" s="7">
        <f>((AVERAGE(C7)*('Summary Page'!$C$2+1))*('Summary Page'!$C$2+1))*('Summary Page'!$C$2+1)</f>
        <v>547.87449599999991</v>
      </c>
      <c r="FK7" s="7">
        <f>((AVERAGE(C7)*('Summary Page'!$C$3+1))*('Summary Page'!$C$3+1))*('Summary Page'!$C$3+1)</f>
        <v>685.546875</v>
      </c>
      <c r="FL7" s="7">
        <f>((AVERAGE(C7)*('Summary Page'!$C$4+1))*('Summary Page'!$C$4+1))*('Summary Page'!$C$4+1)</f>
        <v>606.52799999999991</v>
      </c>
      <c r="FO7" s="6"/>
      <c r="FP7" s="7">
        <f>((AVERAGE(D7)*('Summary Page'!$C$2+1))*('Summary Page'!$C$2+1))*('Summary Page'!$C$2+1)</f>
        <v>154.52870399999998</v>
      </c>
      <c r="FQ7" s="7">
        <f>((AVERAGE(D7)*('Summary Page'!$C$3+1))*('Summary Page'!$C$3+1))*('Summary Page'!$C$3+1)</f>
        <v>193.359375</v>
      </c>
      <c r="FR7" s="7">
        <f>((AVERAGE(D7)*('Summary Page'!$C$4+1))*('Summary Page'!$C$4+1))*('Summary Page'!$C$4+1)</f>
        <v>171.072</v>
      </c>
      <c r="FU7" s="6"/>
      <c r="FV7" s="7">
        <f>((AVERAGE(E7)*('Summary Page'!$C$2+1))*('Summary Page'!$C$2+1))*('Summary Page'!$C$2+1)</f>
        <v>43.705087999999989</v>
      </c>
      <c r="FW7" s="7">
        <f>((AVERAGE(E7)*('Summary Page'!$C$3+1))*('Summary Page'!$C$3+1))*('Summary Page'!$C$3+1)</f>
        <v>54.6875</v>
      </c>
      <c r="FX7" s="7">
        <f>((AVERAGE(E7)*('Summary Page'!$C$4+1))*('Summary Page'!$C$4+1))*('Summary Page'!$C$4+1)</f>
        <v>48.384</v>
      </c>
      <c r="GA7" s="6"/>
      <c r="GB7" s="7">
        <f>((AVERAGE(F7)*('Summary Page'!$C$2+1))*('Summary Page'!$C$2+1))*('Summary Page'!$C$2+1)</f>
        <v>160.77228799999995</v>
      </c>
      <c r="GC7" s="7">
        <f>((AVERAGE(F7)*('Summary Page'!$C$3+1))*('Summary Page'!$C$3+1))*('Summary Page'!$C$3+1)</f>
        <v>201.171875</v>
      </c>
      <c r="GD7" s="7">
        <f>((AVERAGE(F7)*('Summary Page'!$C$4+1))*('Summary Page'!$C$4+1))*('Summary Page'!$C$4+1)</f>
        <v>177.98399999999998</v>
      </c>
      <c r="GG7" s="6"/>
      <c r="GH7" s="7">
        <f>((AVERAGE(M7)*('Summary Page'!$C$2+1))*('Summary Page'!$C$2+1))*('Summary Page'!$C$2+1)</f>
        <v>146.72422399999996</v>
      </c>
      <c r="GI7" s="7">
        <f>((AVERAGE(M7)*('Summary Page'!$C$3+1))*('Summary Page'!$C$3+1))*('Summary Page'!$C$3+1)</f>
        <v>183.59375</v>
      </c>
      <c r="GJ7" s="7">
        <f>((AVERAGE(M7)*('Summary Page'!$C$4+1))*('Summary Page'!$C$4+1))*('Summary Page'!$C$4+1)</f>
        <v>162.43199999999999</v>
      </c>
      <c r="GM7" s="6"/>
      <c r="GN7" s="7">
        <f>((AVERAGE(G7)*('Summary Page'!$C$2+1))*('Summary Page'!$C$2+1))*('Summary Page'!$C$2+1)</f>
        <v>123.31078399999998</v>
      </c>
      <c r="GO7" s="7">
        <f>((AVERAGE(G7)*('Summary Page'!$C$3+1))*('Summary Page'!$C$3+1))*('Summary Page'!$C$3+1)</f>
        <v>154.296875</v>
      </c>
      <c r="GP7" s="7">
        <f>((AVERAGE(G7)*('Summary Page'!$C$4+1))*('Summary Page'!$C$4+1))*('Summary Page'!$C$4+1)</f>
        <v>136.51199999999997</v>
      </c>
      <c r="GS7" s="6"/>
      <c r="GT7" s="7">
        <f>((AVERAGE(H7)*('Summary Page'!$C$2+1))*('Summary Page'!$C$2+1))*('Summary Page'!$C$2+1)</f>
        <v>82.72748799999998</v>
      </c>
      <c r="GU7" s="7">
        <f>((AVERAGE(H7)*('Summary Page'!$C$3+1))*('Summary Page'!$C$3+1))*('Summary Page'!$C$3+1)</f>
        <v>103.515625</v>
      </c>
      <c r="GV7" s="7">
        <f>((AVERAGE(H7,GS7)*('Summary Page'!$C$4+1))*('Summary Page'!$C$4+1))*('Summary Page'!$C$4+1)</f>
        <v>91.583999999999989</v>
      </c>
      <c r="GY7" s="6"/>
      <c r="GZ7" s="7">
        <f>((AVERAGE(J7)*('Summary Page'!$C$2+1))*('Summary Page'!$C$2+1))*('Summary Page'!$C$2+1)</f>
        <v>60.874943999999985</v>
      </c>
      <c r="HA7" s="7">
        <f>((AVERAGE(J7)*('Summary Page'!$C$3+1))*('Summary Page'!$C$3+1))*('Summary Page'!$C$3+1)</f>
        <v>76.171875</v>
      </c>
      <c r="HB7" s="7">
        <f>((AVERAGE(J7)*('Summary Page'!$C$4+1))*('Summary Page'!$C$4+1))*('Summary Page'!$C$4+1)</f>
        <v>67.391999999999996</v>
      </c>
      <c r="HE7" s="40"/>
      <c r="HF7" s="7">
        <f>((AVERAGE(K7)*('Summary Page'!$C$2+1))*('Summary Page'!$C$2+1))*('Summary Page'!$C$2+1)</f>
        <v>182.62483199999997</v>
      </c>
      <c r="HG7" s="7">
        <f>((AVERAGE(K7)*('Summary Page'!$C$3+1))*('Summary Page'!$C$3+1))*('Summary Page'!$C$3+1)</f>
        <v>228.515625</v>
      </c>
      <c r="HH7" s="7">
        <f>((AVERAGE(K7)*('Summary Page'!$C$4+1))*('Summary Page'!$C$4+1))*('Summary Page'!$C$4+1)</f>
        <v>202.17599999999999</v>
      </c>
      <c r="HK7" s="40"/>
      <c r="HL7" s="7" t="e">
        <f>((AVERAGE(L7,HK7)*('Summary Page'!$C$2+1))*('Summary Page'!$C$2+1))*('Summary Page'!$C$2+1)</f>
        <v>#DIV/0!</v>
      </c>
      <c r="HM7" s="7" t="e">
        <f>((AVERAGE(L7,HK7)*('Summary Page'!$C$3+1))*('Summary Page'!$C$3+1))*('Summary Page'!$C$3+1)</f>
        <v>#DIV/0!</v>
      </c>
      <c r="HN7" s="7" t="e">
        <f>((AVERAGE(L7,HK7)*('Summary Page'!$C$4+1))*('Summary Page'!$C$4+1))*('Summary Page'!$C$4+1)</f>
        <v>#DIV/0!</v>
      </c>
      <c r="HR7" s="7" t="e">
        <f>((AVERAGE(AL7,HQ7)*('Summary Page'!$C$2+1))*('Summary Page'!$C$2+1))*('Summary Page'!$C$2+1)</f>
        <v>#DIV/0!</v>
      </c>
      <c r="HS7" s="7" t="e">
        <f>((AVERAGE(AL7,HQ7)*('Summary Page'!$C$3+1))*('Summary Page'!$C$3+1))*('Summary Page'!$C$3+1)</f>
        <v>#DIV/0!</v>
      </c>
      <c r="HT7" s="7" t="e">
        <f>((AVERAGE(AL7,HQ7)*('Summary Page'!$C$4+1))*('Summary Page'!$C$4+1))*('Summary Page'!$C$4+1)</f>
        <v>#DIV/0!</v>
      </c>
      <c r="HU7" s="7">
        <v>100</v>
      </c>
      <c r="HV7" s="9"/>
    </row>
    <row r="8" spans="1:241" ht="15.75" x14ac:dyDescent="0.25">
      <c r="A8" s="20">
        <v>43409</v>
      </c>
      <c r="B8" s="80"/>
      <c r="C8" s="64">
        <v>336</v>
      </c>
      <c r="D8" s="40">
        <v>89</v>
      </c>
      <c r="E8" s="64">
        <v>24</v>
      </c>
      <c r="F8" s="40">
        <v>105</v>
      </c>
      <c r="G8" s="40">
        <v>82</v>
      </c>
      <c r="H8" s="64">
        <v>52</v>
      </c>
      <c r="I8" s="14">
        <f t="shared" si="1"/>
        <v>65.75</v>
      </c>
      <c r="J8" s="40">
        <v>45</v>
      </c>
      <c r="K8" s="64">
        <v>114</v>
      </c>
      <c r="L8" s="64"/>
      <c r="M8" s="64">
        <v>95</v>
      </c>
      <c r="N8" s="80"/>
      <c r="O8" s="40"/>
      <c r="P8" s="40"/>
      <c r="Q8" s="40"/>
      <c r="R8" s="40"/>
      <c r="S8" s="40"/>
      <c r="T8" s="40"/>
      <c r="U8" s="14" t="e">
        <f t="shared" si="2"/>
        <v>#DIV/0!</v>
      </c>
      <c r="V8" s="40"/>
      <c r="W8" s="40"/>
      <c r="X8" s="40"/>
      <c r="Y8" s="69"/>
      <c r="Z8" s="40"/>
      <c r="AA8" s="40"/>
      <c r="AB8" s="40"/>
      <c r="AC8" s="40"/>
      <c r="AD8" s="40"/>
      <c r="AE8" s="40"/>
      <c r="AF8" s="40"/>
      <c r="AG8" s="14" t="e">
        <f t="shared" si="3"/>
        <v>#DIV/0!</v>
      </c>
      <c r="AH8" s="40"/>
      <c r="AI8" s="40"/>
      <c r="AJ8" s="40"/>
      <c r="AK8" s="40"/>
      <c r="AL8" s="40"/>
      <c r="EM8" s="5">
        <f t="shared" si="4"/>
        <v>112.125</v>
      </c>
      <c r="EN8" s="13"/>
      <c r="EO8" s="13"/>
      <c r="EP8" s="7">
        <f>((AVERAGE(EM8,EO8)*('Summary Page'!$C$2+1))*('Summary Page'!$C$2+1))*('Summary Page'!$C$2+1)</f>
        <v>175.01546399999998</v>
      </c>
      <c r="EQ8" s="7">
        <f>((AVERAGE(EM8,EO8)*('Summary Page'!$C$3+1))*('Summary Page'!$C$3+1))*('Summary Page'!$C$3+1)</f>
        <v>218.994140625</v>
      </c>
      <c r="ER8" s="7">
        <f>((AVERAGE(EM8,EO8)*('Summary Page'!$C$4+1))*('Summary Page'!$C$4+1))*('Summary Page'!$C$4+1)</f>
        <v>193.75199999999998</v>
      </c>
      <c r="ES8" s="7">
        <v>80</v>
      </c>
      <c r="ET8" s="5">
        <f t="shared" si="5"/>
        <v>65.75</v>
      </c>
      <c r="EU8" s="13"/>
      <c r="EV8" s="13"/>
      <c r="EW8" s="7">
        <f>((AVERAGE(ET8,EV8)*('Summary Page'!$C$2+1))*('Summary Page'!$C$2+1))*('Summary Page'!$C$2+1)</f>
        <v>102.62891199999999</v>
      </c>
      <c r="EX8" s="7">
        <f>((AVERAGE(ET8,EV8)*('Summary Page'!$C$3+1))*('Summary Page'!$C$3+1))*('Summary Page'!$C$3+1)</f>
        <v>128.41796875</v>
      </c>
      <c r="EY8" s="7">
        <f>((AVERAGE(ET8,EV8)*('Summary Page'!$C$4+1))*('Summary Page'!$C$4+1))*('Summary Page'!$C$4+1)</f>
        <v>113.61599999999999</v>
      </c>
      <c r="EZ8" s="5">
        <f t="shared" si="6"/>
        <v>104.5</v>
      </c>
      <c r="FA8" s="13"/>
      <c r="FB8" s="13"/>
      <c r="FC8" s="7">
        <f>((AVERAGE(EZ8,FB8)*('Summary Page'!$C$2+1))*('Summary Page'!$C$2+1))*('Summary Page'!$C$2+1)</f>
        <v>163.11363199999994</v>
      </c>
      <c r="FD8" s="7">
        <f>((AVERAGE(EZ8,FB8)*('Summary Page'!$C$3+1))*('Summary Page'!$C$3+1))*('Summary Page'!$C$3+1)</f>
        <v>204.1015625</v>
      </c>
      <c r="FE8" s="7">
        <f>((AVERAGE(EZ8,FB8)*('Summary Page'!$C$4+1))*('Summary Page'!$C$4+1))*('Summary Page'!$C$4+1)</f>
        <v>180.57599999999999</v>
      </c>
      <c r="FF8" s="5">
        <f t="shared" si="7"/>
        <v>78.575000000000003</v>
      </c>
      <c r="FI8" s="40"/>
      <c r="FJ8" s="7">
        <f>((AVERAGE(C8)*('Summary Page'!$C$2+1))*('Summary Page'!$C$2+1))*('Summary Page'!$C$2+1)</f>
        <v>524.46105599999987</v>
      </c>
      <c r="FK8" s="7">
        <f>((AVERAGE(C8)*('Summary Page'!$C$3+1))*('Summary Page'!$C$3+1))*('Summary Page'!$C$3+1)</f>
        <v>656.25</v>
      </c>
      <c r="FL8" s="7">
        <f>((AVERAGE(C8)*('Summary Page'!$C$4+1))*('Summary Page'!$C$4+1))*('Summary Page'!$C$4+1)</f>
        <v>580.60799999999995</v>
      </c>
      <c r="FO8" s="40"/>
      <c r="FP8" s="7">
        <f>((AVERAGE(D8)*('Summary Page'!$C$2+1))*('Summary Page'!$C$2+1))*('Summary Page'!$C$2+1)</f>
        <v>138.91974399999998</v>
      </c>
      <c r="FQ8" s="7">
        <f>((AVERAGE(D8)*('Summary Page'!$C$3+1))*('Summary Page'!$C$3+1))*('Summary Page'!$C$3+1)</f>
        <v>173.828125</v>
      </c>
      <c r="FR8" s="7">
        <f>((AVERAGE(D8)*('Summary Page'!$C$4+1))*('Summary Page'!$C$4+1))*('Summary Page'!$C$4+1)</f>
        <v>153.792</v>
      </c>
      <c r="FU8" s="40"/>
      <c r="FV8" s="7">
        <f>((AVERAGE(E8)*('Summary Page'!$C$2+1))*('Summary Page'!$C$2+1))*('Summary Page'!$C$2+1)</f>
        <v>37.461503999999991</v>
      </c>
      <c r="FW8" s="7">
        <f>((AVERAGE(E8)*('Summary Page'!$C$3+1))*('Summary Page'!$C$3+1))*('Summary Page'!$C$3+1)</f>
        <v>46.875</v>
      </c>
      <c r="FX8" s="7">
        <f>((AVERAGE(E8)*('Summary Page'!$C$4+1))*('Summary Page'!$C$4+1))*('Summary Page'!$C$4+1)</f>
        <v>41.471999999999994</v>
      </c>
      <c r="GA8" s="40"/>
      <c r="GB8" s="7">
        <f>((AVERAGE(F8)*('Summary Page'!$C$2+1))*('Summary Page'!$C$2+1))*('Summary Page'!$C$2+1)</f>
        <v>163.89407999999997</v>
      </c>
      <c r="GC8" s="7">
        <f>((AVERAGE(F8)*('Summary Page'!$C$3+1))*('Summary Page'!$C$3+1))*('Summary Page'!$C$3+1)</f>
        <v>205.078125</v>
      </c>
      <c r="GD8" s="7">
        <f>((AVERAGE(F8)*('Summary Page'!$C$4+1))*('Summary Page'!$C$4+1))*('Summary Page'!$C$4+1)</f>
        <v>181.43999999999997</v>
      </c>
      <c r="GG8" s="40"/>
      <c r="GH8" s="7">
        <f>((AVERAGE(M8)*('Summary Page'!$C$2+1))*('Summary Page'!$C$2+1))*('Summary Page'!$C$2+1)</f>
        <v>148.28511999999998</v>
      </c>
      <c r="GI8" s="7">
        <f>((AVERAGE(M8)*('Summary Page'!$C$3+1))*('Summary Page'!$C$3+1))*('Summary Page'!$C$3+1)</f>
        <v>185.546875</v>
      </c>
      <c r="GJ8" s="7">
        <f>((AVERAGE(M8)*('Summary Page'!$C$4+1))*('Summary Page'!$C$4+1))*('Summary Page'!$C$4+1)</f>
        <v>164.15999999999997</v>
      </c>
      <c r="GM8" s="40"/>
      <c r="GN8" s="7">
        <f>((AVERAGE(G8)*('Summary Page'!$C$2+1))*('Summary Page'!$C$2+1))*('Summary Page'!$C$2+1)</f>
        <v>127.99347199999997</v>
      </c>
      <c r="GO8" s="7">
        <f>((AVERAGE(G8)*('Summary Page'!$C$3+1))*('Summary Page'!$C$3+1))*('Summary Page'!$C$3+1)</f>
        <v>160.15625</v>
      </c>
      <c r="GP8" s="7">
        <f>((AVERAGE(G8)*('Summary Page'!$C$4+1))*('Summary Page'!$C$4+1))*('Summary Page'!$C$4+1)</f>
        <v>141.69599999999997</v>
      </c>
      <c r="GS8" s="40"/>
      <c r="GT8" s="7">
        <f>((AVERAGE(H8)*('Summary Page'!$C$2+1))*('Summary Page'!$C$2+1))*('Summary Page'!$C$2+1)</f>
        <v>81.16659199999998</v>
      </c>
      <c r="GU8" s="7">
        <f>((AVERAGE(H8)*('Summary Page'!$C$3+1))*('Summary Page'!$C$3+1))*('Summary Page'!$C$3+1)</f>
        <v>101.5625</v>
      </c>
      <c r="GV8" s="7">
        <f>((AVERAGE(H8,GS8)*('Summary Page'!$C$4+1))*('Summary Page'!$C$4+1))*('Summary Page'!$C$4+1)</f>
        <v>89.855999999999995</v>
      </c>
      <c r="GY8" s="40"/>
      <c r="GZ8" s="7">
        <f>((AVERAGE(J8)*('Summary Page'!$C$2+1))*('Summary Page'!$C$2+1))*('Summary Page'!$C$2+1)</f>
        <v>70.240319999999983</v>
      </c>
      <c r="HA8" s="7">
        <f>((AVERAGE(J8)*('Summary Page'!$C$3+1))*('Summary Page'!$C$3+1))*('Summary Page'!$C$3+1)</f>
        <v>87.890625</v>
      </c>
      <c r="HB8" s="7">
        <f>((AVERAGE(J8)*('Summary Page'!$C$4+1))*('Summary Page'!$C$4+1))*('Summary Page'!$C$4+1)</f>
        <v>77.759999999999991</v>
      </c>
      <c r="HE8" s="40"/>
      <c r="HF8" s="7">
        <f>((AVERAGE(K8)*('Summary Page'!$C$2+1))*('Summary Page'!$C$2+1))*('Summary Page'!$C$2+1)</f>
        <v>177.94214399999996</v>
      </c>
      <c r="HG8" s="7">
        <f>((AVERAGE(K8)*('Summary Page'!$C$3+1))*('Summary Page'!$C$3+1))*('Summary Page'!$C$3+1)</f>
        <v>222.65625</v>
      </c>
      <c r="HH8" s="7">
        <f>((AVERAGE(K8)*('Summary Page'!$C$4+1))*('Summary Page'!$C$4+1))*('Summary Page'!$C$4+1)</f>
        <v>196.99199999999996</v>
      </c>
      <c r="HK8" s="40"/>
      <c r="HL8" s="7" t="e">
        <f>((AVERAGE(L8,HK8)*('Summary Page'!$C$2+1))*('Summary Page'!$C$2+1))*('Summary Page'!$C$2+1)</f>
        <v>#DIV/0!</v>
      </c>
      <c r="HM8" s="7" t="e">
        <f>((AVERAGE(L8,HK8)*('Summary Page'!$C$3+1))*('Summary Page'!$C$3+1))*('Summary Page'!$C$3+1)</f>
        <v>#DIV/0!</v>
      </c>
      <c r="HN8" s="7" t="e">
        <f>((AVERAGE(L8,HK8)*('Summary Page'!$C$4+1))*('Summary Page'!$C$4+1))*('Summary Page'!$C$4+1)</f>
        <v>#DIV/0!</v>
      </c>
      <c r="HR8" s="7" t="e">
        <f>((AVERAGE(AL8,HQ8)*('Summary Page'!$C$2+1))*('Summary Page'!$C$2+1))*('Summary Page'!$C$2+1)</f>
        <v>#DIV/0!</v>
      </c>
      <c r="HS8" s="7" t="e">
        <f>((AVERAGE(AL8,HQ8)*('Summary Page'!$C$3+1))*('Summary Page'!$C$3+1))*('Summary Page'!$C$3+1)</f>
        <v>#DIV/0!</v>
      </c>
      <c r="HT8" s="7" t="e">
        <f>((AVERAGE(AL8,HQ8)*('Summary Page'!$C$4+1))*('Summary Page'!$C$4+1))*('Summary Page'!$C$4+1)</f>
        <v>#DIV/0!</v>
      </c>
      <c r="HU8" s="7">
        <v>100</v>
      </c>
      <c r="HV8" s="9"/>
    </row>
    <row r="9" spans="1:241" ht="15.75" x14ac:dyDescent="0.25">
      <c r="A9" s="20">
        <v>43423</v>
      </c>
      <c r="B9" s="80"/>
      <c r="C9" s="64">
        <v>267</v>
      </c>
      <c r="D9" s="40">
        <v>90</v>
      </c>
      <c r="E9" s="64">
        <v>38</v>
      </c>
      <c r="F9" s="40">
        <v>107</v>
      </c>
      <c r="G9" s="40">
        <v>86</v>
      </c>
      <c r="H9" s="64">
        <v>57</v>
      </c>
      <c r="I9" s="14">
        <f t="shared" si="1"/>
        <v>72</v>
      </c>
      <c r="J9" s="40">
        <v>54</v>
      </c>
      <c r="K9" s="64">
        <v>137</v>
      </c>
      <c r="L9" s="64"/>
      <c r="M9" s="64">
        <v>89</v>
      </c>
      <c r="N9" s="80"/>
      <c r="O9" s="40"/>
      <c r="P9" s="40"/>
      <c r="Q9" s="40"/>
      <c r="R9" s="40"/>
      <c r="S9" s="40"/>
      <c r="T9" s="40"/>
      <c r="U9" s="14" t="e">
        <f t="shared" si="2"/>
        <v>#DIV/0!</v>
      </c>
      <c r="V9" s="40"/>
      <c r="W9" s="40"/>
      <c r="X9" s="40"/>
      <c r="Y9" s="69"/>
      <c r="Z9" s="40"/>
      <c r="AA9" s="40"/>
      <c r="AB9" s="40"/>
      <c r="AC9" s="40"/>
      <c r="AD9" s="40"/>
      <c r="AE9" s="40"/>
      <c r="AF9" s="40"/>
      <c r="AG9" s="14" t="e">
        <f t="shared" si="3"/>
        <v>#DIV/0!</v>
      </c>
      <c r="AH9" s="40"/>
      <c r="AI9" s="40"/>
      <c r="AJ9" s="40"/>
      <c r="AK9" s="40"/>
      <c r="AL9" s="40"/>
      <c r="EM9" s="5">
        <f t="shared" si="4"/>
        <v>108.875</v>
      </c>
      <c r="EN9" s="13"/>
      <c r="EO9" s="13"/>
      <c r="EP9" s="7">
        <f>((AVERAGE(EM9,EO9)*('Summary Page'!$C$2+1))*('Summary Page'!$C$2+1))*('Summary Page'!$C$2+1)</f>
        <v>169.94255199999998</v>
      </c>
      <c r="EQ9" s="7">
        <f>((AVERAGE(EM9,EO9)*('Summary Page'!$C$3+1))*('Summary Page'!$C$3+1))*('Summary Page'!$C$3+1)</f>
        <v>212.646484375</v>
      </c>
      <c r="ER9" s="7">
        <f>((AVERAGE(EM9,EO9)*('Summary Page'!$C$4+1))*('Summary Page'!$C$4+1))*('Summary Page'!$C$4+1)</f>
        <v>188.136</v>
      </c>
      <c r="ES9" s="7">
        <v>80</v>
      </c>
      <c r="ET9" s="5">
        <f t="shared" si="5"/>
        <v>72</v>
      </c>
      <c r="EU9" s="13"/>
      <c r="EV9" s="13"/>
      <c r="EW9" s="7">
        <f>((AVERAGE(ET9,EV9)*('Summary Page'!$C$2+1))*('Summary Page'!$C$2+1))*('Summary Page'!$C$2+1)</f>
        <v>112.38451199999997</v>
      </c>
      <c r="EX9" s="7">
        <f>((AVERAGE(ET9,EV9)*('Summary Page'!$C$3+1))*('Summary Page'!$C$3+1))*('Summary Page'!$C$3+1)</f>
        <v>140.625</v>
      </c>
      <c r="EY9" s="7">
        <f>((AVERAGE(ET9,EV9)*('Summary Page'!$C$4+1))*('Summary Page'!$C$4+1))*('Summary Page'!$C$4+1)</f>
        <v>124.41599999999998</v>
      </c>
      <c r="EZ9" s="5">
        <f t="shared" si="6"/>
        <v>113</v>
      </c>
      <c r="FA9" s="13"/>
      <c r="FB9" s="13"/>
      <c r="FC9" s="7">
        <f>((AVERAGE(EZ9,FB9)*('Summary Page'!$C$2+1))*('Summary Page'!$C$2+1))*('Summary Page'!$C$2+1)</f>
        <v>176.38124799999994</v>
      </c>
      <c r="FD9" s="7">
        <f>((AVERAGE(EZ9,FB9)*('Summary Page'!$C$3+1))*('Summary Page'!$C$3+1))*('Summary Page'!$C$3+1)</f>
        <v>220.703125</v>
      </c>
      <c r="FE9" s="7">
        <f>((AVERAGE(EZ9,FB9)*('Summary Page'!$C$4+1))*('Summary Page'!$C$4+1))*('Summary Page'!$C$4+1)</f>
        <v>195.26399999999998</v>
      </c>
      <c r="FF9" s="5">
        <f t="shared" si="7"/>
        <v>86.7</v>
      </c>
      <c r="FI9" s="40"/>
      <c r="FJ9" s="7">
        <f>((AVERAGE(C9)*('Summary Page'!$C$2+1))*('Summary Page'!$C$2+1))*('Summary Page'!$C$2+1)</f>
        <v>416.75923199999988</v>
      </c>
      <c r="FK9" s="7">
        <f>((AVERAGE(C9)*('Summary Page'!$C$3+1))*('Summary Page'!$C$3+1))*('Summary Page'!$C$3+1)</f>
        <v>521.484375</v>
      </c>
      <c r="FL9" s="7">
        <f>((AVERAGE(C9)*('Summary Page'!$C$4+1))*('Summary Page'!$C$4+1))*('Summary Page'!$C$4+1)</f>
        <v>461.37599999999992</v>
      </c>
      <c r="FO9" s="40"/>
      <c r="FP9" s="7">
        <f>((AVERAGE(D9)*('Summary Page'!$C$2+1))*('Summary Page'!$C$2+1))*('Summary Page'!$C$2+1)</f>
        <v>140.48063999999997</v>
      </c>
      <c r="FQ9" s="7">
        <f>((AVERAGE(D9)*('Summary Page'!$C$3+1))*('Summary Page'!$C$3+1))*('Summary Page'!$C$3+1)</f>
        <v>175.78125</v>
      </c>
      <c r="FR9" s="7">
        <f>((AVERAGE(D9)*('Summary Page'!$C$4+1))*('Summary Page'!$C$4+1))*('Summary Page'!$C$4+1)</f>
        <v>155.51999999999998</v>
      </c>
      <c r="FU9" s="40"/>
      <c r="FV9" s="7">
        <f>((AVERAGE(E9)*('Summary Page'!$C$2+1))*('Summary Page'!$C$2+1))*('Summary Page'!$C$2+1)</f>
        <v>59.314047999999993</v>
      </c>
      <c r="FW9" s="7">
        <f>((AVERAGE(E9)*('Summary Page'!$C$3+1))*('Summary Page'!$C$3+1))*('Summary Page'!$C$3+1)</f>
        <v>74.21875</v>
      </c>
      <c r="FX9" s="7">
        <f>((AVERAGE(E9)*('Summary Page'!$C$4+1))*('Summary Page'!$C$4+1))*('Summary Page'!$C$4+1)</f>
        <v>65.664000000000001</v>
      </c>
      <c r="GA9" s="40"/>
      <c r="GB9" s="7">
        <f>((AVERAGE(F9)*('Summary Page'!$C$2+1))*('Summary Page'!$C$2+1))*('Summary Page'!$C$2+1)</f>
        <v>167.01587199999997</v>
      </c>
      <c r="GC9" s="7">
        <f>((AVERAGE(F9)*('Summary Page'!$C$3+1))*('Summary Page'!$C$3+1))*('Summary Page'!$C$3+1)</f>
        <v>208.984375</v>
      </c>
      <c r="GD9" s="7">
        <f>((AVERAGE(F9)*('Summary Page'!$C$4+1))*('Summary Page'!$C$4+1))*('Summary Page'!$C$4+1)</f>
        <v>184.89600000000002</v>
      </c>
      <c r="GG9" s="40"/>
      <c r="GH9" s="7">
        <f>((AVERAGE(M9)*('Summary Page'!$C$2+1))*('Summary Page'!$C$2+1))*('Summary Page'!$C$2+1)</f>
        <v>138.91974399999998</v>
      </c>
      <c r="GI9" s="7">
        <f>((AVERAGE(M9)*('Summary Page'!$C$3+1))*('Summary Page'!$C$3+1))*('Summary Page'!$C$3+1)</f>
        <v>173.828125</v>
      </c>
      <c r="GJ9" s="7">
        <f>((AVERAGE(M9)*('Summary Page'!$C$4+1))*('Summary Page'!$C$4+1))*('Summary Page'!$C$4+1)</f>
        <v>153.792</v>
      </c>
      <c r="GM9" s="40"/>
      <c r="GN9" s="7">
        <f>((AVERAGE(G9)*('Summary Page'!$C$2+1))*('Summary Page'!$C$2+1))*('Summary Page'!$C$2+1)</f>
        <v>134.23705599999997</v>
      </c>
      <c r="GO9" s="7">
        <f>((AVERAGE(G9)*('Summary Page'!$C$3+1))*('Summary Page'!$C$3+1))*('Summary Page'!$C$3+1)</f>
        <v>167.96875</v>
      </c>
      <c r="GP9" s="7">
        <f>((AVERAGE(G9)*('Summary Page'!$C$4+1))*('Summary Page'!$C$4+1))*('Summary Page'!$C$4+1)</f>
        <v>148.608</v>
      </c>
      <c r="GS9" s="40"/>
      <c r="GT9" s="7">
        <f>((AVERAGE(H9)*('Summary Page'!$C$2+1))*('Summary Page'!$C$2+1))*('Summary Page'!$C$2+1)</f>
        <v>88.971071999999978</v>
      </c>
      <c r="GU9" s="7">
        <f>((AVERAGE(H9)*('Summary Page'!$C$3+1))*('Summary Page'!$C$3+1))*('Summary Page'!$C$3+1)</f>
        <v>111.328125</v>
      </c>
      <c r="GV9" s="7">
        <f>((AVERAGE(H9,GS9)*('Summary Page'!$C$4+1))*('Summary Page'!$C$4+1))*('Summary Page'!$C$4+1)</f>
        <v>98.495999999999981</v>
      </c>
      <c r="GY9" s="40"/>
      <c r="GZ9" s="7">
        <f>((AVERAGE(J9)*('Summary Page'!$C$2+1))*('Summary Page'!$C$2+1))*('Summary Page'!$C$2+1)</f>
        <v>84.288383999999979</v>
      </c>
      <c r="HA9" s="7">
        <f>((AVERAGE(J9)*('Summary Page'!$C$3+1))*('Summary Page'!$C$3+1))*('Summary Page'!$C$3+1)</f>
        <v>105.46875</v>
      </c>
      <c r="HB9" s="7">
        <f>((AVERAGE(J9)*('Summary Page'!$C$4+1))*('Summary Page'!$C$4+1))*('Summary Page'!$C$4+1)</f>
        <v>93.311999999999983</v>
      </c>
      <c r="HE9" s="40"/>
      <c r="HF9" s="7">
        <f>((AVERAGE(K9)*('Summary Page'!$C$2+1))*('Summary Page'!$C$2+1))*('Summary Page'!$C$2+1)</f>
        <v>213.84275199999996</v>
      </c>
      <c r="HG9" s="7">
        <f>((AVERAGE(K9)*('Summary Page'!$C$3+1))*('Summary Page'!$C$3+1))*('Summary Page'!$C$3+1)</f>
        <v>267.578125</v>
      </c>
      <c r="HH9" s="7">
        <f>((AVERAGE(K9)*('Summary Page'!$C$4+1))*('Summary Page'!$C$4+1))*('Summary Page'!$C$4+1)</f>
        <v>236.73599999999999</v>
      </c>
      <c r="HK9" s="40"/>
      <c r="HL9" s="7" t="e">
        <f>((AVERAGE(L9,HK9)*('Summary Page'!$C$2+1))*('Summary Page'!$C$2+1))*('Summary Page'!$C$2+1)</f>
        <v>#DIV/0!</v>
      </c>
      <c r="HM9" s="7" t="e">
        <f>((AVERAGE(L9,HK9)*('Summary Page'!$C$3+1))*('Summary Page'!$C$3+1))*('Summary Page'!$C$3+1)</f>
        <v>#DIV/0!</v>
      </c>
      <c r="HN9" s="7" t="e">
        <f>((AVERAGE(L9,HK9)*('Summary Page'!$C$4+1))*('Summary Page'!$C$4+1))*('Summary Page'!$C$4+1)</f>
        <v>#DIV/0!</v>
      </c>
      <c r="HR9" s="7" t="e">
        <f>((AVERAGE(AL9,HQ9)*('Summary Page'!$C$2+1))*('Summary Page'!$C$2+1))*('Summary Page'!$C$2+1)</f>
        <v>#DIV/0!</v>
      </c>
      <c r="HS9" s="7" t="e">
        <f>((AVERAGE(AL9,HQ9)*('Summary Page'!$C$3+1))*('Summary Page'!$C$3+1))*('Summary Page'!$C$3+1)</f>
        <v>#DIV/0!</v>
      </c>
      <c r="HT9" s="7" t="e">
        <f>((AVERAGE(AL9,HQ9)*('Summary Page'!$C$4+1))*('Summary Page'!$C$4+1))*('Summary Page'!$C$4+1)</f>
        <v>#DIV/0!</v>
      </c>
      <c r="HU9" s="7">
        <v>100</v>
      </c>
      <c r="HV9" s="9"/>
    </row>
    <row r="10" spans="1:241" ht="15.75" x14ac:dyDescent="0.25">
      <c r="A10" s="20">
        <v>43437</v>
      </c>
      <c r="B10" s="80"/>
      <c r="C10" s="64">
        <v>256</v>
      </c>
      <c r="D10" s="40">
        <v>79</v>
      </c>
      <c r="E10" s="64">
        <v>38</v>
      </c>
      <c r="F10" s="40">
        <v>105</v>
      </c>
      <c r="G10" s="40">
        <v>86</v>
      </c>
      <c r="H10" s="64">
        <v>56</v>
      </c>
      <c r="I10" s="14">
        <f t="shared" si="1"/>
        <v>71.25</v>
      </c>
      <c r="J10" s="40">
        <v>58</v>
      </c>
      <c r="K10" s="64">
        <v>141</v>
      </c>
      <c r="L10" s="64"/>
      <c r="M10" s="64">
        <v>93</v>
      </c>
      <c r="N10" s="80"/>
      <c r="O10" s="40"/>
      <c r="P10" s="40"/>
      <c r="Q10" s="40"/>
      <c r="R10" s="40"/>
      <c r="S10" s="40"/>
      <c r="T10" s="40"/>
      <c r="U10" s="14" t="e">
        <f t="shared" si="2"/>
        <v>#DIV/0!</v>
      </c>
      <c r="V10" s="40"/>
      <c r="W10" s="40"/>
      <c r="X10" s="40"/>
      <c r="Y10" s="69"/>
      <c r="Z10" s="40"/>
      <c r="AA10" s="40"/>
      <c r="AB10" s="40"/>
      <c r="AC10" s="40"/>
      <c r="AD10" s="40"/>
      <c r="AE10" s="40"/>
      <c r="AF10" s="40"/>
      <c r="AG10" s="14" t="e">
        <f t="shared" si="3"/>
        <v>#DIV/0!</v>
      </c>
      <c r="AH10" s="40"/>
      <c r="AI10" s="40"/>
      <c r="AJ10" s="40"/>
      <c r="AK10" s="40"/>
      <c r="AL10" s="40"/>
      <c r="EM10" s="5">
        <f t="shared" si="4"/>
        <v>106.75</v>
      </c>
      <c r="EN10" s="13"/>
      <c r="EO10" s="13"/>
      <c r="EP10" s="30">
        <f>((AVERAGE(EM5:EM10)*('Summary Page'!$C$2+1))*('Summary Page'!$C$2+1))*('Summary Page'!$C$2+1)</f>
        <v>166.23542399999994</v>
      </c>
      <c r="EQ10" s="7">
        <f>((AVERAGE(EM5:EM10)*('Summary Page'!$C$3+1))*('Summary Page'!$C$3+1))*('Summary Page'!$C$3+1)</f>
        <v>208.0078125</v>
      </c>
      <c r="ER10" s="7">
        <f>((AVERAGE(EM5:EM10)*('Summary Page'!$C$4+1))*('Summary Page'!$C$4+1))*('Summary Page'!$C$4+1)</f>
        <v>184.03199999999998</v>
      </c>
      <c r="ES10" s="7">
        <v>80</v>
      </c>
      <c r="ET10" s="5">
        <f t="shared" si="5"/>
        <v>71.25</v>
      </c>
      <c r="EU10" s="13"/>
      <c r="EV10" s="13"/>
      <c r="EW10" s="7">
        <f>((AVERAGE(ET5:ET10)*('Summary Page'!$C$2+1))*('Summary Page'!$C$2+1))*('Summary Page'!$C$2+1)</f>
        <v>104.31988266666664</v>
      </c>
      <c r="EX10" s="7">
        <f>((AVERAGE(ET5:ET10)*('Summary Page'!$C$3+1))*('Summary Page'!$C$3+1))*('Summary Page'!$C$3+1)</f>
        <v>130.53385416666663</v>
      </c>
      <c r="EY10" s="7">
        <f>((AVERAGE(ET5:ET10)*('Summary Page'!$C$4+1))*('Summary Page'!$C$4+1))*('Summary Page'!$C$4+1)</f>
        <v>115.48799999999997</v>
      </c>
      <c r="EZ10" s="5">
        <f t="shared" si="6"/>
        <v>117</v>
      </c>
      <c r="FA10" s="13"/>
      <c r="FB10" s="13"/>
      <c r="FC10" s="7">
        <f>((AVERAGE(EZ5:EZ10)*('Summary Page'!$C$2+1))*('Summary Page'!$C$2+1))*('Summary Page'!$C$2+1)</f>
        <v>165.06475199999997</v>
      </c>
      <c r="FD10" s="7">
        <f>((AVERAGE(EZ5:EZ10)*('Summary Page'!$C$3+1))*('Summary Page'!$C$3+1))*('Summary Page'!$C$3+1)</f>
        <v>206.54296875</v>
      </c>
      <c r="FE10" s="7">
        <f>((AVERAGE(EZ5:EZ10)*('Summary Page'!$C$4+1))*('Summary Page'!$C$4+1))*('Summary Page'!$C$4+1)</f>
        <v>182.73599999999996</v>
      </c>
      <c r="FF10" s="5">
        <f t="shared" si="7"/>
        <v>86.825000000000003</v>
      </c>
      <c r="FI10" s="40"/>
      <c r="FJ10" s="7">
        <f>((AVERAGE(C5:C10)*('Summary Page'!$C$2+1))*('Summary Page'!$C$2+1))*('Summary Page'!$C$2+1)</f>
        <v>446.41625599999992</v>
      </c>
      <c r="FK10" s="7">
        <f>((AVERAGE(C5:C10)*('Summary Page'!$C$3+1))*('Summary Page'!$C$3+1))*('Summary Page'!$C$3+1)</f>
        <v>558.59375</v>
      </c>
      <c r="FL10" s="7">
        <f>((AVERAGE(C5:C10)*('Summary Page'!$C$4+1))*('Summary Page'!$C$4+1))*('Summary Page'!$C$4+1)</f>
        <v>494.20799999999997</v>
      </c>
      <c r="FO10" s="40"/>
      <c r="FP10" s="7">
        <f>((AVERAGE(D5:D10)*('Summary Page'!$C$2+1))*('Summary Page'!$C$2+1))*('Summary Page'!$C$2+1)</f>
        <v>136.0581013333333</v>
      </c>
      <c r="FQ10" s="7">
        <f>((AVERAGE(D5:D10)*('Summary Page'!$C$3+1))*('Summary Page'!$C$3+1))*('Summary Page'!$C$3+1)</f>
        <v>170.24739583333337</v>
      </c>
      <c r="FR10" s="7">
        <f>((AVERAGE(D5:D10)*('Summary Page'!$C$4+1))*('Summary Page'!$C$4+1))*('Summary Page'!$C$4+1)</f>
        <v>150.624</v>
      </c>
      <c r="FU10" s="40"/>
      <c r="FV10" s="7">
        <f>((AVERAGE(E5:E10)*('Summary Page'!$C$2+1))*('Summary Page'!$C$2+1))*('Summary Page'!$C$2+1)</f>
        <v>45.265983999999996</v>
      </c>
      <c r="FW10" s="7">
        <f>((AVERAGE(E5:E10)*('Summary Page'!$C$3+1))*('Summary Page'!$C$3+1))*('Summary Page'!$C$3+1)</f>
        <v>56.640625</v>
      </c>
      <c r="FX10" s="7">
        <f>((AVERAGE(E5:E10)*('Summary Page'!$C$4+1))*('Summary Page'!$C$4+1))*('Summary Page'!$C$4+1)</f>
        <v>50.111999999999995</v>
      </c>
      <c r="GA10" s="40"/>
      <c r="GB10" s="7">
        <f>((AVERAGE(F5:F10)*('Summary Page'!$C$2+1))*('Summary Page'!$C$2+1))*('Summary Page'!$C$2+1)</f>
        <v>158.95124266666664</v>
      </c>
      <c r="GC10" s="7">
        <f>((AVERAGE(F5:F10)*('Summary Page'!$C$3+1))*('Summary Page'!$C$3+1))*('Summary Page'!$C$3+1)</f>
        <v>198.89322916666663</v>
      </c>
      <c r="GD10" s="7">
        <f>((AVERAGE(F5:F10)*('Summary Page'!$C$4+1))*('Summary Page'!$C$4+1))*('Summary Page'!$C$4+1)</f>
        <v>175.96799999999999</v>
      </c>
      <c r="GG10" s="40"/>
      <c r="GH10" s="7">
        <f>((AVERAGE(M5:M10)*('Summary Page'!$C$2+1))*('Summary Page'!$C$2+1))*('Summary Page'!$C$2+1)</f>
        <v>146.98437333333331</v>
      </c>
      <c r="GI10" s="7">
        <f>((AVERAGE(M5:M10)*('Summary Page'!$C$3+1))*('Summary Page'!$C$3+1))*('Summary Page'!$C$3+1)</f>
        <v>183.91927083333337</v>
      </c>
      <c r="GJ10" s="7">
        <f>((AVERAGE(M5:M10)*('Summary Page'!$C$4+1))*('Summary Page'!$C$4+1))*('Summary Page'!$C$4+1)</f>
        <v>162.72</v>
      </c>
      <c r="GM10" s="40"/>
      <c r="GN10" s="7">
        <f>((AVERAGE(G5:G10)*('Summary Page'!$C$2+1))*('Summary Page'!$C$2+1))*('Summary Page'!$C$2+1)</f>
        <v>126.17242666666662</v>
      </c>
      <c r="GO10" s="7">
        <f>((AVERAGE(G5:G10)*('Summary Page'!$C$3+1))*('Summary Page'!$C$3+1))*('Summary Page'!$C$3+1)</f>
        <v>157.87760416666663</v>
      </c>
      <c r="GP10" s="7">
        <f>((AVERAGE(G5:G10)*('Summary Page'!$C$4+1))*('Summary Page'!$C$4+1))*('Summary Page'!$C$4+1)</f>
        <v>139.67999999999998</v>
      </c>
      <c r="GS10" s="40"/>
      <c r="GT10" s="7">
        <f>((AVERAGE(H5:H10)*('Summary Page'!$C$2+1))*('Summary Page'!$C$2+1))*('Summary Page'!$C$2+1)</f>
        <v>86.889877333333317</v>
      </c>
      <c r="GU10" s="7">
        <f>((AVERAGE(H5:H10)*('Summary Page'!$C$3+1))*('Summary Page'!$C$3+1))*('Summary Page'!$C$3+1)</f>
        <v>108.72395833333331</v>
      </c>
      <c r="GV10" s="7">
        <f>((AVERAGE(H5:H10)*('Summary Page'!$C$4+1))*('Summary Page'!$C$4+1))*('Summary Page'!$C$4+1)</f>
        <v>96.191999999999993</v>
      </c>
      <c r="GY10" s="40"/>
      <c r="GZ10" s="7">
        <f>((AVERAGE(J5:J10)*('Summary Page'!$C$2+1))*('Summary Page'!$C$2+1))*('Summary Page'!$C$2+1)</f>
        <v>60.094495999999985</v>
      </c>
      <c r="HA10" s="7">
        <f>((AVERAGE(J5:J10)*('Summary Page'!$C$3+1))*('Summary Page'!$C$3+1))*('Summary Page'!$C$3+1)</f>
        <v>75.1953125</v>
      </c>
      <c r="HB10" s="7">
        <f>((AVERAGE(J5:J10)*('Summary Page'!$C$4+1))*('Summary Page'!$C$4+1))*('Summary Page'!$C$4+1)</f>
        <v>66.527999999999992</v>
      </c>
      <c r="HE10" s="40"/>
      <c r="HF10" s="7">
        <f>((AVERAGE(K5:K10)*('Summary Page'!$C$2+1))*('Summary Page'!$C$2+1))*('Summary Page'!$C$2+1)</f>
        <v>183.14513066666663</v>
      </c>
      <c r="HG10" s="7">
        <f>((AVERAGE(K5:K10)*('Summary Page'!$C$3+1))*('Summary Page'!$C$3+1))*('Summary Page'!$C$3+1)</f>
        <v>229.16666666666663</v>
      </c>
      <c r="HH10" s="7">
        <f>((AVERAGE(K5:K10)*('Summary Page'!$C$4+1))*('Summary Page'!$C$4+1))*('Summary Page'!$C$4+1)</f>
        <v>202.75199999999998</v>
      </c>
      <c r="HK10" s="40"/>
      <c r="HL10" s="7" t="e">
        <f>((AVERAGE(L5:L10)*('Summary Page'!$C$2+1))*('Summary Page'!$C$2+1))*('Summary Page'!$C$2+1)</f>
        <v>#DIV/0!</v>
      </c>
      <c r="HM10" s="7" t="e">
        <f>((AVERAGE(L5:L10)*('Summary Page'!$C$3+1))*('Summary Page'!$C$3+1))*('Summary Page'!$C$3+1)</f>
        <v>#DIV/0!</v>
      </c>
      <c r="HN10" s="7" t="e">
        <f>((AVERAGE(L5:L10)*('Summary Page'!$C$4+1))*('Summary Page'!$C$4+1))*('Summary Page'!$C$4+1)</f>
        <v>#DIV/0!</v>
      </c>
      <c r="HR10" s="7" t="e">
        <f>((AVERAGE(AL5:AL10)*('Summary Page'!$C$2+1))*('Summary Page'!$C$2+1))*('Summary Page'!$C$2+1)</f>
        <v>#DIV/0!</v>
      </c>
      <c r="HS10" s="7" t="e">
        <f>((AVERAGE(AL5:AL10)*('Summary Page'!$C$3+1))*('Summary Page'!$C$3+1))*('Summary Page'!$C$3+1)</f>
        <v>#DIV/0!</v>
      </c>
      <c r="HT10" s="7" t="e">
        <f>((AVERAGE(AL5:AL10)*('Summary Page'!$C$4+1))*('Summary Page'!$C$4+1))*('Summary Page'!$C$4+1)</f>
        <v>#DIV/0!</v>
      </c>
      <c r="HU10" s="7">
        <v>100</v>
      </c>
      <c r="HV10" s="9"/>
    </row>
    <row r="11" spans="1:241" ht="15.75" x14ac:dyDescent="0.25">
      <c r="A11" s="20">
        <v>43451</v>
      </c>
      <c r="B11" s="80"/>
      <c r="C11" s="64">
        <v>131</v>
      </c>
      <c r="D11" s="40">
        <v>76</v>
      </c>
      <c r="E11" s="64">
        <v>39</v>
      </c>
      <c r="F11" s="40">
        <v>106</v>
      </c>
      <c r="G11" s="40">
        <v>85</v>
      </c>
      <c r="H11" s="64">
        <v>57</v>
      </c>
      <c r="I11" s="14">
        <f t="shared" si="1"/>
        <v>71.75</v>
      </c>
      <c r="J11" s="40">
        <v>55</v>
      </c>
      <c r="K11" s="64">
        <v>148</v>
      </c>
      <c r="L11" s="64"/>
      <c r="M11" s="64">
        <v>94</v>
      </c>
      <c r="N11" s="80"/>
      <c r="O11" s="40"/>
      <c r="P11" s="40"/>
      <c r="Q11" s="40"/>
      <c r="R11" s="40"/>
      <c r="S11" s="40"/>
      <c r="T11" s="40"/>
      <c r="U11" s="14" t="e">
        <f t="shared" si="2"/>
        <v>#DIV/0!</v>
      </c>
      <c r="V11" s="40"/>
      <c r="W11" s="40"/>
      <c r="X11" s="40"/>
      <c r="Y11" s="69"/>
      <c r="Z11" s="40"/>
      <c r="AA11" s="40"/>
      <c r="AB11" s="40"/>
      <c r="AC11" s="40"/>
      <c r="AD11" s="40"/>
      <c r="AE11" s="40"/>
      <c r="AF11" s="40"/>
      <c r="AG11" s="14" t="e">
        <f t="shared" si="3"/>
        <v>#DIV/0!</v>
      </c>
      <c r="AH11" s="40"/>
      <c r="AI11" s="40"/>
      <c r="AJ11" s="40"/>
      <c r="AK11" s="40"/>
      <c r="AL11" s="40"/>
      <c r="EM11" s="5">
        <f t="shared" si="4"/>
        <v>92</v>
      </c>
      <c r="EN11" s="13"/>
      <c r="EO11" s="13"/>
      <c r="EP11" s="30">
        <f>((AVERAGE(EM6:EM11)*('Summary Page'!$C$2+1))*('Summary Page'!$C$2+1))*('Summary Page'!$C$2+1)</f>
        <v>166.8857973333333</v>
      </c>
      <c r="EQ11" s="7">
        <f>((AVERAGE(EM6:EM11)*('Summary Page'!$C$3+1))*('Summary Page'!$C$3+1))*('Summary Page'!$C$3+1)</f>
        <v>208.82161458333337</v>
      </c>
      <c r="ER11" s="7">
        <f>((AVERAGE(EM6:EM11)*('Summary Page'!$C$4+1))*('Summary Page'!$C$4+1))*('Summary Page'!$C$4+1)</f>
        <v>184.75200000000001</v>
      </c>
      <c r="ES11" s="7">
        <v>80</v>
      </c>
      <c r="ET11" s="5">
        <f t="shared" si="5"/>
        <v>71.75</v>
      </c>
      <c r="EU11" s="13"/>
      <c r="EV11" s="13"/>
      <c r="EW11" s="7">
        <f>((AVERAGE(ET6:ET11)*('Summary Page'!$C$2+1))*('Summary Page'!$C$2+1))*('Summary Page'!$C$2+1)</f>
        <v>107.11648799999996</v>
      </c>
      <c r="EX11" s="7">
        <f>((AVERAGE(ET6:ET11)*('Summary Page'!$C$3+1))*('Summary Page'!$C$3+1))*('Summary Page'!$C$3+1)</f>
        <v>134.033203125</v>
      </c>
      <c r="EY11" s="7">
        <f>((AVERAGE(ET6:ET11)*('Summary Page'!$C$4+1))*('Summary Page'!$C$4+1))*('Summary Page'!$C$4+1)</f>
        <v>118.58399999999999</v>
      </c>
      <c r="EZ11" s="5">
        <f t="shared" si="6"/>
        <v>121</v>
      </c>
      <c r="FA11" s="13"/>
      <c r="FB11" s="13"/>
      <c r="FC11" s="7">
        <f>((AVERAGE(EZ6:EZ11)*('Summary Page'!$C$2+1))*('Summary Page'!$C$2+1))*('Summary Page'!$C$2+1)</f>
        <v>171.69855999999999</v>
      </c>
      <c r="FD11" s="7">
        <f>((AVERAGE(EZ6:EZ11)*('Summary Page'!$C$3+1))*('Summary Page'!$C$3+1))*('Summary Page'!$C$3+1)</f>
        <v>214.84375</v>
      </c>
      <c r="FE11" s="7">
        <f>((AVERAGE(EZ6:EZ11)*('Summary Page'!$C$4+1))*('Summary Page'!$C$4+1))*('Summary Page'!$C$4+1)</f>
        <v>190.08</v>
      </c>
      <c r="FF11" s="5">
        <f t="shared" si="7"/>
        <v>87.974999999999994</v>
      </c>
      <c r="FI11" s="40"/>
      <c r="FJ11" s="7">
        <f>((AVERAGE(C6:C11)*('Summary Page'!$C$2+1))*('Summary Page'!$C$2+1))*('Summary Page'!$C$2+1)</f>
        <v>428.46595199999985</v>
      </c>
      <c r="FK11" s="7">
        <f>((AVERAGE(C6:C11)*('Summary Page'!$C$3+1))*('Summary Page'!$C$3+1))*('Summary Page'!$C$3+1)</f>
        <v>536.1328125</v>
      </c>
      <c r="FL11" s="7">
        <f>((AVERAGE(C6:C11)*('Summary Page'!$C$4+1))*('Summary Page'!$C$4+1))*('Summary Page'!$C$4+1)</f>
        <v>474.33599999999996</v>
      </c>
      <c r="FO11" s="40"/>
      <c r="FP11" s="7">
        <f>((AVERAGE(D6:D11)*('Summary Page'!$C$2+1))*('Summary Page'!$C$2+1))*('Summary Page'!$C$2+1)</f>
        <v>134.75735466666666</v>
      </c>
      <c r="FQ11" s="7">
        <f>((AVERAGE(D6:D11)*('Summary Page'!$C$3+1))*('Summary Page'!$C$3+1))*('Summary Page'!$C$3+1)</f>
        <v>168.61979166666663</v>
      </c>
      <c r="FR11" s="7">
        <f>((AVERAGE(D6:D11)*('Summary Page'!$C$4+1))*('Summary Page'!$C$4+1))*('Summary Page'!$C$4+1)</f>
        <v>149.184</v>
      </c>
      <c r="FU11" s="40"/>
      <c r="FV11" s="7">
        <f>((AVERAGE(E6:E11)*('Summary Page'!$C$2+1))*('Summary Page'!$C$2+1))*('Summary Page'!$C$2+1)</f>
        <v>49.948671999999995</v>
      </c>
      <c r="FW11" s="7">
        <f>((AVERAGE(E6:E11)*('Summary Page'!$C$3+1))*('Summary Page'!$C$3+1))*('Summary Page'!$C$3+1)</f>
        <v>62.5</v>
      </c>
      <c r="FX11" s="7">
        <f>((AVERAGE(E6:E11)*('Summary Page'!$C$4+1))*('Summary Page'!$C$4+1))*('Summary Page'!$C$4+1)</f>
        <v>55.295999999999999</v>
      </c>
      <c r="GA11" s="40"/>
      <c r="GB11" s="7">
        <f>((AVERAGE(F6:F11)*('Summary Page'!$C$2+1))*('Summary Page'!$C$2+1))*('Summary Page'!$C$2+1)</f>
        <v>163.11363199999994</v>
      </c>
      <c r="GC11" s="7">
        <f>((AVERAGE(F6:F11)*('Summary Page'!$C$3+1))*('Summary Page'!$C$3+1))*('Summary Page'!$C$3+1)</f>
        <v>204.1015625</v>
      </c>
      <c r="GD11" s="7">
        <f>((AVERAGE(F6:F11)*('Summary Page'!$C$4+1))*('Summary Page'!$C$4+1))*('Summary Page'!$C$4+1)</f>
        <v>180.57599999999999</v>
      </c>
      <c r="GG11" s="40"/>
      <c r="GH11" s="7">
        <f>((AVERAGE(M6:M11)*('Summary Page'!$C$2+1))*('Summary Page'!$C$2+1))*('Summary Page'!$C$2+1)</f>
        <v>146.72422399999996</v>
      </c>
      <c r="GI11" s="7">
        <f>((AVERAGE(M6:M11)*('Summary Page'!$C$3+1))*('Summary Page'!$C$3+1))*('Summary Page'!$C$3+1)</f>
        <v>183.59375</v>
      </c>
      <c r="GJ11" s="7">
        <f>((AVERAGE(M6:M11)*('Summary Page'!$C$4+1))*('Summary Page'!$C$4+1))*('Summary Page'!$C$4+1)</f>
        <v>162.43199999999999</v>
      </c>
      <c r="GM11" s="40"/>
      <c r="GN11" s="7">
        <f>((AVERAGE(G6:G11)*('Summary Page'!$C$2+1))*('Summary Page'!$C$2+1))*('Summary Page'!$C$2+1)</f>
        <v>128.51377066666663</v>
      </c>
      <c r="GO11" s="7">
        <f>((AVERAGE(G6:G11)*('Summary Page'!$C$3+1))*('Summary Page'!$C$3+1))*('Summary Page'!$C$3+1)</f>
        <v>160.80729166666663</v>
      </c>
      <c r="GP11" s="7">
        <f>((AVERAGE(G6:G11)*('Summary Page'!$C$4+1))*('Summary Page'!$C$4+1))*('Summary Page'!$C$4+1)</f>
        <v>142.27199999999999</v>
      </c>
      <c r="GS11" s="40"/>
      <c r="GT11" s="7">
        <f>((AVERAGE(H6:H11)*('Summary Page'!$C$2+1))*('Summary Page'!$C$2+1))*('Summary Page'!$C$2+1)</f>
        <v>86.889877333333317</v>
      </c>
      <c r="GU11" s="7">
        <f>((AVERAGE(H6:H11)*('Summary Page'!$C$3+1))*('Summary Page'!$C$3+1))*('Summary Page'!$C$3+1)</f>
        <v>108.72395833333331</v>
      </c>
      <c r="GV11" s="7">
        <f>((AVERAGE(H6:H11)*('Summary Page'!$C$4+1))*('Summary Page'!$C$4+1))*('Summary Page'!$C$4+1)</f>
        <v>96.191999999999993</v>
      </c>
      <c r="GY11" s="40"/>
      <c r="GZ11" s="7">
        <f>((AVERAGE(J6:J11)*('Summary Page'!$C$2+1))*('Summary Page'!$C$2+1))*('Summary Page'!$C$2+1)</f>
        <v>70.500469333333314</v>
      </c>
      <c r="HA11" s="7">
        <f>((AVERAGE(J6:J11)*('Summary Page'!$C$3+1))*('Summary Page'!$C$3+1))*('Summary Page'!$C$3+1)</f>
        <v>88.216145833333314</v>
      </c>
      <c r="HB11" s="7">
        <f>((AVERAGE(J6:J11)*('Summary Page'!$C$4+1))*('Summary Page'!$C$4+1))*('Summary Page'!$C$4+1)</f>
        <v>78.047999999999988</v>
      </c>
      <c r="HE11" s="40"/>
      <c r="HF11" s="7">
        <f>((AVERAGE(K6:K11)*('Summary Page'!$C$2+1))*('Summary Page'!$C$2+1))*('Summary Page'!$C$2+1)</f>
        <v>196.67289599999995</v>
      </c>
      <c r="HG11" s="7">
        <f>((AVERAGE(K6:K11)*('Summary Page'!$C$3+1))*('Summary Page'!$C$3+1))*('Summary Page'!$C$3+1)</f>
        <v>246.09375</v>
      </c>
      <c r="HH11" s="7">
        <f>((AVERAGE(K6:K11)*('Summary Page'!$C$4+1))*('Summary Page'!$C$4+1))*('Summary Page'!$C$4+1)</f>
        <v>217.72799999999995</v>
      </c>
      <c r="HK11" s="40"/>
      <c r="HL11" s="7" t="e">
        <f>((AVERAGE(L6:L11)*('Summary Page'!$C$2+1))*('Summary Page'!$C$2+1))*('Summary Page'!$C$2+1)</f>
        <v>#DIV/0!</v>
      </c>
      <c r="HM11" s="7" t="e">
        <f>((AVERAGE(L6:L11)*('Summary Page'!$C$3+1))*('Summary Page'!$C$3+1))*('Summary Page'!$C$3+1)</f>
        <v>#DIV/0!</v>
      </c>
      <c r="HN11" s="7" t="e">
        <f>((AVERAGE(L6:L11)*('Summary Page'!$C$4+1))*('Summary Page'!$C$4+1))*('Summary Page'!$C$4+1)</f>
        <v>#DIV/0!</v>
      </c>
      <c r="HR11" s="7" t="e">
        <f>((AVERAGE(AL6:AL11)*('Summary Page'!$C$2+1))*('Summary Page'!$C$2+1))*('Summary Page'!$C$2+1)</f>
        <v>#DIV/0!</v>
      </c>
      <c r="HS11" s="7" t="e">
        <f>((AVERAGE(AL6:AL11)*('Summary Page'!$C$3+1))*('Summary Page'!$C$3+1))*('Summary Page'!$C$3+1)</f>
        <v>#DIV/0!</v>
      </c>
      <c r="HT11" s="7" t="e">
        <f>((AVERAGE(AL6:AL11)*('Summary Page'!$C$4+1))*('Summary Page'!$C$4+1))*('Summary Page'!$C$4+1)</f>
        <v>#DIV/0!</v>
      </c>
      <c r="HU11" s="7">
        <v>100</v>
      </c>
      <c r="HV11" s="9"/>
    </row>
    <row r="12" spans="1:241" ht="15.75" x14ac:dyDescent="0.25">
      <c r="A12" s="20">
        <v>43465</v>
      </c>
      <c r="B12" s="80"/>
      <c r="C12" s="64">
        <v>131</v>
      </c>
      <c r="D12" s="40">
        <v>76</v>
      </c>
      <c r="E12" s="64">
        <v>39</v>
      </c>
      <c r="F12" s="40">
        <v>106</v>
      </c>
      <c r="G12" s="40">
        <v>85</v>
      </c>
      <c r="H12" s="64">
        <v>57</v>
      </c>
      <c r="I12" s="14">
        <f t="shared" si="1"/>
        <v>71.75</v>
      </c>
      <c r="J12" s="40">
        <v>55</v>
      </c>
      <c r="K12" s="64">
        <v>148</v>
      </c>
      <c r="L12" s="64"/>
      <c r="M12" s="64">
        <v>94</v>
      </c>
      <c r="N12" s="80"/>
      <c r="O12" s="40"/>
      <c r="P12" s="40"/>
      <c r="Q12" s="40"/>
      <c r="R12" s="40"/>
      <c r="S12" s="40"/>
      <c r="T12" s="40"/>
      <c r="U12" s="14" t="e">
        <f t="shared" si="2"/>
        <v>#DIV/0!</v>
      </c>
      <c r="V12" s="40"/>
      <c r="W12" s="40"/>
      <c r="X12" s="40"/>
      <c r="Y12" s="69"/>
      <c r="Z12" s="40"/>
      <c r="AA12" s="40"/>
      <c r="AB12" s="40"/>
      <c r="AC12" s="40"/>
      <c r="AD12" s="40"/>
      <c r="AE12" s="40"/>
      <c r="AF12" s="40"/>
      <c r="AG12" s="14" t="e">
        <f t="shared" si="3"/>
        <v>#DIV/0!</v>
      </c>
      <c r="AH12" s="40"/>
      <c r="AI12" s="40"/>
      <c r="AJ12" s="40"/>
      <c r="AK12" s="40"/>
      <c r="AL12" s="40"/>
      <c r="EM12" s="5">
        <f t="shared" si="4"/>
        <v>92</v>
      </c>
      <c r="EN12" s="13"/>
      <c r="EO12" s="13"/>
      <c r="EP12" s="30">
        <f>((AVERAGE(EM7:EM12)*('Summary Page'!$C$2+1))*('Summary Page'!$C$2+1))*('Summary Page'!$C$2+1)</f>
        <v>163.17866933333332</v>
      </c>
      <c r="EQ12" s="7">
        <f>((AVERAGE(EM7:EM12)*('Summary Page'!$C$3+1))*('Summary Page'!$C$3+1))*('Summary Page'!$C$3+1)</f>
        <v>204.18294270833337</v>
      </c>
      <c r="ER12" s="7">
        <f>((AVERAGE(EM7:EM12)*('Summary Page'!$C$4+1))*('Summary Page'!$C$4+1))*('Summary Page'!$C$4+1)</f>
        <v>180.648</v>
      </c>
      <c r="ES12" s="7">
        <v>80</v>
      </c>
      <c r="ET12" s="5">
        <f t="shared" si="5"/>
        <v>71.75</v>
      </c>
      <c r="EU12" s="13"/>
      <c r="EV12" s="13"/>
      <c r="EW12" s="7">
        <f>((AVERAGE(ET7:ET12)*('Summary Page'!$C$2+1))*('Summary Page'!$C$2+1))*('Summary Page'!$C$2+1)</f>
        <v>108.80745866666663</v>
      </c>
      <c r="EX12" s="7">
        <f>((AVERAGE(ET7:ET12)*('Summary Page'!$C$3+1))*('Summary Page'!$C$3+1))*('Summary Page'!$C$3+1)</f>
        <v>136.14908854166663</v>
      </c>
      <c r="EY12" s="7">
        <f>((AVERAGE(ET7:ET12)*('Summary Page'!$C$4+1))*('Summary Page'!$C$4+1))*('Summary Page'!$C$4+1)</f>
        <v>120.45599999999997</v>
      </c>
      <c r="EZ12" s="5">
        <f t="shared" si="6"/>
        <v>121</v>
      </c>
      <c r="FA12" s="13"/>
      <c r="FB12" s="13"/>
      <c r="FC12" s="7">
        <f>((AVERAGE(EZ7:EZ12)*('Summary Page'!$C$2+1))*('Summary Page'!$C$2+1))*('Summary Page'!$C$2+1)</f>
        <v>177.42184533333329</v>
      </c>
      <c r="FD12" s="7">
        <f>((AVERAGE(EZ7:EZ12)*('Summary Page'!$C$3+1))*('Summary Page'!$C$3+1))*('Summary Page'!$C$3+1)</f>
        <v>222.00520833333337</v>
      </c>
      <c r="FE12" s="7">
        <f>((AVERAGE(EZ7:EZ12)*('Summary Page'!$C$4+1))*('Summary Page'!$C$4+1))*('Summary Page'!$C$4+1)</f>
        <v>196.416</v>
      </c>
      <c r="FF12" s="5">
        <f t="shared" si="7"/>
        <v>87.974999999999994</v>
      </c>
      <c r="FI12" s="40"/>
      <c r="FJ12" s="7">
        <f>((AVERAGE(C7:C12)*('Summary Page'!$C$2+1))*('Summary Page'!$C$2+1))*('Summary Page'!$C$2+1)</f>
        <v>382.93981866666661</v>
      </c>
      <c r="FK12" s="7">
        <f>((AVERAGE(C7:C12)*('Summary Page'!$C$3+1))*('Summary Page'!$C$3+1))*('Summary Page'!$C$3+1)</f>
        <v>479.16666666666674</v>
      </c>
      <c r="FL12" s="7">
        <f>((AVERAGE(C7:C12)*('Summary Page'!$C$4+1))*('Summary Page'!$C$4+1))*('Summary Page'!$C$4+1)</f>
        <v>423.93599999999998</v>
      </c>
      <c r="FO12" s="40"/>
      <c r="FP12" s="7">
        <f>((AVERAGE(D7:D12)*('Summary Page'!$C$2+1))*('Summary Page'!$C$2+1))*('Summary Page'!$C$2+1)</f>
        <v>132.41601066666664</v>
      </c>
      <c r="FQ12" s="7">
        <f>((AVERAGE(D7:D12)*('Summary Page'!$C$3+1))*('Summary Page'!$C$3+1))*('Summary Page'!$C$3+1)</f>
        <v>165.69010416666663</v>
      </c>
      <c r="FR12" s="7">
        <f>((AVERAGE(D7:D12)*('Summary Page'!$C$4+1))*('Summary Page'!$C$4+1))*('Summary Page'!$C$4+1)</f>
        <v>146.59199999999998</v>
      </c>
      <c r="FU12" s="40"/>
      <c r="FV12" s="7">
        <f>((AVERAGE(E7:E12)*('Summary Page'!$C$2+1))*('Summary Page'!$C$2+1))*('Summary Page'!$C$2+1)</f>
        <v>53.590762666666656</v>
      </c>
      <c r="FW12" s="7">
        <f>((AVERAGE(E7:E12)*('Summary Page'!$C$3+1))*('Summary Page'!$C$3+1))*('Summary Page'!$C$3+1)</f>
        <v>67.057291666666686</v>
      </c>
      <c r="FX12" s="7">
        <f>((AVERAGE(E7:E12)*('Summary Page'!$C$4+1))*('Summary Page'!$C$4+1))*('Summary Page'!$C$4+1)</f>
        <v>59.328000000000003</v>
      </c>
      <c r="GA12" s="40"/>
      <c r="GB12" s="7">
        <f>((AVERAGE(F7:F12)*('Summary Page'!$C$2+1))*('Summary Page'!$C$2+1))*('Summary Page'!$C$2+1)</f>
        <v>164.41437866666664</v>
      </c>
      <c r="GC12" s="7">
        <f>((AVERAGE(F7:F12)*('Summary Page'!$C$3+1))*('Summary Page'!$C$3+1))*('Summary Page'!$C$3+1)</f>
        <v>205.72916666666663</v>
      </c>
      <c r="GD12" s="7">
        <f>((AVERAGE(F7:F12)*('Summary Page'!$C$4+1))*('Summary Page'!$C$4+1))*('Summary Page'!$C$4+1)</f>
        <v>182.01599999999996</v>
      </c>
      <c r="GG12" s="40"/>
      <c r="GH12" s="7">
        <f>((AVERAGE(M7:M12)*('Summary Page'!$C$2+1))*('Summary Page'!$C$2+1))*('Summary Page'!$C$2+1)</f>
        <v>145.42347733333332</v>
      </c>
      <c r="GI12" s="7">
        <f>((AVERAGE(M7:M12)*('Summary Page'!$C$3+1))*('Summary Page'!$C$3+1))*('Summary Page'!$C$3+1)</f>
        <v>181.96614583333337</v>
      </c>
      <c r="GJ12" s="7">
        <f>((AVERAGE(M7:M12)*('Summary Page'!$C$4+1))*('Summary Page'!$C$4+1))*('Summary Page'!$C$4+1)</f>
        <v>160.99199999999999</v>
      </c>
      <c r="GM12" s="40"/>
      <c r="GN12" s="7">
        <f>((AVERAGE(G7:G12)*('Summary Page'!$C$2+1))*('Summary Page'!$C$2+1))*('Summary Page'!$C$2+1)</f>
        <v>130.85511466666662</v>
      </c>
      <c r="GO12" s="7">
        <f>((AVERAGE(G7:G12)*('Summary Page'!$C$3+1))*('Summary Page'!$C$3+1))*('Summary Page'!$C$3+1)</f>
        <v>163.73697916666663</v>
      </c>
      <c r="GP12" s="7">
        <f>((AVERAGE(G7:G12)*('Summary Page'!$C$4+1))*('Summary Page'!$C$4+1))*('Summary Page'!$C$4+1)</f>
        <v>144.86399999999998</v>
      </c>
      <c r="GS12" s="40"/>
      <c r="GT12" s="7">
        <f>((AVERAGE(H7:H12)*('Summary Page'!$C$2+1))*('Summary Page'!$C$2+1))*('Summary Page'!$C$2+1)</f>
        <v>86.369578666666655</v>
      </c>
      <c r="GU12" s="7">
        <f>((AVERAGE(H7:H12)*('Summary Page'!$C$3+1))*('Summary Page'!$C$3+1))*('Summary Page'!$C$3+1)</f>
        <v>108.07291666666669</v>
      </c>
      <c r="GV12" s="7">
        <f>((AVERAGE(H7:H12)*('Summary Page'!$C$4+1))*('Summary Page'!$C$4+1))*('Summary Page'!$C$4+1)</f>
        <v>95.616</v>
      </c>
      <c r="GY12" s="40"/>
      <c r="GZ12" s="7">
        <f>((AVERAGE(J7:J12)*('Summary Page'!$C$2+1))*('Summary Page'!$C$2+1))*('Summary Page'!$C$2+1)</f>
        <v>79.60569599999998</v>
      </c>
      <c r="HA12" s="7">
        <f>((AVERAGE(J7:J12)*('Summary Page'!$C$3+1))*('Summary Page'!$C$3+1))*('Summary Page'!$C$3+1)</f>
        <v>99.609375</v>
      </c>
      <c r="HB12" s="7">
        <f>((AVERAGE(J7:J12)*('Summary Page'!$C$4+1))*('Summary Page'!$C$4+1))*('Summary Page'!$C$4+1)</f>
        <v>88.128</v>
      </c>
      <c r="HE12" s="40"/>
      <c r="HF12" s="7">
        <f>((AVERAGE(K7:K12)*('Summary Page'!$C$2+1))*('Summary Page'!$C$2+1))*('Summary Page'!$C$2+1)</f>
        <v>209.42021333333329</v>
      </c>
      <c r="HG12" s="7">
        <f>((AVERAGE(K7:K12)*('Summary Page'!$C$3+1))*('Summary Page'!$C$3+1))*('Summary Page'!$C$3+1)</f>
        <v>262.04427083333326</v>
      </c>
      <c r="HH12" s="7">
        <f>((AVERAGE(K7:K12)*('Summary Page'!$C$4+1))*('Summary Page'!$C$4+1))*('Summary Page'!$C$4+1)</f>
        <v>231.83999999999995</v>
      </c>
      <c r="HK12" s="40"/>
      <c r="HL12" s="7" t="e">
        <f>((AVERAGE(L7:L12)*('Summary Page'!$C$2+1))*('Summary Page'!$C$2+1))*('Summary Page'!$C$2+1)</f>
        <v>#DIV/0!</v>
      </c>
      <c r="HM12" s="7" t="e">
        <f>((AVERAGE(L7:L12)*('Summary Page'!$C$3+1))*('Summary Page'!$C$3+1))*('Summary Page'!$C$3+1)</f>
        <v>#DIV/0!</v>
      </c>
      <c r="HN12" s="7" t="e">
        <f>((AVERAGE(L7:L12)*('Summary Page'!$C$4+1))*('Summary Page'!$C$4+1))*('Summary Page'!$C$4+1)</f>
        <v>#DIV/0!</v>
      </c>
      <c r="HR12" s="7" t="e">
        <f>((AVERAGE(AL7:AL12)*('Summary Page'!$C$2+1))*('Summary Page'!$C$2+1))*('Summary Page'!$C$2+1)</f>
        <v>#DIV/0!</v>
      </c>
      <c r="HS12" s="7" t="e">
        <f>((AVERAGE(AL7:AL12)*('Summary Page'!$C$3+1))*('Summary Page'!$C$3+1))*('Summary Page'!$C$3+1)</f>
        <v>#DIV/0!</v>
      </c>
      <c r="HT12" s="7" t="e">
        <f>((AVERAGE(AL7:AL12)*('Summary Page'!$C$4+1))*('Summary Page'!$C$4+1))*('Summary Page'!$C$4+1)</f>
        <v>#DIV/0!</v>
      </c>
      <c r="HU12" s="7">
        <v>100</v>
      </c>
      <c r="HV12" s="9"/>
    </row>
    <row r="13" spans="1:241" ht="15.75" x14ac:dyDescent="0.25">
      <c r="A13" s="20">
        <v>43479</v>
      </c>
      <c r="B13" s="80"/>
      <c r="C13" s="64">
        <v>74</v>
      </c>
      <c r="D13" s="40">
        <v>66</v>
      </c>
      <c r="E13" s="64">
        <v>38</v>
      </c>
      <c r="F13" s="40">
        <v>111</v>
      </c>
      <c r="G13" s="40">
        <v>86</v>
      </c>
      <c r="H13" s="64">
        <v>59</v>
      </c>
      <c r="I13" s="14">
        <f t="shared" si="1"/>
        <v>73.5</v>
      </c>
      <c r="J13" s="40">
        <v>50</v>
      </c>
      <c r="K13" s="64">
        <v>150</v>
      </c>
      <c r="L13" s="64"/>
      <c r="M13" s="64">
        <v>101</v>
      </c>
      <c r="N13" s="80"/>
      <c r="O13" s="40"/>
      <c r="P13" s="40"/>
      <c r="Q13" s="40"/>
      <c r="R13" s="40"/>
      <c r="S13" s="40"/>
      <c r="T13" s="40"/>
      <c r="U13" s="14" t="e">
        <f t="shared" si="2"/>
        <v>#DIV/0!</v>
      </c>
      <c r="V13" s="40"/>
      <c r="W13" s="40"/>
      <c r="X13" s="40"/>
      <c r="Y13" s="69"/>
      <c r="Z13" s="40"/>
      <c r="AA13" s="40"/>
      <c r="AB13" s="40"/>
      <c r="AC13" s="40"/>
      <c r="AD13" s="40"/>
      <c r="AE13" s="40"/>
      <c r="AF13" s="40"/>
      <c r="AG13" s="14" t="e">
        <f t="shared" si="3"/>
        <v>#DIV/0!</v>
      </c>
      <c r="AH13" s="40"/>
      <c r="AI13" s="40"/>
      <c r="AJ13" s="40"/>
      <c r="AK13" s="40"/>
      <c r="AL13" s="40"/>
      <c r="EM13" s="5">
        <f t="shared" si="4"/>
        <v>85.625</v>
      </c>
      <c r="EN13" s="13"/>
      <c r="EO13" s="13"/>
      <c r="EP13" s="30">
        <f>((AVERAGE(EM8:EM13)*('Summary Page'!$C$2+1))*('Summary Page'!$C$2+1))*('Summary Page'!$C$2+1)</f>
        <v>155.40670799999998</v>
      </c>
      <c r="EQ13" s="7">
        <f>((AVERAGE(EM8:EM13)*('Summary Page'!$C$3+1))*('Summary Page'!$C$3+1))*('Summary Page'!$C$3+1)</f>
        <v>194.4580078125</v>
      </c>
      <c r="ER13" s="7">
        <f>((AVERAGE(EM8:EM13)*('Summary Page'!$C$4+1))*('Summary Page'!$C$4+1))*('Summary Page'!$C$4+1)</f>
        <v>172.04399999999995</v>
      </c>
      <c r="ES13" s="7">
        <v>80</v>
      </c>
      <c r="ET13" s="5">
        <f t="shared" si="5"/>
        <v>73.5</v>
      </c>
      <c r="EU13" s="13"/>
      <c r="EV13" s="13"/>
      <c r="EW13" s="7">
        <f>((AVERAGE(ET8:ET13)*('Summary Page'!$C$2+1))*('Summary Page'!$C$2+1))*('Summary Page'!$C$2+1)</f>
        <v>110.82361599999999</v>
      </c>
      <c r="EX13" s="7">
        <f>((AVERAGE(ET8:ET13)*('Summary Page'!$C$3+1))*('Summary Page'!$C$3+1))*('Summary Page'!$C$3+1)</f>
        <v>138.671875</v>
      </c>
      <c r="EY13" s="7">
        <f>((AVERAGE(ET8:ET13)*('Summary Page'!$C$4+1))*('Summary Page'!$C$4+1))*('Summary Page'!$C$4+1)</f>
        <v>122.68799999999999</v>
      </c>
      <c r="EZ13" s="5">
        <f t="shared" si="6"/>
        <v>125.5</v>
      </c>
      <c r="FA13" s="13"/>
      <c r="FB13" s="13"/>
      <c r="FC13" s="7">
        <f>((AVERAGE(EZ8:EZ13)*('Summary Page'!$C$2+1))*('Summary Page'!$C$2+1))*('Summary Page'!$C$2+1)</f>
        <v>182.62483199999997</v>
      </c>
      <c r="FD13" s="7">
        <f>((AVERAGE(EZ8:EZ13)*('Summary Page'!$C$3+1))*('Summary Page'!$C$3+1))*('Summary Page'!$C$3+1)</f>
        <v>228.515625</v>
      </c>
      <c r="FE13" s="7">
        <f>((AVERAGE(EZ8:EZ13)*('Summary Page'!$C$4+1))*('Summary Page'!$C$4+1))*('Summary Page'!$C$4+1)</f>
        <v>202.17599999999999</v>
      </c>
      <c r="FF13" s="5">
        <f t="shared" si="7"/>
        <v>88.45</v>
      </c>
      <c r="FI13" s="40"/>
      <c r="FJ13" s="7">
        <f>((AVERAGE(C8:C13)*('Summary Page'!$C$2+1))*('Summary Page'!$C$2+1))*('Summary Page'!$C$2+1)</f>
        <v>310.87845333333325</v>
      </c>
      <c r="FK13" s="7">
        <f>((AVERAGE(C8:C13)*('Summary Page'!$C$3+1))*('Summary Page'!$C$3+1))*('Summary Page'!$C$3+1)</f>
        <v>388.99739583333326</v>
      </c>
      <c r="FL13" s="7">
        <f>((AVERAGE(C8:C13)*('Summary Page'!$C$4+1))*('Summary Page'!$C$4+1))*('Summary Page'!$C$4+1)</f>
        <v>344.15999999999991</v>
      </c>
      <c r="FO13" s="40"/>
      <c r="FP13" s="7">
        <f>((AVERAGE(D8:D13)*('Summary Page'!$C$2+1))*('Summary Page'!$C$2+1))*('Summary Page'!$C$2+1)</f>
        <v>123.83108266666663</v>
      </c>
      <c r="FQ13" s="7">
        <f>((AVERAGE(D8:D13)*('Summary Page'!$C$3+1))*('Summary Page'!$C$3+1))*('Summary Page'!$C$3+1)</f>
        <v>154.94791666666663</v>
      </c>
      <c r="FR13" s="7">
        <f>((AVERAGE(D8:D13)*('Summary Page'!$C$4+1))*('Summary Page'!$C$4+1))*('Summary Page'!$C$4+1)</f>
        <v>137.08799999999997</v>
      </c>
      <c r="FU13" s="40"/>
      <c r="FV13" s="7">
        <f>((AVERAGE(E8:E13)*('Summary Page'!$C$2+1))*('Summary Page'!$C$2+1))*('Summary Page'!$C$2+1)</f>
        <v>56.192255999999986</v>
      </c>
      <c r="FW13" s="7">
        <f>((AVERAGE(E8:E13)*('Summary Page'!$C$3+1))*('Summary Page'!$C$3+1))*('Summary Page'!$C$3+1)</f>
        <v>70.3125</v>
      </c>
      <c r="FX13" s="7">
        <f>((AVERAGE(E8:E13)*('Summary Page'!$C$4+1))*('Summary Page'!$C$4+1))*('Summary Page'!$C$4+1)</f>
        <v>62.207999999999991</v>
      </c>
      <c r="GA13" s="40"/>
      <c r="GB13" s="7">
        <f>((AVERAGE(F8:F13)*('Summary Page'!$C$2+1))*('Summary Page'!$C$2+1))*('Summary Page'!$C$2+1)</f>
        <v>166.49557333333331</v>
      </c>
      <c r="GC13" s="7">
        <f>((AVERAGE(F8:F13)*('Summary Page'!$C$3+1))*('Summary Page'!$C$3+1))*('Summary Page'!$C$3+1)</f>
        <v>208.33333333333337</v>
      </c>
      <c r="GD13" s="7">
        <f>((AVERAGE(F8:F13)*('Summary Page'!$C$4+1))*('Summary Page'!$C$4+1))*('Summary Page'!$C$4+1)</f>
        <v>184.32</v>
      </c>
      <c r="GG13" s="40"/>
      <c r="GH13" s="7">
        <f>((AVERAGE(M8:M13)*('Summary Page'!$C$2+1))*('Summary Page'!$C$2+1))*('Summary Page'!$C$2+1)</f>
        <v>147.24452266666663</v>
      </c>
      <c r="GI13" s="7">
        <f>((AVERAGE(M8:M13)*('Summary Page'!$C$3+1))*('Summary Page'!$C$3+1))*('Summary Page'!$C$3+1)</f>
        <v>184.24479166666663</v>
      </c>
      <c r="GJ13" s="7">
        <f>((AVERAGE(M8:M13)*('Summary Page'!$C$4+1))*('Summary Page'!$C$4+1))*('Summary Page'!$C$4+1)</f>
        <v>163.00799999999995</v>
      </c>
      <c r="GM13" s="40"/>
      <c r="GN13" s="7">
        <f>((AVERAGE(G8:G13)*('Summary Page'!$C$2+1))*('Summary Page'!$C$2+1))*('Summary Page'!$C$2+1)</f>
        <v>132.67615999999998</v>
      </c>
      <c r="GO13" s="7">
        <f>((AVERAGE(G8:G13)*('Summary Page'!$C$3+1))*('Summary Page'!$C$3+1))*('Summary Page'!$C$3+1)</f>
        <v>166.015625</v>
      </c>
      <c r="GP13" s="7">
        <f>((AVERAGE(G8:G13)*('Summary Page'!$C$4+1))*('Summary Page'!$C$4+1))*('Summary Page'!$C$4+1)</f>
        <v>146.88</v>
      </c>
      <c r="GS13" s="40"/>
      <c r="GT13" s="7">
        <f>((AVERAGE(H8:H13)*('Summary Page'!$C$2+1))*('Summary Page'!$C$2+1))*('Summary Page'!$C$2+1)</f>
        <v>87.930474666666655</v>
      </c>
      <c r="GU13" s="7">
        <f>((AVERAGE(H8:H13)*('Summary Page'!$C$3+1))*('Summary Page'!$C$3+1))*('Summary Page'!$C$3+1)</f>
        <v>110.02604166666669</v>
      </c>
      <c r="GV13" s="7">
        <f>((AVERAGE(H8:H13)*('Summary Page'!$C$4+1))*('Summary Page'!$C$4+1))*('Summary Page'!$C$4+1)</f>
        <v>97.34399999999998</v>
      </c>
      <c r="GY13" s="40"/>
      <c r="GZ13" s="7">
        <f>((AVERAGE(J8:J13)*('Summary Page'!$C$2+1))*('Summary Page'!$C$2+1))*('Summary Page'!$C$2+1)</f>
        <v>82.467338666666649</v>
      </c>
      <c r="HA13" s="7">
        <f>((AVERAGE(J8:J13)*('Summary Page'!$C$3+1))*('Summary Page'!$C$3+1))*('Summary Page'!$C$3+1)</f>
        <v>103.19010416666669</v>
      </c>
      <c r="HB13" s="7">
        <f>((AVERAGE(J8:J13)*('Summary Page'!$C$4+1))*('Summary Page'!$C$4+1))*('Summary Page'!$C$4+1)</f>
        <v>91.295999999999992</v>
      </c>
      <c r="HE13" s="40"/>
      <c r="HF13" s="7">
        <f>((AVERAGE(K8:K13)*('Summary Page'!$C$2+1))*('Summary Page'!$C$2+1))*('Summary Page'!$C$2+1)</f>
        <v>218.00514133333328</v>
      </c>
      <c r="HG13" s="7">
        <f>((AVERAGE(K8:K13)*('Summary Page'!$C$3+1))*('Summary Page'!$C$3+1))*('Summary Page'!$C$3+1)</f>
        <v>272.78645833333326</v>
      </c>
      <c r="HH13" s="7">
        <f>((AVERAGE(K8:K13)*('Summary Page'!$C$4+1))*('Summary Page'!$C$4+1))*('Summary Page'!$C$4+1)</f>
        <v>241.34399999999997</v>
      </c>
      <c r="HK13" s="40"/>
      <c r="HL13" s="7" t="e">
        <f>((AVERAGE(L8:L13)*('Summary Page'!$C$2+1))*('Summary Page'!$C$2+1))*('Summary Page'!$C$2+1)</f>
        <v>#DIV/0!</v>
      </c>
      <c r="HM13" s="7" t="e">
        <f>((AVERAGE(L8:L13)*('Summary Page'!$C$3+1))*('Summary Page'!$C$3+1))*('Summary Page'!$C$3+1)</f>
        <v>#DIV/0!</v>
      </c>
      <c r="HN13" s="7" t="e">
        <f>((AVERAGE(L8:L13)*('Summary Page'!$C$4+1))*('Summary Page'!$C$4+1))*('Summary Page'!$C$4+1)</f>
        <v>#DIV/0!</v>
      </c>
      <c r="HR13" s="7" t="e">
        <f>((AVERAGE(AL8:AL13)*('Summary Page'!$C$2+1))*('Summary Page'!$C$2+1))*('Summary Page'!$C$2+1)</f>
        <v>#DIV/0!</v>
      </c>
      <c r="HS13" s="7" t="e">
        <f>((AVERAGE(AL8:AL13)*('Summary Page'!$C$3+1))*('Summary Page'!$C$3+1))*('Summary Page'!$C$3+1)</f>
        <v>#DIV/0!</v>
      </c>
      <c r="HT13" s="7" t="e">
        <f>((AVERAGE(AL8:AL13)*('Summary Page'!$C$4+1))*('Summary Page'!$C$4+1))*('Summary Page'!$C$4+1)</f>
        <v>#DIV/0!</v>
      </c>
      <c r="HU13" s="7">
        <v>100</v>
      </c>
      <c r="HV13" s="9"/>
    </row>
    <row r="14" spans="1:241" ht="15.75" x14ac:dyDescent="0.25">
      <c r="A14" s="20">
        <v>43493</v>
      </c>
      <c r="B14" s="80"/>
      <c r="C14" s="64">
        <v>8</v>
      </c>
      <c r="D14" s="40">
        <v>63</v>
      </c>
      <c r="E14" s="64">
        <v>32</v>
      </c>
      <c r="F14" s="40">
        <v>109</v>
      </c>
      <c r="G14" s="40">
        <v>70</v>
      </c>
      <c r="H14" s="64">
        <v>46</v>
      </c>
      <c r="I14" s="14">
        <f t="shared" si="1"/>
        <v>64.25</v>
      </c>
      <c r="J14" s="40">
        <v>8</v>
      </c>
      <c r="K14" s="64">
        <v>128</v>
      </c>
      <c r="L14" s="64"/>
      <c r="M14" s="64">
        <v>90</v>
      </c>
      <c r="N14" s="80"/>
      <c r="O14" s="40"/>
      <c r="P14" s="40"/>
      <c r="Q14" s="40"/>
      <c r="R14" s="40"/>
      <c r="S14" s="40"/>
      <c r="T14" s="40"/>
      <c r="U14" s="14" t="e">
        <f t="shared" si="2"/>
        <v>#DIV/0!</v>
      </c>
      <c r="V14" s="40"/>
      <c r="W14" s="40"/>
      <c r="X14" s="40"/>
      <c r="Y14" s="69"/>
      <c r="Z14" s="40"/>
      <c r="AA14" s="40"/>
      <c r="AB14" s="40"/>
      <c r="AC14" s="40"/>
      <c r="AD14" s="40"/>
      <c r="AE14" s="40"/>
      <c r="AF14" s="40"/>
      <c r="AG14" s="14" t="e">
        <f t="shared" si="3"/>
        <v>#DIV/0!</v>
      </c>
      <c r="AH14" s="40"/>
      <c r="AI14" s="40"/>
      <c r="AJ14" s="40"/>
      <c r="AK14" s="40"/>
      <c r="AL14" s="40"/>
      <c r="EM14" s="5">
        <f t="shared" si="4"/>
        <v>68.25</v>
      </c>
      <c r="EN14" s="13"/>
      <c r="EO14" s="13"/>
      <c r="EP14" s="30">
        <f>((AVERAGE(EM9:EM14)*('Summary Page'!$C$2+1))*('Summary Page'!$C$2+1))*('Summary Page'!$C$2+1)</f>
        <v>143.99265599999995</v>
      </c>
      <c r="EQ14" s="7">
        <f>((AVERAGE(EM9:EM14)*('Summary Page'!$C$3+1))*('Summary Page'!$C$3+1))*('Summary Page'!$C$3+1)</f>
        <v>180.17578125</v>
      </c>
      <c r="ER14" s="7">
        <f>((AVERAGE(EM9:EM14)*('Summary Page'!$C$4+1))*('Summary Page'!$C$4+1))*('Summary Page'!$C$4+1)</f>
        <v>159.40799999999999</v>
      </c>
      <c r="ES14" s="7">
        <v>80</v>
      </c>
      <c r="ET14" s="5">
        <f t="shared" si="5"/>
        <v>64.25</v>
      </c>
      <c r="EU14" s="13"/>
      <c r="EV14" s="13"/>
      <c r="EW14" s="7">
        <f>((AVERAGE(ET9:ET14)*('Summary Page'!$C$2+1))*('Summary Page'!$C$2+1))*('Summary Page'!$C$2+1)</f>
        <v>110.43339199999997</v>
      </c>
      <c r="EX14" s="7">
        <f>((AVERAGE(ET9:ET14)*('Summary Page'!$C$3+1))*('Summary Page'!$C$3+1))*('Summary Page'!$C$3+1)</f>
        <v>138.18359375</v>
      </c>
      <c r="EY14" s="7">
        <f>((AVERAGE(ET9:ET14)*('Summary Page'!$C$4+1))*('Summary Page'!$C$4+1))*('Summary Page'!$C$4+1)</f>
        <v>122.25599999999997</v>
      </c>
      <c r="EZ14" s="5">
        <f t="shared" si="6"/>
        <v>109</v>
      </c>
      <c r="FA14" s="13"/>
      <c r="FB14" s="13"/>
      <c r="FC14" s="7">
        <f>((AVERAGE(EZ9:EZ14)*('Summary Page'!$C$2+1))*('Summary Page'!$C$2+1))*('Summary Page'!$C$2+1)</f>
        <v>183.79550399999999</v>
      </c>
      <c r="FD14" s="7">
        <f>((AVERAGE(EZ9:EZ14)*('Summary Page'!$C$3+1))*('Summary Page'!$C$3+1))*('Summary Page'!$C$3+1)</f>
        <v>229.98046875</v>
      </c>
      <c r="FE14" s="7">
        <f>((AVERAGE(EZ9:EZ14)*('Summary Page'!$C$4+1))*('Summary Page'!$C$4+1))*('Summary Page'!$C$4+1)</f>
        <v>203.47199999999995</v>
      </c>
      <c r="FF14" s="5">
        <f t="shared" si="7"/>
        <v>73.825000000000003</v>
      </c>
      <c r="FI14" s="40"/>
      <c r="FJ14" s="7">
        <f>((AVERAGE(C9:C14)*('Summary Page'!$C$2+1))*('Summary Page'!$C$2+1))*('Summary Page'!$C$2+1)</f>
        <v>225.54947199999995</v>
      </c>
      <c r="FK14" s="7">
        <f>((AVERAGE(C9:C14)*('Summary Page'!$C$3+1))*('Summary Page'!$C$3+1))*('Summary Page'!$C$3+1)</f>
        <v>282.2265625</v>
      </c>
      <c r="FL14" s="7">
        <f>((AVERAGE(C9:C14)*('Summary Page'!$C$4+1))*('Summary Page'!$C$4+1))*('Summary Page'!$C$4+1)</f>
        <v>249.696</v>
      </c>
      <c r="FO14" s="40"/>
      <c r="FP14" s="7">
        <f>((AVERAGE(D9:D14)*('Summary Page'!$C$2+1))*('Summary Page'!$C$2+1))*('Summary Page'!$C$2+1)</f>
        <v>117.06719999999997</v>
      </c>
      <c r="FQ14" s="7">
        <f>((AVERAGE(D9:D14)*('Summary Page'!$C$3+1))*('Summary Page'!$C$3+1))*('Summary Page'!$C$3+1)</f>
        <v>146.484375</v>
      </c>
      <c r="FR14" s="7">
        <f>((AVERAGE(D9:D14)*('Summary Page'!$C$4+1))*('Summary Page'!$C$4+1))*('Summary Page'!$C$4+1)</f>
        <v>129.6</v>
      </c>
      <c r="FU14" s="40"/>
      <c r="FV14" s="7">
        <f>((AVERAGE(E9:E14)*('Summary Page'!$C$2+1))*('Summary Page'!$C$2+1))*('Summary Page'!$C$2+1)</f>
        <v>58.273450666666655</v>
      </c>
      <c r="FW14" s="7">
        <f>((AVERAGE(E9:E14)*('Summary Page'!$C$3+1))*('Summary Page'!$C$3+1))*('Summary Page'!$C$3+1)</f>
        <v>72.916666666666686</v>
      </c>
      <c r="FX14" s="7">
        <f>((AVERAGE(E9:E14)*('Summary Page'!$C$4+1))*('Summary Page'!$C$4+1))*('Summary Page'!$C$4+1)</f>
        <v>64.512</v>
      </c>
      <c r="GA14" s="40"/>
      <c r="GB14" s="7">
        <f>((AVERAGE(F9:F14)*('Summary Page'!$C$2+1))*('Summary Page'!$C$2+1))*('Summary Page'!$C$2+1)</f>
        <v>167.53617066666661</v>
      </c>
      <c r="GC14" s="7">
        <f>((AVERAGE(F9:F14)*('Summary Page'!$C$3+1))*('Summary Page'!$C$3+1))*('Summary Page'!$C$3+1)</f>
        <v>209.63541666666663</v>
      </c>
      <c r="GD14" s="7">
        <f>((AVERAGE(F9:F14)*('Summary Page'!$C$4+1))*('Summary Page'!$C$4+1))*('Summary Page'!$C$4+1)</f>
        <v>185.47199999999995</v>
      </c>
      <c r="GG14" s="40"/>
      <c r="GH14" s="7">
        <f>((AVERAGE(M9:M14)*('Summary Page'!$C$2+1))*('Summary Page'!$C$2+1))*('Summary Page'!$C$2+1)</f>
        <v>145.94377599999996</v>
      </c>
      <c r="GI14" s="7">
        <f>((AVERAGE(M9:M14)*('Summary Page'!$C$3+1))*('Summary Page'!$C$3+1))*('Summary Page'!$C$3+1)</f>
        <v>182.6171875</v>
      </c>
      <c r="GJ14" s="7">
        <f>((AVERAGE(M9:M14)*('Summary Page'!$C$4+1))*('Summary Page'!$C$4+1))*('Summary Page'!$C$4+1)</f>
        <v>161.56799999999998</v>
      </c>
      <c r="GM14" s="40"/>
      <c r="GN14" s="7">
        <f>((AVERAGE(G9:G14)*('Summary Page'!$C$2+1))*('Summary Page'!$C$2+1))*('Summary Page'!$C$2+1)</f>
        <v>129.55436799999998</v>
      </c>
      <c r="GO14" s="7">
        <f>((AVERAGE(G9:G14)*('Summary Page'!$C$3+1))*('Summary Page'!$C$3+1))*('Summary Page'!$C$3+1)</f>
        <v>162.109375</v>
      </c>
      <c r="GP14" s="7">
        <f>((AVERAGE(G9:G14)*('Summary Page'!$C$4+1))*('Summary Page'!$C$4+1))*('Summary Page'!$C$4+1)</f>
        <v>143.42399999999998</v>
      </c>
      <c r="GS14" s="40"/>
      <c r="GT14" s="7">
        <f>((AVERAGE(H9:H14)*('Summary Page'!$C$2+1))*('Summary Page'!$C$2+1))*('Summary Page'!$C$2+1)</f>
        <v>86.369578666666655</v>
      </c>
      <c r="GU14" s="7">
        <f>((AVERAGE(H9:H14)*('Summary Page'!$C$3+1))*('Summary Page'!$C$3+1))*('Summary Page'!$C$3+1)</f>
        <v>108.07291666666669</v>
      </c>
      <c r="GV14" s="7">
        <f>((AVERAGE(H9:H14)*('Summary Page'!$C$4+1))*('Summary Page'!$C$4+1))*('Summary Page'!$C$4+1)</f>
        <v>95.616</v>
      </c>
      <c r="GY14" s="40"/>
      <c r="GZ14" s="7">
        <f>((AVERAGE(J9:J14)*('Summary Page'!$C$2+1))*('Summary Page'!$C$2+1))*('Summary Page'!$C$2+1)</f>
        <v>72.841813333333306</v>
      </c>
      <c r="HA14" s="7">
        <f>((AVERAGE(J9:J14)*('Summary Page'!$C$3+1))*('Summary Page'!$C$3+1))*('Summary Page'!$C$3+1)</f>
        <v>91.145833333333314</v>
      </c>
      <c r="HB14" s="7">
        <f>((AVERAGE(J9:J14)*('Summary Page'!$C$4+1))*('Summary Page'!$C$4+1))*('Summary Page'!$C$4+1)</f>
        <v>80.639999999999986</v>
      </c>
      <c r="HE14" s="40"/>
      <c r="HF14" s="7">
        <f>((AVERAGE(K9:K14)*('Summary Page'!$C$2+1))*('Summary Page'!$C$2+1))*('Summary Page'!$C$2+1)</f>
        <v>221.64723199999997</v>
      </c>
      <c r="HG14" s="7">
        <f>((AVERAGE(K9:K14)*('Summary Page'!$C$3+1))*('Summary Page'!$C$3+1))*('Summary Page'!$C$3+1)</f>
        <v>277.34375</v>
      </c>
      <c r="HH14" s="7">
        <f>((AVERAGE(K9:K14)*('Summary Page'!$C$4+1))*('Summary Page'!$C$4+1))*('Summary Page'!$C$4+1)</f>
        <v>245.37599999999998</v>
      </c>
      <c r="HK14" s="40"/>
      <c r="HL14" s="7" t="e">
        <f>((AVERAGE(L9:L14)*('Summary Page'!$C$2+1))*('Summary Page'!$C$2+1))*('Summary Page'!$C$2+1)</f>
        <v>#DIV/0!</v>
      </c>
      <c r="HM14" s="7" t="e">
        <f>((AVERAGE(L9:L14)*('Summary Page'!$C$3+1))*('Summary Page'!$C$3+1))*('Summary Page'!$C$3+1)</f>
        <v>#DIV/0!</v>
      </c>
      <c r="HN14" s="7" t="e">
        <f>((AVERAGE(L9:L14)*('Summary Page'!$C$4+1))*('Summary Page'!$C$4+1))*('Summary Page'!$C$4+1)</f>
        <v>#DIV/0!</v>
      </c>
      <c r="HR14" s="7" t="e">
        <f>((AVERAGE(AL9:AL14)*('Summary Page'!$C$2+1))*('Summary Page'!$C$2+1))*('Summary Page'!$C$2+1)</f>
        <v>#DIV/0!</v>
      </c>
      <c r="HS14" s="7" t="e">
        <f>((AVERAGE(AL9:AL14)*('Summary Page'!$C$3+1))*('Summary Page'!$C$3+1))*('Summary Page'!$C$3+1)</f>
        <v>#DIV/0!</v>
      </c>
      <c r="HT14" s="7" t="e">
        <f>((AVERAGE(AL9:AL14)*('Summary Page'!$C$4+1))*('Summary Page'!$C$4+1))*('Summary Page'!$C$4+1)</f>
        <v>#DIV/0!</v>
      </c>
      <c r="HU14" s="7">
        <v>100</v>
      </c>
      <c r="HV14" s="9"/>
    </row>
    <row r="15" spans="1:241" ht="15.75" x14ac:dyDescent="0.25">
      <c r="A15" s="20">
        <v>43510</v>
      </c>
      <c r="B15" s="80"/>
      <c r="C15" s="64">
        <v>46</v>
      </c>
      <c r="D15" s="40">
        <v>23</v>
      </c>
      <c r="E15" s="64">
        <v>26</v>
      </c>
      <c r="F15" s="40">
        <v>83</v>
      </c>
      <c r="G15" s="40">
        <v>57</v>
      </c>
      <c r="H15" s="64">
        <v>28</v>
      </c>
      <c r="I15" s="14">
        <f t="shared" si="1"/>
        <v>48.5</v>
      </c>
      <c r="J15" s="40">
        <v>8</v>
      </c>
      <c r="K15" s="64">
        <v>48</v>
      </c>
      <c r="L15" s="64"/>
      <c r="M15" s="64">
        <v>78</v>
      </c>
      <c r="N15" s="80"/>
      <c r="O15" s="40"/>
      <c r="P15" s="40"/>
      <c r="Q15" s="40"/>
      <c r="R15" s="40"/>
      <c r="S15" s="40"/>
      <c r="T15" s="40"/>
      <c r="U15" s="14" t="e">
        <f t="shared" si="2"/>
        <v>#DIV/0!</v>
      </c>
      <c r="V15" s="40"/>
      <c r="W15" s="40"/>
      <c r="X15" s="40"/>
      <c r="Y15" s="69"/>
      <c r="Z15" s="40"/>
      <c r="AA15" s="40"/>
      <c r="AB15" s="40"/>
      <c r="AC15" s="40"/>
      <c r="AD15" s="40"/>
      <c r="AE15" s="40"/>
      <c r="AF15" s="40"/>
      <c r="AG15" s="14" t="e">
        <f t="shared" si="3"/>
        <v>#DIV/0!</v>
      </c>
      <c r="AH15" s="40"/>
      <c r="AI15" s="40"/>
      <c r="AJ15" s="40"/>
      <c r="AK15" s="40"/>
      <c r="AL15" s="40"/>
      <c r="EM15" s="5">
        <f t="shared" si="4"/>
        <v>48.625</v>
      </c>
      <c r="EN15" s="13"/>
      <c r="EO15" s="13"/>
      <c r="EP15" s="30">
        <f>((AVERAGE(EM10:EM15)*('Summary Page'!$C$2+1))*('Summary Page'!$C$2+1))*('Summary Page'!$C$2+1)</f>
        <v>128.31865866666664</v>
      </c>
      <c r="EQ15" s="7">
        <f>((AVERAGE(EM10:EM15)*('Summary Page'!$C$3+1))*('Summary Page'!$C$3+1))*('Summary Page'!$C$3+1)</f>
        <v>160.56315104166663</v>
      </c>
      <c r="ER15" s="7">
        <f>((AVERAGE(EM10:EM15)*('Summary Page'!$C$4+1))*('Summary Page'!$C$4+1))*('Summary Page'!$C$4+1)</f>
        <v>142.05599999999998</v>
      </c>
      <c r="ES15" s="7">
        <v>80</v>
      </c>
      <c r="ET15" s="5">
        <f t="shared" si="5"/>
        <v>48.5</v>
      </c>
      <c r="EU15" s="13"/>
      <c r="EV15" s="13"/>
      <c r="EW15" s="7">
        <f>((AVERAGE(ET10:ET15)*('Summary Page'!$C$2+1))*('Summary Page'!$C$2+1))*('Summary Page'!$C$2+1)</f>
        <v>104.31988266666664</v>
      </c>
      <c r="EX15" s="7">
        <f>((AVERAGE(ET10:ET15)*('Summary Page'!$C$3+1))*('Summary Page'!$C$3+1))*('Summary Page'!$C$3+1)</f>
        <v>130.53385416666663</v>
      </c>
      <c r="EY15" s="7">
        <f>((AVERAGE(ET10:ET15)*('Summary Page'!$C$4+1))*('Summary Page'!$C$4+1))*('Summary Page'!$C$4+1)</f>
        <v>115.48799999999997</v>
      </c>
      <c r="EZ15" s="5">
        <f t="shared" si="6"/>
        <v>63</v>
      </c>
      <c r="FA15" s="13"/>
      <c r="FB15" s="13"/>
      <c r="FC15" s="7">
        <f>((AVERAGE(EZ10:EZ15)*('Summary Page'!$C$2+1))*('Summary Page'!$C$2+1))*('Summary Page'!$C$2+1)</f>
        <v>170.78803733333331</v>
      </c>
      <c r="FD15" s="7">
        <f>((AVERAGE(EZ10:EZ15)*('Summary Page'!$C$3+1))*('Summary Page'!$C$3+1))*('Summary Page'!$C$3+1)</f>
        <v>213.70442708333337</v>
      </c>
      <c r="FE15" s="7">
        <f>((AVERAGE(EZ10:EZ15)*('Summary Page'!$C$4+1))*('Summary Page'!$C$4+1))*('Summary Page'!$C$4+1)</f>
        <v>189.072</v>
      </c>
      <c r="FF15" s="5">
        <f t="shared" si="7"/>
        <v>44.75</v>
      </c>
      <c r="FI15" s="40"/>
      <c r="FJ15" s="7">
        <f>((AVERAGE(C10:C15)*('Summary Page'!$C$2+1))*('Summary Page'!$C$2+1))*('Summary Page'!$C$2+1)</f>
        <v>168.0564693333333</v>
      </c>
      <c r="FK15" s="7">
        <f>((AVERAGE(C10:C15)*('Summary Page'!$C$3+1))*('Summary Page'!$C$3+1))*('Summary Page'!$C$3+1)</f>
        <v>210.28645833333337</v>
      </c>
      <c r="FL15" s="7">
        <f>((AVERAGE(C10:C15)*('Summary Page'!$C$4+1))*('Summary Page'!$C$4+1))*('Summary Page'!$C$4+1)</f>
        <v>186.04799999999997</v>
      </c>
      <c r="FO15" s="40"/>
      <c r="FP15" s="7">
        <f>((AVERAGE(D10:D15)*('Summary Page'!$C$2+1))*('Summary Page'!$C$2+1))*('Summary Page'!$C$2+1)</f>
        <v>99.637194666666659</v>
      </c>
      <c r="FQ15" s="7">
        <f>((AVERAGE(D10:D15)*('Summary Page'!$C$3+1))*('Summary Page'!$C$3+1))*('Summary Page'!$C$3+1)</f>
        <v>124.67447916666669</v>
      </c>
      <c r="FR15" s="7">
        <f>((AVERAGE(D10:D15)*('Summary Page'!$C$4+1))*('Summary Page'!$C$4+1))*('Summary Page'!$C$4+1)</f>
        <v>110.30399999999999</v>
      </c>
      <c r="FU15" s="40"/>
      <c r="FV15" s="7">
        <f>((AVERAGE(E10:E15)*('Summary Page'!$C$2+1))*('Summary Page'!$C$2+1))*('Summary Page'!$C$2+1)</f>
        <v>55.151658666666656</v>
      </c>
      <c r="FW15" s="7">
        <f>((AVERAGE(E10:E15)*('Summary Page'!$C$3+1))*('Summary Page'!$C$3+1))*('Summary Page'!$C$3+1)</f>
        <v>69.010416666666686</v>
      </c>
      <c r="FX15" s="7">
        <f>((AVERAGE(E10:E15)*('Summary Page'!$C$4+1))*('Summary Page'!$C$4+1))*('Summary Page'!$C$4+1)</f>
        <v>61.05599999999999</v>
      </c>
      <c r="GA15" s="40"/>
      <c r="GB15" s="7">
        <f>((AVERAGE(F10:F15)*('Summary Page'!$C$2+1))*('Summary Page'!$C$2+1))*('Summary Page'!$C$2+1)</f>
        <v>161.29258666666661</v>
      </c>
      <c r="GC15" s="7">
        <f>((AVERAGE(F10:F15)*('Summary Page'!$C$3+1))*('Summary Page'!$C$3+1))*('Summary Page'!$C$3+1)</f>
        <v>201.82291666666663</v>
      </c>
      <c r="GD15" s="7">
        <f>((AVERAGE(F10:F15)*('Summary Page'!$C$4+1))*('Summary Page'!$C$4+1))*('Summary Page'!$C$4+1)</f>
        <v>178.55999999999997</v>
      </c>
      <c r="GG15" s="40"/>
      <c r="GH15" s="7">
        <f>((AVERAGE(M10:M15)*('Summary Page'!$C$2+1))*('Summary Page'!$C$2+1))*('Summary Page'!$C$2+1)</f>
        <v>143.0821333333333</v>
      </c>
      <c r="GI15" s="7">
        <f>((AVERAGE(M10:M15)*('Summary Page'!$C$3+1))*('Summary Page'!$C$3+1))*('Summary Page'!$C$3+1)</f>
        <v>179.03645833333337</v>
      </c>
      <c r="GJ15" s="7">
        <f>((AVERAGE(M10:M15)*('Summary Page'!$C$4+1))*('Summary Page'!$C$4+1))*('Summary Page'!$C$4+1)</f>
        <v>158.4</v>
      </c>
      <c r="GM15" s="40"/>
      <c r="GN15" s="7">
        <f>((AVERAGE(G10:G15)*('Summary Page'!$C$2+1))*('Summary Page'!$C$2+1))*('Summary Page'!$C$2+1)</f>
        <v>122.0100373333333</v>
      </c>
      <c r="GO15" s="7">
        <f>((AVERAGE(G10:G15)*('Summary Page'!$C$3+1))*('Summary Page'!$C$3+1))*('Summary Page'!$C$3+1)</f>
        <v>152.66927083333337</v>
      </c>
      <c r="GP15" s="7">
        <f>((AVERAGE(G10:G15)*('Summary Page'!$C$4+1))*('Summary Page'!$C$4+1))*('Summary Page'!$C$4+1)</f>
        <v>135.07199999999997</v>
      </c>
      <c r="GS15" s="40"/>
      <c r="GT15" s="7">
        <f>((AVERAGE(H10:H15)*('Summary Page'!$C$2+1))*('Summary Page'!$C$2+1))*('Summary Page'!$C$2+1)</f>
        <v>78.825247999999988</v>
      </c>
      <c r="GU15" s="7">
        <f>((AVERAGE(H10:H15)*('Summary Page'!$C$3+1))*('Summary Page'!$C$3+1))*('Summary Page'!$C$3+1)</f>
        <v>98.6328125</v>
      </c>
      <c r="GV15" s="7">
        <f>((AVERAGE(H10:H15)*('Summary Page'!$C$4+1))*('Summary Page'!$C$4+1))*('Summary Page'!$C$4+1)</f>
        <v>87.263999999999982</v>
      </c>
      <c r="GY15" s="40"/>
      <c r="GZ15" s="7">
        <f>((AVERAGE(J10:J15)*('Summary Page'!$C$2+1))*('Summary Page'!$C$2+1))*('Summary Page'!$C$2+1)</f>
        <v>60.874943999999985</v>
      </c>
      <c r="HA15" s="7">
        <f>((AVERAGE(J10:J15)*('Summary Page'!$C$3+1))*('Summary Page'!$C$3+1))*('Summary Page'!$C$3+1)</f>
        <v>76.171875</v>
      </c>
      <c r="HB15" s="7">
        <f>((AVERAGE(J10:J15)*('Summary Page'!$C$4+1))*('Summary Page'!$C$4+1))*('Summary Page'!$C$4+1)</f>
        <v>67.391999999999996</v>
      </c>
      <c r="HE15" s="40"/>
      <c r="HF15" s="7">
        <f>((AVERAGE(K10:K15)*('Summary Page'!$C$2+1))*('Summary Page'!$C$2+1))*('Summary Page'!$C$2+1)</f>
        <v>198.49394133333328</v>
      </c>
      <c r="HG15" s="7">
        <f>((AVERAGE(K10:K15)*('Summary Page'!$C$3+1))*('Summary Page'!$C$3+1))*('Summary Page'!$C$3+1)</f>
        <v>248.37239583333337</v>
      </c>
      <c r="HH15" s="7">
        <f>((AVERAGE(K10:K15)*('Summary Page'!$C$4+1))*('Summary Page'!$C$4+1))*('Summary Page'!$C$4+1)</f>
        <v>219.74399999999997</v>
      </c>
      <c r="HK15" s="40"/>
      <c r="HL15" s="7" t="e">
        <f>((AVERAGE(L10:L15)*('Summary Page'!$C$2+1))*('Summary Page'!$C$2+1))*('Summary Page'!$C$2+1)</f>
        <v>#DIV/0!</v>
      </c>
      <c r="HM15" s="7" t="e">
        <f>((AVERAGE(L10:L15)*('Summary Page'!$C$3+1))*('Summary Page'!$C$3+1))*('Summary Page'!$C$3+1)</f>
        <v>#DIV/0!</v>
      </c>
      <c r="HN15" s="7" t="e">
        <f>((AVERAGE(L10:L15)*('Summary Page'!$C$4+1))*('Summary Page'!$C$4+1))*('Summary Page'!$C$4+1)</f>
        <v>#DIV/0!</v>
      </c>
      <c r="HR15" s="7" t="e">
        <f>((AVERAGE(AL10:AL15)*('Summary Page'!$C$2+1))*('Summary Page'!$C$2+1))*('Summary Page'!$C$2+1)</f>
        <v>#DIV/0!</v>
      </c>
      <c r="HS15" s="7" t="e">
        <f>((AVERAGE(AL10:AL15)*('Summary Page'!$C$3+1))*('Summary Page'!$C$3+1))*('Summary Page'!$C$3+1)</f>
        <v>#DIV/0!</v>
      </c>
      <c r="HT15" s="7" t="e">
        <f>((AVERAGE(AL10:AL15)*('Summary Page'!$C$4+1))*('Summary Page'!$C$4+1))*('Summary Page'!$C$4+1)</f>
        <v>#DIV/0!</v>
      </c>
      <c r="HU15" s="7">
        <v>100</v>
      </c>
      <c r="HV15" s="9"/>
    </row>
    <row r="16" spans="1:241" ht="15.75" x14ac:dyDescent="0.25">
      <c r="A16" s="20">
        <v>43525</v>
      </c>
      <c r="B16" s="20"/>
      <c r="C16" s="87">
        <v>48</v>
      </c>
      <c r="D16" s="88">
        <v>16</v>
      </c>
      <c r="E16" s="88">
        <v>23</v>
      </c>
      <c r="F16" s="88">
        <v>80</v>
      </c>
      <c r="G16" s="88">
        <v>63</v>
      </c>
      <c r="H16" s="88">
        <v>34</v>
      </c>
      <c r="I16" s="30">
        <f t="shared" si="1"/>
        <v>50</v>
      </c>
      <c r="J16" s="88">
        <v>10</v>
      </c>
      <c r="K16" s="88">
        <v>41</v>
      </c>
      <c r="L16" s="88"/>
      <c r="M16" s="88">
        <v>61</v>
      </c>
      <c r="N16" s="20"/>
      <c r="O16" s="88"/>
      <c r="P16" s="88"/>
      <c r="Q16" s="88"/>
      <c r="R16" s="88"/>
      <c r="S16" s="88"/>
      <c r="T16" s="88"/>
      <c r="U16" s="30" t="e">
        <f t="shared" si="2"/>
        <v>#DIV/0!</v>
      </c>
      <c r="V16" s="88"/>
      <c r="W16" s="88"/>
      <c r="X16" s="40"/>
      <c r="Y16" s="89"/>
      <c r="Z16" s="88"/>
      <c r="AA16" s="88"/>
      <c r="AB16" s="88"/>
      <c r="AC16" s="88"/>
      <c r="AD16" s="88"/>
      <c r="AE16" s="88"/>
      <c r="AF16" s="88"/>
      <c r="AG16" s="30" t="e">
        <f t="shared" si="3"/>
        <v>#DIV/0!</v>
      </c>
      <c r="AH16" s="88"/>
      <c r="AI16" s="88"/>
      <c r="AJ16" s="88"/>
      <c r="AK16" s="88"/>
      <c r="AL16" s="88"/>
      <c r="AM16" s="31"/>
      <c r="EM16" s="5">
        <f t="shared" si="4"/>
        <v>45.75</v>
      </c>
      <c r="EN16" s="29"/>
      <c r="EO16" s="29"/>
      <c r="EP16" s="30">
        <f>((AVERAGE(EM11:EM16)*('Summary Page'!$C$2+1))*('Summary Page'!$C$2+1))*('Summary Page'!$C$2+1)</f>
        <v>112.44954933333331</v>
      </c>
      <c r="EQ16" s="7">
        <f>((AVERAGE(EM11:EM16)*('Summary Page'!$C$3+1))*('Summary Page'!$C$3+1))*('Summary Page'!$C$3+1)</f>
        <v>140.70638020833337</v>
      </c>
      <c r="ER16" s="7">
        <f>((AVERAGE(EM11:EM16)*('Summary Page'!$C$4+1))*('Summary Page'!$C$4+1))*('Summary Page'!$C$4+1)</f>
        <v>124.48799999999999</v>
      </c>
      <c r="ES16" s="30">
        <v>80</v>
      </c>
      <c r="ET16" s="28">
        <f t="shared" si="5"/>
        <v>50</v>
      </c>
      <c r="EU16" s="29"/>
      <c r="EV16" s="29"/>
      <c r="EW16" s="7">
        <f>((AVERAGE(ET11:ET16)*('Summary Page'!$C$2+1))*('Summary Page'!$C$2+1))*('Summary Page'!$C$2+1)</f>
        <v>98.791709333333316</v>
      </c>
      <c r="EX16" s="7">
        <f>((AVERAGE(ET11:ET16)*('Summary Page'!$C$3+1))*('Summary Page'!$C$3+1))*('Summary Page'!$C$3+1)</f>
        <v>123.61653645833331</v>
      </c>
      <c r="EY16" s="7">
        <f>((AVERAGE(ET11:ET16)*('Summary Page'!$C$4+1))*('Summary Page'!$C$4+1))*('Summary Page'!$C$4+1)</f>
        <v>109.36799999999998</v>
      </c>
      <c r="EZ16" s="29">
        <f t="shared" si="6"/>
        <v>51</v>
      </c>
      <c r="FA16" s="29"/>
      <c r="FB16" s="29"/>
      <c r="FC16" s="7">
        <f>((AVERAGE(EZ11:EZ16)*('Summary Page'!$C$2+1))*('Summary Page'!$C$2+1))*('Summary Page'!$C$2+1)</f>
        <v>153.6181813333333</v>
      </c>
      <c r="FD16" s="7">
        <f>((AVERAGE(EZ11:EZ16)*('Summary Page'!$C$3+1))*('Summary Page'!$C$3+1))*('Summary Page'!$C$3+1)</f>
        <v>192.22005208333337</v>
      </c>
      <c r="FE16" s="7">
        <f>((AVERAGE(EZ11:EZ16)*('Summary Page'!$C$4+1))*('Summary Page'!$C$4+1))*('Summary Page'!$C$4+1)</f>
        <v>170.06399999999999</v>
      </c>
      <c r="FF16" s="29">
        <f t="shared" si="7"/>
        <v>41.9</v>
      </c>
      <c r="FI16" s="88"/>
      <c r="FJ16" s="7">
        <f>((AVERAGE(C11:C16)*('Summary Page'!$C$2+1))*('Summary Page'!$C$2+1))*('Summary Page'!$C$2+1)</f>
        <v>113.94540799999997</v>
      </c>
      <c r="FK16" s="7">
        <f>((AVERAGE(C11:C16)*('Summary Page'!$C$3+1))*('Summary Page'!$C$3+1))*('Summary Page'!$C$3+1)</f>
        <v>142.578125</v>
      </c>
      <c r="FL16" s="7">
        <f>((AVERAGE(C11:C16)*('Summary Page'!$C$4+1))*('Summary Page'!$C$4+1))*('Summary Page'!$C$4+1)</f>
        <v>126.14399999999998</v>
      </c>
      <c r="FO16" s="88"/>
      <c r="FP16" s="7">
        <f>((AVERAGE(D11:D16)*('Summary Page'!$C$2+1))*('Summary Page'!$C$2+1))*('Summary Page'!$C$2+1)</f>
        <v>83.247786666666656</v>
      </c>
      <c r="FQ16" s="7">
        <f>((AVERAGE(D11:D16)*('Summary Page'!$C$3+1))*('Summary Page'!$C$3+1))*('Summary Page'!$C$3+1)</f>
        <v>104.16666666666669</v>
      </c>
      <c r="FR16" s="7">
        <f>((AVERAGE(D11:D16)*('Summary Page'!$C$4+1))*('Summary Page'!$C$4+1))*('Summary Page'!$C$4+1)</f>
        <v>92.16</v>
      </c>
      <c r="FU16" s="88"/>
      <c r="FV16" s="7">
        <f>((AVERAGE(E11:E16)*('Summary Page'!$C$2+1))*('Summary Page'!$C$2+1))*('Summary Page'!$C$2+1)</f>
        <v>51.249418666666656</v>
      </c>
      <c r="FW16" s="7">
        <f>((AVERAGE(E11:E16)*('Summary Page'!$C$3+1))*('Summary Page'!$C$3+1))*('Summary Page'!$C$3+1)</f>
        <v>64.127604166666686</v>
      </c>
      <c r="FX16" s="7">
        <f>((AVERAGE(E11:E16)*('Summary Page'!$C$4+1))*('Summary Page'!$C$4+1))*('Summary Page'!$C$4+1)</f>
        <v>56.73599999999999</v>
      </c>
      <c r="GA16" s="88"/>
      <c r="GB16" s="7">
        <f>((AVERAGE(F11:F16)*('Summary Page'!$C$2+1))*('Summary Page'!$C$2+1))*('Summary Page'!$C$2+1)</f>
        <v>154.78885333333329</v>
      </c>
      <c r="GC16" s="7">
        <f>((AVERAGE(F11:F16)*('Summary Page'!$C$3+1))*('Summary Page'!$C$3+1))*('Summary Page'!$C$3+1)</f>
        <v>193.68489583333337</v>
      </c>
      <c r="GD16" s="7">
        <f>((AVERAGE(F11:F16)*('Summary Page'!$C$4+1))*('Summary Page'!$C$4+1))*('Summary Page'!$C$4+1)</f>
        <v>171.35999999999999</v>
      </c>
      <c r="GG16" s="88"/>
      <c r="GH16" s="7">
        <f>((AVERAGE(M11:M16)*('Summary Page'!$C$2+1))*('Summary Page'!$C$2+1))*('Summary Page'!$C$2+1)</f>
        <v>134.75735466666666</v>
      </c>
      <c r="GI16" s="7">
        <f>((AVERAGE(M11:M16)*('Summary Page'!$C$3+1))*('Summary Page'!$C$3+1))*('Summary Page'!$C$3+1)</f>
        <v>168.61979166666663</v>
      </c>
      <c r="GJ16" s="7">
        <f>((AVERAGE(M11:M16)*('Summary Page'!$C$4+1))*('Summary Page'!$C$4+1))*('Summary Page'!$C$4+1)</f>
        <v>149.184</v>
      </c>
      <c r="GM16" s="88"/>
      <c r="GN16" s="7">
        <f>((AVERAGE(G11:G16)*('Summary Page'!$C$2+1))*('Summary Page'!$C$2+1))*('Summary Page'!$C$2+1)</f>
        <v>116.02660266666663</v>
      </c>
      <c r="GO16" s="7">
        <f>((AVERAGE(G11:G16)*('Summary Page'!$C$3+1))*('Summary Page'!$C$3+1))*('Summary Page'!$C$3+1)</f>
        <v>145.18229166666663</v>
      </c>
      <c r="GP16" s="7">
        <f>((AVERAGE(G11:G16)*('Summary Page'!$C$4+1))*('Summary Page'!$C$4+1))*('Summary Page'!$C$4+1)</f>
        <v>128.44799999999998</v>
      </c>
      <c r="GS16" s="88"/>
      <c r="GT16" s="7">
        <f>((AVERAGE(H11:H16)*('Summary Page'!$C$2+1))*('Summary Page'!$C$2+1))*('Summary Page'!$C$2+1)</f>
        <v>73.101962666666651</v>
      </c>
      <c r="GU16" s="7">
        <f>((AVERAGE(H11:H16)*('Summary Page'!$C$3+1))*('Summary Page'!$C$3+1))*('Summary Page'!$C$3+1)</f>
        <v>91.471354166666686</v>
      </c>
      <c r="GV16" s="7">
        <f>((AVERAGE(H11:H16)*('Summary Page'!$C$4+1))*('Summary Page'!$C$4+1))*('Summary Page'!$C$4+1)</f>
        <v>80.927999999999997</v>
      </c>
      <c r="GY16" s="88"/>
      <c r="GZ16" s="7">
        <f>((AVERAGE(J11:J16)*('Summary Page'!$C$2+1))*('Summary Page'!$C$2+1))*('Summary Page'!$C$2+1)</f>
        <v>48.387775999999995</v>
      </c>
      <c r="HA16" s="7">
        <f>((AVERAGE(J11:J16)*('Summary Page'!$C$3+1))*('Summary Page'!$C$3+1))*('Summary Page'!$C$3+1)</f>
        <v>60.546875</v>
      </c>
      <c r="HB16" s="7">
        <f>((AVERAGE(J11:J16)*('Summary Page'!$C$4+1))*('Summary Page'!$C$4+1))*('Summary Page'!$C$4+1)</f>
        <v>53.567999999999991</v>
      </c>
      <c r="HE16" s="88"/>
      <c r="HF16" s="7">
        <f>((AVERAGE(K11:K16)*('Summary Page'!$C$2+1))*('Summary Page'!$C$2+1))*('Summary Page'!$C$2+1)</f>
        <v>172.47900799999994</v>
      </c>
      <c r="HG16" s="7">
        <f>((AVERAGE(K11:K16)*('Summary Page'!$C$3+1))*('Summary Page'!$C$3+1))*('Summary Page'!$C$3+1)</f>
        <v>215.8203125</v>
      </c>
      <c r="HH16" s="7">
        <f>((AVERAGE(K11:K16)*('Summary Page'!$C$4+1))*('Summary Page'!$C$4+1))*('Summary Page'!$C$4+1)</f>
        <v>190.94399999999996</v>
      </c>
      <c r="HK16" s="88"/>
      <c r="HL16" s="7" t="e">
        <f>((AVERAGE(L11:L16)*('Summary Page'!$C$2+1))*('Summary Page'!$C$2+1))*('Summary Page'!$C$2+1)</f>
        <v>#DIV/0!</v>
      </c>
      <c r="HM16" s="7" t="e">
        <f>((AVERAGE(L11:L16)*('Summary Page'!$C$3+1))*('Summary Page'!$C$3+1))*('Summary Page'!$C$3+1)</f>
        <v>#DIV/0!</v>
      </c>
      <c r="HN16" s="7" t="e">
        <f>((AVERAGE(L11:L16)*('Summary Page'!$C$4+1))*('Summary Page'!$C$4+1))*('Summary Page'!$C$4+1)</f>
        <v>#DIV/0!</v>
      </c>
      <c r="HQ16" s="31"/>
      <c r="HR16" s="7" t="e">
        <f>((AVERAGE(AL11:AL16)*('Summary Page'!$C$2+1))*('Summary Page'!$C$2+1))*('Summary Page'!$C$2+1)</f>
        <v>#DIV/0!</v>
      </c>
      <c r="HS16" s="7" t="e">
        <f>((AVERAGE(AL11:AL16)*('Summary Page'!$C$3+1))*('Summary Page'!$C$3+1))*('Summary Page'!$C$3+1)</f>
        <v>#DIV/0!</v>
      </c>
      <c r="HT16" s="7" t="e">
        <f>((AVERAGE(AL11:AL16)*('Summary Page'!$C$4+1))*('Summary Page'!$C$4+1))*('Summary Page'!$C$4+1)</f>
        <v>#DIV/0!</v>
      </c>
      <c r="HU16" s="7">
        <v>100</v>
      </c>
    </row>
    <row r="17" spans="1:241" ht="15.75" x14ac:dyDescent="0.25">
      <c r="A17" s="20">
        <v>43538</v>
      </c>
      <c r="B17" s="80"/>
      <c r="C17" s="64">
        <v>43</v>
      </c>
      <c r="D17" s="40">
        <v>5</v>
      </c>
      <c r="E17" s="40">
        <v>20</v>
      </c>
      <c r="F17" s="40">
        <v>71</v>
      </c>
      <c r="G17" s="40">
        <v>66</v>
      </c>
      <c r="H17" s="40">
        <v>35</v>
      </c>
      <c r="I17" s="7">
        <f t="shared" si="1"/>
        <v>48</v>
      </c>
      <c r="J17" s="40">
        <v>10</v>
      </c>
      <c r="K17" s="40">
        <v>39</v>
      </c>
      <c r="L17" s="40"/>
      <c r="M17" s="40">
        <v>51</v>
      </c>
      <c r="N17" s="80"/>
      <c r="O17" s="40"/>
      <c r="P17" s="40"/>
      <c r="Q17" s="40"/>
      <c r="R17" s="40"/>
      <c r="S17" s="40"/>
      <c r="T17" s="40"/>
      <c r="U17" s="7" t="e">
        <f t="shared" si="2"/>
        <v>#DIV/0!</v>
      </c>
      <c r="V17" s="40"/>
      <c r="W17" s="40"/>
      <c r="X17" s="40"/>
      <c r="Y17" s="69"/>
      <c r="Z17" s="40"/>
      <c r="AA17" s="40"/>
      <c r="AB17" s="40"/>
      <c r="AC17" s="40"/>
      <c r="AD17" s="40"/>
      <c r="AE17" s="40"/>
      <c r="AF17" s="40"/>
      <c r="AG17" s="7" t="e">
        <f t="shared" si="3"/>
        <v>#DIV/0!</v>
      </c>
      <c r="AH17" s="40"/>
      <c r="AI17" s="40"/>
      <c r="AJ17" s="40"/>
      <c r="AK17" s="40"/>
      <c r="AL17" s="40"/>
      <c r="EM17" s="5">
        <f t="shared" si="4"/>
        <v>41.25</v>
      </c>
      <c r="EN17" s="13"/>
      <c r="EO17" s="13"/>
      <c r="EP17" s="30">
        <f>((AVERAGE(EM12:EM17)*('Summary Page'!$C$2+1))*('Summary Page'!$C$2+1))*('Summary Page'!$C$2+1)</f>
        <v>99.246970666666641</v>
      </c>
      <c r="EQ17" s="7">
        <f>((AVERAGE(EM12:EM17)*('Summary Page'!$C$3+1))*('Summary Page'!$C$3+1))*('Summary Page'!$C$3+1)</f>
        <v>124.18619791666669</v>
      </c>
      <c r="ER17" s="7">
        <f>((AVERAGE(EM12:EM17)*('Summary Page'!$C$4+1))*('Summary Page'!$C$4+1))*('Summary Page'!$C$4+1)</f>
        <v>109.87199999999999</v>
      </c>
      <c r="ES17" s="7">
        <v>80</v>
      </c>
      <c r="ET17" s="5">
        <f t="shared" si="5"/>
        <v>48</v>
      </c>
      <c r="EU17" s="13"/>
      <c r="EV17" s="13"/>
      <c r="EW17" s="7">
        <f>((AVERAGE(ET12:ET17)*('Summary Page'!$C$2+1))*('Summary Page'!$C$2+1))*('Summary Page'!$C$2+1)</f>
        <v>92.613162666666653</v>
      </c>
      <c r="EX17" s="7">
        <f>((AVERAGE(ET12:ET17)*('Summary Page'!$C$3+1))*('Summary Page'!$C$3+1))*('Summary Page'!$C$3+1)</f>
        <v>115.88541666666669</v>
      </c>
      <c r="EY17" s="7">
        <f>((AVERAGE(ET12:ET17)*('Summary Page'!$C$4+1))*('Summary Page'!$C$4+1))*('Summary Page'!$C$4+1)</f>
        <v>102.52799999999999</v>
      </c>
      <c r="EZ17" s="13">
        <f t="shared" si="6"/>
        <v>45</v>
      </c>
      <c r="FA17" s="13"/>
      <c r="FB17" s="13"/>
      <c r="FC17" s="7">
        <f>((AVERAGE(EZ12:EZ17)*('Summary Page'!$C$2+1))*('Summary Page'!$C$2+1))*('Summary Page'!$C$2+1)</f>
        <v>133.84683199999998</v>
      </c>
      <c r="FD17" s="7">
        <f>((AVERAGE(EZ12:EZ17)*('Summary Page'!$C$3+1))*('Summary Page'!$C$3+1))*('Summary Page'!$C$3+1)</f>
        <v>167.48046875</v>
      </c>
      <c r="FE17" s="7">
        <f>((AVERAGE(EZ12:EZ17)*('Summary Page'!$C$4+1))*('Summary Page'!$C$4+1))*('Summary Page'!$C$4+1)</f>
        <v>148.17599999999999</v>
      </c>
      <c r="FF17" s="13">
        <f t="shared" si="7"/>
        <v>38.4</v>
      </c>
      <c r="FI17" s="40"/>
      <c r="FJ17" s="7">
        <f>((AVERAGE(C12:C17)*('Summary Page'!$C$2+1))*('Summary Page'!$C$2+1))*('Summary Page'!$C$2+1)</f>
        <v>91.052266666666668</v>
      </c>
      <c r="FK17" s="7">
        <f>((AVERAGE(C12:C17)*('Summary Page'!$C$3+1))*('Summary Page'!$C$3+1))*('Summary Page'!$C$3+1)</f>
        <v>113.93229166666669</v>
      </c>
      <c r="FL17" s="7">
        <f>((AVERAGE(C12:C17)*('Summary Page'!$C$4+1))*('Summary Page'!$C$4+1))*('Summary Page'!$C$4+1)</f>
        <v>100.8</v>
      </c>
      <c r="FO17" s="40"/>
      <c r="FP17" s="7">
        <f>((AVERAGE(D12:D17)*('Summary Page'!$C$2+1))*('Summary Page'!$C$2+1))*('Summary Page'!$C$2+1)</f>
        <v>64.777183999999991</v>
      </c>
      <c r="FQ17" s="7">
        <f>((AVERAGE(D12:D17)*('Summary Page'!$C$3+1))*('Summary Page'!$C$3+1))*('Summary Page'!$C$3+1)</f>
        <v>81.0546875</v>
      </c>
      <c r="FR17" s="7">
        <f>((AVERAGE(D12:D17)*('Summary Page'!$C$4+1))*('Summary Page'!$C$4+1))*('Summary Page'!$C$4+1)</f>
        <v>71.711999999999989</v>
      </c>
      <c r="FU17" s="40"/>
      <c r="FV17" s="7">
        <f>((AVERAGE(E12:E17)*('Summary Page'!$C$2+1))*('Summary Page'!$C$2+1))*('Summary Page'!$C$2+1)</f>
        <v>46.306581333333327</v>
      </c>
      <c r="FW17" s="7">
        <f>((AVERAGE(E12:E17)*('Summary Page'!$C$3+1))*('Summary Page'!$C$3+1))*('Summary Page'!$C$3+1)</f>
        <v>57.942708333333343</v>
      </c>
      <c r="FX17" s="7">
        <f>((AVERAGE(E12:E17)*('Summary Page'!$C$4+1))*('Summary Page'!$C$4+1))*('Summary Page'!$C$4+1)</f>
        <v>51.263999999999996</v>
      </c>
      <c r="GA17" s="40"/>
      <c r="GB17" s="7">
        <f>((AVERAGE(F12:F17)*('Summary Page'!$C$2+1))*('Summary Page'!$C$2+1))*('Summary Page'!$C$2+1)</f>
        <v>145.68362666666661</v>
      </c>
      <c r="GC17" s="7">
        <f>((AVERAGE(F12:F17)*('Summary Page'!$C$3+1))*('Summary Page'!$C$3+1))*('Summary Page'!$C$3+1)</f>
        <v>182.29166666666663</v>
      </c>
      <c r="GD17" s="7">
        <f>((AVERAGE(F12:F17)*('Summary Page'!$C$4+1))*('Summary Page'!$C$4+1))*('Summary Page'!$C$4+1)</f>
        <v>161.27999999999997</v>
      </c>
      <c r="GG17" s="40"/>
      <c r="GH17" s="7">
        <f>((AVERAGE(M12:M17)*('Summary Page'!$C$2+1))*('Summary Page'!$C$2+1))*('Summary Page'!$C$2+1)</f>
        <v>123.57093333333331</v>
      </c>
      <c r="GI17" s="7">
        <f>((AVERAGE(M12:M17)*('Summary Page'!$C$3+1))*('Summary Page'!$C$3+1))*('Summary Page'!$C$3+1)</f>
        <v>154.62239583333337</v>
      </c>
      <c r="GJ17" s="7">
        <f>((AVERAGE(M12:M17)*('Summary Page'!$C$4+1))*('Summary Page'!$C$4+1))*('Summary Page'!$C$4+1)</f>
        <v>136.79999999999998</v>
      </c>
      <c r="GM17" s="40"/>
      <c r="GN17" s="7">
        <f>((AVERAGE(G12:G17)*('Summary Page'!$C$2+1))*('Summary Page'!$C$2+1))*('Summary Page'!$C$2+1)</f>
        <v>111.0837653333333</v>
      </c>
      <c r="GO17" s="7">
        <f>((AVERAGE(G12:G17)*('Summary Page'!$C$3+1))*('Summary Page'!$C$3+1))*('Summary Page'!$C$3+1)</f>
        <v>138.99739583333337</v>
      </c>
      <c r="GP17" s="7">
        <f>((AVERAGE(G12:G17)*('Summary Page'!$C$4+1))*('Summary Page'!$C$4+1))*('Summary Page'!$C$4+1)</f>
        <v>122.976</v>
      </c>
      <c r="GS17" s="40"/>
      <c r="GT17" s="7">
        <f>((AVERAGE(H12:H17)*('Summary Page'!$C$2+1))*('Summary Page'!$C$2+1))*('Summary Page'!$C$2+1)</f>
        <v>67.378677333333329</v>
      </c>
      <c r="GU17" s="7">
        <f>((AVERAGE(H12:H17)*('Summary Page'!$C$3+1))*('Summary Page'!$C$3+1))*('Summary Page'!$C$3+1)</f>
        <v>84.309895833333314</v>
      </c>
      <c r="GV17" s="7">
        <f>((AVERAGE(H12:H17)*('Summary Page'!$C$4+1))*('Summary Page'!$C$4+1))*('Summary Page'!$C$4+1)</f>
        <v>74.591999999999999</v>
      </c>
      <c r="GY17" s="40"/>
      <c r="GZ17" s="7">
        <f>((AVERAGE(J12:J17)*('Summary Page'!$C$2+1))*('Summary Page'!$C$2+1))*('Summary Page'!$C$2+1)</f>
        <v>36.681055999999991</v>
      </c>
      <c r="HA17" s="7">
        <f>((AVERAGE(J12:J17)*('Summary Page'!$C$3+1))*('Summary Page'!$C$3+1))*('Summary Page'!$C$3+1)</f>
        <v>45.8984375</v>
      </c>
      <c r="HB17" s="7">
        <f>((AVERAGE(J12:J17)*('Summary Page'!$C$4+1))*('Summary Page'!$C$4+1))*('Summary Page'!$C$4+1)</f>
        <v>40.607999999999997</v>
      </c>
      <c r="HE17" s="40"/>
      <c r="HF17" s="7">
        <f>((AVERAGE(K12:K17)*('Summary Page'!$C$2+1))*('Summary Page'!$C$2+1))*('Summary Page'!$C$2+1)</f>
        <v>144.12273066666663</v>
      </c>
      <c r="HG17" s="7">
        <f>((AVERAGE(K12:K17)*('Summary Page'!$C$3+1))*('Summary Page'!$C$3+1))*('Summary Page'!$C$3+1)</f>
        <v>180.33854166666663</v>
      </c>
      <c r="HH17" s="7">
        <f>((AVERAGE(K12:K17)*('Summary Page'!$C$4+1))*('Summary Page'!$C$4+1))*('Summary Page'!$C$4+1)</f>
        <v>159.55199999999996</v>
      </c>
      <c r="HK17" s="40"/>
      <c r="HL17" s="7" t="e">
        <f>((AVERAGE(L12:L17)*('Summary Page'!$C$2+1))*('Summary Page'!$C$2+1))*('Summary Page'!$C$2+1)</f>
        <v>#DIV/0!</v>
      </c>
      <c r="HM17" s="7" t="e">
        <f>((AVERAGE(L12:L17)*('Summary Page'!$C$3+1))*('Summary Page'!$C$3+1))*('Summary Page'!$C$3+1)</f>
        <v>#DIV/0!</v>
      </c>
      <c r="HN17" s="7" t="e">
        <f>((AVERAGE(L12:L17)*('Summary Page'!$C$4+1))*('Summary Page'!$C$4+1))*('Summary Page'!$C$4+1)</f>
        <v>#DIV/0!</v>
      </c>
      <c r="HR17" s="7" t="e">
        <f>((AVERAGE(AL12:AL17)*('Summary Page'!$C$2+1))*('Summary Page'!$C$2+1))*('Summary Page'!$C$2+1)</f>
        <v>#DIV/0!</v>
      </c>
      <c r="HS17" s="7" t="e">
        <f>((AVERAGE(AL12:AL17)*('Summary Page'!$C$3+1))*('Summary Page'!$C$3+1))*('Summary Page'!$C$3+1)</f>
        <v>#DIV/0!</v>
      </c>
      <c r="HT17" s="7" t="e">
        <f>((AVERAGE(AL12:AL17)*('Summary Page'!$C$4+1))*('Summary Page'!$C$4+1))*('Summary Page'!$C$4+1)</f>
        <v>#DIV/0!</v>
      </c>
      <c r="HU17" s="7">
        <v>100</v>
      </c>
    </row>
    <row r="18" spans="1:241" ht="15.75" x14ac:dyDescent="0.25">
      <c r="A18" s="20">
        <v>43556</v>
      </c>
      <c r="B18" s="80"/>
      <c r="C18" s="64">
        <v>42</v>
      </c>
      <c r="D18" s="40">
        <v>10</v>
      </c>
      <c r="E18" s="40">
        <v>21</v>
      </c>
      <c r="F18" s="40">
        <v>64</v>
      </c>
      <c r="G18" s="40">
        <v>53</v>
      </c>
      <c r="H18" s="40">
        <v>38</v>
      </c>
      <c r="I18" s="7">
        <f t="shared" si="1"/>
        <v>44</v>
      </c>
      <c r="J18" s="40">
        <v>12</v>
      </c>
      <c r="K18" s="40">
        <v>37</v>
      </c>
      <c r="L18" s="40"/>
      <c r="M18" s="40">
        <v>56</v>
      </c>
      <c r="N18" s="80"/>
      <c r="O18" s="40"/>
      <c r="P18" s="40"/>
      <c r="Q18" s="40"/>
      <c r="R18" s="40"/>
      <c r="S18" s="40"/>
      <c r="T18" s="40"/>
      <c r="U18" s="7" t="e">
        <f t="shared" si="2"/>
        <v>#DIV/0!</v>
      </c>
      <c r="V18" s="40"/>
      <c r="W18" s="40"/>
      <c r="X18" s="40"/>
      <c r="Y18" s="69"/>
      <c r="Z18" s="40"/>
      <c r="AA18" s="40"/>
      <c r="AB18" s="40"/>
      <c r="AC18" s="40"/>
      <c r="AD18" s="40"/>
      <c r="AE18" s="40"/>
      <c r="AF18" s="40"/>
      <c r="AG18" s="7" t="e">
        <f t="shared" si="3"/>
        <v>#DIV/0!</v>
      </c>
      <c r="AH18" s="40"/>
      <c r="AI18" s="40"/>
      <c r="AJ18" s="40"/>
      <c r="AK18" s="40"/>
      <c r="AL18" s="40"/>
      <c r="EM18" s="5">
        <f t="shared" si="4"/>
        <v>40.125</v>
      </c>
      <c r="EN18" s="13"/>
      <c r="EO18" s="13"/>
      <c r="EP18" s="30">
        <f>((AVERAGE(EM13:EM18)*('Summary Page'!$C$2+1))*('Summary Page'!$C$2+1))*('Summary Page'!$C$2+1)</f>
        <v>85.751723999999982</v>
      </c>
      <c r="EQ18" s="7">
        <f>((AVERAGE(EM13:EM18)*('Summary Page'!$C$3+1))*('Summary Page'!$C$3+1))*('Summary Page'!$C$3+1)</f>
        <v>107.2998046875</v>
      </c>
      <c r="ER18" s="7">
        <f>((AVERAGE(EM13:EM18)*('Summary Page'!$C$4+1))*('Summary Page'!$C$4+1))*('Summary Page'!$C$4+1)</f>
        <v>94.932000000000002</v>
      </c>
      <c r="ES18" s="7">
        <v>80</v>
      </c>
      <c r="ET18" s="5">
        <f t="shared" si="5"/>
        <v>44</v>
      </c>
      <c r="EU18" s="13"/>
      <c r="EV18" s="13"/>
      <c r="EW18" s="7">
        <f>((AVERAGE(ET13:ET18)*('Summary Page'!$C$2+1))*('Summary Page'!$C$2+1))*('Summary Page'!$C$2+1)</f>
        <v>85.394018666666653</v>
      </c>
      <c r="EX18" s="7">
        <f>((AVERAGE(ET13:ET18)*('Summary Page'!$C$3+1))*('Summary Page'!$C$3+1))*('Summary Page'!$C$3+1)</f>
        <v>106.85221354166669</v>
      </c>
      <c r="EY18" s="7">
        <f>((AVERAGE(ET13:ET18)*('Summary Page'!$C$4+1))*('Summary Page'!$C$4+1))*('Summary Page'!$C$4+1)</f>
        <v>94.536000000000001</v>
      </c>
      <c r="EZ18" s="13">
        <f t="shared" si="6"/>
        <v>46.5</v>
      </c>
      <c r="FA18" s="13"/>
      <c r="FB18" s="13"/>
      <c r="FC18" s="7">
        <f>((AVERAGE(EZ13:EZ18)*('Summary Page'!$C$2+1))*('Summary Page'!$C$2+1))*('Summary Page'!$C$2+1)</f>
        <v>114.46570666666663</v>
      </c>
      <c r="FD18" s="7">
        <f>((AVERAGE(EZ13:EZ18)*('Summary Page'!$C$3+1))*('Summary Page'!$C$3+1))*('Summary Page'!$C$3+1)</f>
        <v>143.22916666666663</v>
      </c>
      <c r="FE18" s="7">
        <f>((AVERAGE(EZ13:EZ18)*('Summary Page'!$C$4+1))*('Summary Page'!$C$4+1))*('Summary Page'!$C$4+1)</f>
        <v>126.71999999999997</v>
      </c>
      <c r="FF18" s="13">
        <f t="shared" si="7"/>
        <v>37.200000000000003</v>
      </c>
      <c r="FI18" s="40"/>
      <c r="FJ18" s="7">
        <f>((AVERAGE(C13:C18)*('Summary Page'!$C$2+1))*('Summary Page'!$C$2+1))*('Summary Page'!$C$2+1)</f>
        <v>67.898975999999976</v>
      </c>
      <c r="FK18" s="7">
        <f>((AVERAGE(C13:C18)*('Summary Page'!$C$3+1))*('Summary Page'!$C$3+1))*('Summary Page'!$C$3+1)</f>
        <v>84.9609375</v>
      </c>
      <c r="FL18" s="7">
        <f>((AVERAGE(C13:C18)*('Summary Page'!$C$4+1))*('Summary Page'!$C$4+1))*('Summary Page'!$C$4+1)</f>
        <v>75.167999999999992</v>
      </c>
      <c r="FO18" s="40"/>
      <c r="FP18" s="7">
        <f>((AVERAGE(D13:D18)*('Summary Page'!$C$2+1))*('Summary Page'!$C$2+1))*('Summary Page'!$C$2+1)</f>
        <v>47.607327999999988</v>
      </c>
      <c r="FQ18" s="7">
        <f>((AVERAGE(D13:D18)*('Summary Page'!$C$3+1))*('Summary Page'!$C$3+1))*('Summary Page'!$C$3+1)</f>
        <v>59.5703125</v>
      </c>
      <c r="FR18" s="7">
        <f>((AVERAGE(D13:D18)*('Summary Page'!$C$4+1))*('Summary Page'!$C$4+1))*('Summary Page'!$C$4+1)</f>
        <v>52.704000000000001</v>
      </c>
      <c r="FU18" s="40"/>
      <c r="FV18" s="7">
        <f>((AVERAGE(E13:E18)*('Summary Page'!$C$2+1))*('Summary Page'!$C$2+1))*('Summary Page'!$C$2+1)</f>
        <v>41.623893333333328</v>
      </c>
      <c r="FW18" s="7">
        <f>((AVERAGE(E13:E18)*('Summary Page'!$C$3+1))*('Summary Page'!$C$3+1))*('Summary Page'!$C$3+1)</f>
        <v>52.083333333333343</v>
      </c>
      <c r="FX18" s="7">
        <f>((AVERAGE(E13:E18)*('Summary Page'!$C$4+1))*('Summary Page'!$C$4+1))*('Summary Page'!$C$4+1)</f>
        <v>46.08</v>
      </c>
      <c r="GA18" s="40"/>
      <c r="GB18" s="7">
        <f>((AVERAGE(F13:F18)*('Summary Page'!$C$2+1))*('Summary Page'!$C$2+1))*('Summary Page'!$C$2+1)</f>
        <v>134.75735466666666</v>
      </c>
      <c r="GC18" s="7">
        <f>((AVERAGE(F13:F18)*('Summary Page'!$C$3+1))*('Summary Page'!$C$3+1))*('Summary Page'!$C$3+1)</f>
        <v>168.61979166666663</v>
      </c>
      <c r="GD18" s="7">
        <f>((AVERAGE(F13:F18)*('Summary Page'!$C$4+1))*('Summary Page'!$C$4+1))*('Summary Page'!$C$4+1)</f>
        <v>149.184</v>
      </c>
      <c r="GG18" s="40"/>
      <c r="GH18" s="7">
        <f>((AVERAGE(M13:M18)*('Summary Page'!$C$2+1))*('Summary Page'!$C$2+1))*('Summary Page'!$C$2+1)</f>
        <v>113.68525866666664</v>
      </c>
      <c r="GI18" s="7">
        <f>((AVERAGE(M13:M18)*('Summary Page'!$C$3+1))*('Summary Page'!$C$3+1))*('Summary Page'!$C$3+1)</f>
        <v>142.25260416666663</v>
      </c>
      <c r="GJ18" s="7">
        <f>((AVERAGE(M13:M18)*('Summary Page'!$C$4+1))*('Summary Page'!$C$4+1))*('Summary Page'!$C$4+1)</f>
        <v>125.85599999999997</v>
      </c>
      <c r="GM18" s="40"/>
      <c r="GN18" s="7">
        <f>((AVERAGE(G13:G18)*('Summary Page'!$C$2+1))*('Summary Page'!$C$2+1))*('Summary Page'!$C$2+1)</f>
        <v>102.75898666666664</v>
      </c>
      <c r="GO18" s="7">
        <f>((AVERAGE(G13:G18)*('Summary Page'!$C$3+1))*('Summary Page'!$C$3+1))*('Summary Page'!$C$3+1)</f>
        <v>128.58072916666663</v>
      </c>
      <c r="GP18" s="7">
        <f>((AVERAGE(G13:G18)*('Summary Page'!$C$4+1))*('Summary Page'!$C$4+1))*('Summary Page'!$C$4+1)</f>
        <v>113.75999999999998</v>
      </c>
      <c r="GS18" s="40"/>
      <c r="GT18" s="7">
        <f>((AVERAGE(H13:H18)*('Summary Page'!$C$2+1))*('Summary Page'!$C$2+1))*('Summary Page'!$C$2+1)</f>
        <v>62.435839999999992</v>
      </c>
      <c r="GU18" s="7">
        <f>((AVERAGE(H13:H18)*('Summary Page'!$C$3+1))*('Summary Page'!$C$3+1))*('Summary Page'!$C$3+1)</f>
        <v>78.125</v>
      </c>
      <c r="GV18" s="7">
        <f>((AVERAGE(H13:H18)*('Summary Page'!$C$4+1))*('Summary Page'!$C$4+1))*('Summary Page'!$C$4+1)</f>
        <v>69.11999999999999</v>
      </c>
      <c r="GY18" s="40"/>
      <c r="GZ18" s="7">
        <f>((AVERAGE(J13:J18)*('Summary Page'!$C$2+1))*('Summary Page'!$C$2+1))*('Summary Page'!$C$2+1)</f>
        <v>25.494634666666659</v>
      </c>
      <c r="HA18" s="7">
        <f>((AVERAGE(J13:J18)*('Summary Page'!$C$3+1))*('Summary Page'!$C$3+1))*('Summary Page'!$C$3+1)</f>
        <v>31.901041666666661</v>
      </c>
      <c r="HB18" s="7">
        <f>((AVERAGE(J13:J18)*('Summary Page'!$C$4+1))*('Summary Page'!$C$4+1))*('Summary Page'!$C$4+1)</f>
        <v>28.223999999999993</v>
      </c>
      <c r="HE18" s="40"/>
      <c r="HF18" s="7">
        <f>((AVERAGE(K13:K18)*('Summary Page'!$C$2+1))*('Summary Page'!$C$2+1))*('Summary Page'!$C$2+1)</f>
        <v>115.24615466666664</v>
      </c>
      <c r="HG18" s="7">
        <f>((AVERAGE(K13:K18)*('Summary Page'!$C$3+1))*('Summary Page'!$C$3+1))*('Summary Page'!$C$3+1)</f>
        <v>144.20572916666663</v>
      </c>
      <c r="HH18" s="7">
        <f>((AVERAGE(K13:K18)*('Summary Page'!$C$4+1))*('Summary Page'!$C$4+1))*('Summary Page'!$C$4+1)</f>
        <v>127.58399999999999</v>
      </c>
      <c r="HK18" s="40"/>
      <c r="HL18" s="7" t="e">
        <f>((AVERAGE(L13:L18)*('Summary Page'!$C$2+1))*('Summary Page'!$C$2+1))*('Summary Page'!$C$2+1)</f>
        <v>#DIV/0!</v>
      </c>
      <c r="HM18" s="7" t="e">
        <f>((AVERAGE(L13:L18)*('Summary Page'!$C$3+1))*('Summary Page'!$C$3+1))*('Summary Page'!$C$3+1)</f>
        <v>#DIV/0!</v>
      </c>
      <c r="HN18" s="7" t="e">
        <f>((AVERAGE(L13:L18)*('Summary Page'!$C$4+1))*('Summary Page'!$C$4+1))*('Summary Page'!$C$4+1)</f>
        <v>#DIV/0!</v>
      </c>
      <c r="HR18" s="7" t="e">
        <f>((AVERAGE(AL13:AL18)*('Summary Page'!$C$2+1))*('Summary Page'!$C$2+1))*('Summary Page'!$C$2+1)</f>
        <v>#DIV/0!</v>
      </c>
      <c r="HS18" s="7" t="e">
        <f>((AVERAGE(AL13:AL18)*('Summary Page'!$C$3+1))*('Summary Page'!$C$3+1))*('Summary Page'!$C$3+1)</f>
        <v>#DIV/0!</v>
      </c>
      <c r="HT18" s="7" t="e">
        <f>((AVERAGE(AL13:AL18)*('Summary Page'!$C$4+1))*('Summary Page'!$C$4+1))*('Summary Page'!$C$4+1)</f>
        <v>#DIV/0!</v>
      </c>
      <c r="HU18" s="7">
        <v>100</v>
      </c>
    </row>
    <row r="19" spans="1:241" ht="15.75" x14ac:dyDescent="0.25">
      <c r="A19" s="20">
        <v>43570</v>
      </c>
      <c r="B19" s="80"/>
      <c r="C19" s="64">
        <v>49</v>
      </c>
      <c r="D19" s="40">
        <v>3</v>
      </c>
      <c r="E19" s="40">
        <v>18</v>
      </c>
      <c r="F19" s="40">
        <v>64</v>
      </c>
      <c r="G19" s="40">
        <v>45</v>
      </c>
      <c r="H19" s="40">
        <v>33</v>
      </c>
      <c r="I19" s="7">
        <f t="shared" si="1"/>
        <v>40</v>
      </c>
      <c r="J19" s="40">
        <v>13</v>
      </c>
      <c r="K19" s="40">
        <v>36</v>
      </c>
      <c r="L19" s="40"/>
      <c r="M19" s="40">
        <v>79</v>
      </c>
      <c r="N19" s="80"/>
      <c r="O19" s="40"/>
      <c r="P19" s="40"/>
      <c r="Q19" s="40"/>
      <c r="R19" s="40"/>
      <c r="S19" s="40"/>
      <c r="T19" s="40"/>
      <c r="U19" s="7" t="e">
        <f t="shared" si="2"/>
        <v>#DIV/0!</v>
      </c>
      <c r="V19" s="40"/>
      <c r="W19" s="40"/>
      <c r="X19" s="40"/>
      <c r="Y19" s="69"/>
      <c r="Z19" s="40"/>
      <c r="AA19" s="40"/>
      <c r="AB19" s="40"/>
      <c r="AC19" s="40"/>
      <c r="AD19" s="40"/>
      <c r="AE19" s="40"/>
      <c r="AF19" s="40"/>
      <c r="AG19" s="7" t="e">
        <f t="shared" si="3"/>
        <v>#DIV/0!</v>
      </c>
      <c r="AH19" s="40"/>
      <c r="AI19" s="40"/>
      <c r="AJ19" s="40"/>
      <c r="AK19" s="40"/>
      <c r="AL19" s="40"/>
      <c r="EM19" s="5">
        <f t="shared" si="4"/>
        <v>40.875</v>
      </c>
      <c r="EN19" s="13"/>
      <c r="EO19" s="13"/>
      <c r="EP19" s="30">
        <f>((AVERAGE(EM14:EM19)*('Summary Page'!$C$2+1))*('Summary Page'!$C$2+1))*('Summary Page'!$C$2+1)</f>
        <v>74.110041333333314</v>
      </c>
      <c r="EQ19" s="7">
        <f>((AVERAGE(EM14:EM19)*('Summary Page'!$C$3+1))*('Summary Page'!$C$3+1))*('Summary Page'!$C$3+1)</f>
        <v>92.732747395833314</v>
      </c>
      <c r="ER19" s="7">
        <f>((AVERAGE(EM14:EM19)*('Summary Page'!$C$4+1))*('Summary Page'!$C$4+1))*('Summary Page'!$C$4+1)</f>
        <v>82.043999999999983</v>
      </c>
      <c r="ES19" s="7">
        <v>80</v>
      </c>
      <c r="ET19" s="5">
        <f t="shared" si="5"/>
        <v>40</v>
      </c>
      <c r="EU19" s="13"/>
      <c r="EV19" s="13"/>
      <c r="EW19" s="7">
        <f>((AVERAGE(ET14:ET19)*('Summary Page'!$C$2+1))*('Summary Page'!$C$2+1))*('Summary Page'!$C$2+1)</f>
        <v>76.67901599999999</v>
      </c>
      <c r="EX19" s="7">
        <f>((AVERAGE(ET14:ET19)*('Summary Page'!$C$3+1))*('Summary Page'!$C$3+1))*('Summary Page'!$C$3+1)</f>
        <v>95.947265625</v>
      </c>
      <c r="EY19" s="7">
        <f>((AVERAGE(ET14:ET19)*('Summary Page'!$C$4+1))*('Summary Page'!$C$4+1))*('Summary Page'!$C$4+1)</f>
        <v>84.887999999999991</v>
      </c>
      <c r="EZ19" s="13">
        <f t="shared" si="6"/>
        <v>57.5</v>
      </c>
      <c r="FA19" s="13"/>
      <c r="FB19" s="13"/>
      <c r="FC19" s="7">
        <f>((AVERAGE(EZ14:EZ19)*('Summary Page'!$C$2+1))*('Summary Page'!$C$2+1))*('Summary Page'!$C$2+1)</f>
        <v>96.77555199999999</v>
      </c>
      <c r="FD19" s="7">
        <f>((AVERAGE(EZ14:EZ19)*('Summary Page'!$C$3+1))*('Summary Page'!$C$3+1))*('Summary Page'!$C$3+1)</f>
        <v>121.09375</v>
      </c>
      <c r="FE19" s="7">
        <f>((AVERAGE(EZ14:EZ19)*('Summary Page'!$C$4+1))*('Summary Page'!$C$4+1))*('Summary Page'!$C$4+1)</f>
        <v>107.13599999999998</v>
      </c>
      <c r="FF19" s="13">
        <f t="shared" si="7"/>
        <v>36.700000000000003</v>
      </c>
      <c r="FI19" s="40"/>
      <c r="FJ19" s="7">
        <f>((AVERAGE(C14:C19)*('Summary Page'!$C$2+1))*('Summary Page'!$C$2+1))*('Summary Page'!$C$2+1)</f>
        <v>61.395242666666661</v>
      </c>
      <c r="FK19" s="7">
        <f>((AVERAGE(C14:C19)*('Summary Page'!$C$3+1))*('Summary Page'!$C$3+1))*('Summary Page'!$C$3+1)</f>
        <v>76.822916666666686</v>
      </c>
      <c r="FL19" s="7">
        <f>((AVERAGE(C14:C19)*('Summary Page'!$C$4+1))*('Summary Page'!$C$4+1))*('Summary Page'!$C$4+1)</f>
        <v>67.968000000000004</v>
      </c>
      <c r="FO19" s="40"/>
      <c r="FP19" s="7">
        <f>((AVERAGE(D14:D19)*('Summary Page'!$C$2+1))*('Summary Page'!$C$2+1))*('Summary Page'!$C$2+1)</f>
        <v>31.217919999999996</v>
      </c>
      <c r="FQ19" s="7">
        <f>((AVERAGE(D14:D19)*('Summary Page'!$C$3+1))*('Summary Page'!$C$3+1))*('Summary Page'!$C$3+1)</f>
        <v>39.0625</v>
      </c>
      <c r="FR19" s="7">
        <f>((AVERAGE(D14:D19)*('Summary Page'!$C$4+1))*('Summary Page'!$C$4+1))*('Summary Page'!$C$4+1)</f>
        <v>34.559999999999995</v>
      </c>
      <c r="FU19" s="40"/>
      <c r="FV19" s="7">
        <f>((AVERAGE(E14:E19)*('Summary Page'!$C$2+1))*('Summary Page'!$C$2+1))*('Summary Page'!$C$2+1)</f>
        <v>36.420906666666653</v>
      </c>
      <c r="FW19" s="7">
        <f>((AVERAGE(E14:E19)*('Summary Page'!$C$3+1))*('Summary Page'!$C$3+1))*('Summary Page'!$C$3+1)</f>
        <v>45.572916666666657</v>
      </c>
      <c r="FX19" s="7">
        <f>((AVERAGE(E14:E19)*('Summary Page'!$C$4+1))*('Summary Page'!$C$4+1))*('Summary Page'!$C$4+1)</f>
        <v>40.319999999999993</v>
      </c>
      <c r="GA19" s="40"/>
      <c r="GB19" s="7">
        <f>((AVERAGE(F14:F19)*('Summary Page'!$C$2+1))*('Summary Page'!$C$2+1))*('Summary Page'!$C$2+1)</f>
        <v>122.53033599999998</v>
      </c>
      <c r="GC19" s="7">
        <f>((AVERAGE(F14:F19)*('Summary Page'!$C$3+1))*('Summary Page'!$C$3+1))*('Summary Page'!$C$3+1)</f>
        <v>153.3203125</v>
      </c>
      <c r="GD19" s="7">
        <f>((AVERAGE(F14:F19)*('Summary Page'!$C$4+1))*('Summary Page'!$C$4+1))*('Summary Page'!$C$4+1)</f>
        <v>135.648</v>
      </c>
      <c r="GG19" s="40"/>
      <c r="GH19" s="7">
        <f>((AVERAGE(M14:M19)*('Summary Page'!$C$2+1))*('Summary Page'!$C$2+1))*('Summary Page'!$C$2+1)</f>
        <v>107.96197333333333</v>
      </c>
      <c r="GI19" s="7">
        <f>((AVERAGE(M14:M19)*('Summary Page'!$C$3+1))*('Summary Page'!$C$3+1))*('Summary Page'!$C$3+1)</f>
        <v>135.09114583333337</v>
      </c>
      <c r="GJ19" s="7">
        <f>((AVERAGE(M14:M19)*('Summary Page'!$C$4+1))*('Summary Page'!$C$4+1))*('Summary Page'!$C$4+1)</f>
        <v>119.51999999999998</v>
      </c>
      <c r="GM19" s="40"/>
      <c r="GN19" s="7">
        <f>((AVERAGE(G14:G19)*('Summary Page'!$C$2+1))*('Summary Page'!$C$2+1))*('Summary Page'!$C$2+1)</f>
        <v>92.092863999999977</v>
      </c>
      <c r="GO19" s="7">
        <f>((AVERAGE(G14:G19)*('Summary Page'!$C$3+1))*('Summary Page'!$C$3+1))*('Summary Page'!$C$3+1)</f>
        <v>115.234375</v>
      </c>
      <c r="GP19" s="7">
        <f>((AVERAGE(G14:G19)*('Summary Page'!$C$4+1))*('Summary Page'!$C$4+1))*('Summary Page'!$C$4+1)</f>
        <v>101.95199999999998</v>
      </c>
      <c r="GS19" s="40"/>
      <c r="GT19" s="7">
        <f>((AVERAGE(H14:H19)*('Summary Page'!$C$2+1))*('Summary Page'!$C$2+1))*('Summary Page'!$C$2+1)</f>
        <v>55.671957333333317</v>
      </c>
      <c r="GU19" s="7">
        <f>((AVERAGE(H14:H19)*('Summary Page'!$C$3+1))*('Summary Page'!$C$3+1))*('Summary Page'!$C$3+1)</f>
        <v>69.661458333333314</v>
      </c>
      <c r="GV19" s="7">
        <f>((AVERAGE(H14:H19)*('Summary Page'!$C$4+1))*('Summary Page'!$C$4+1))*('Summary Page'!$C$4+1)</f>
        <v>61.631999999999991</v>
      </c>
      <c r="GY19" s="40"/>
      <c r="GZ19" s="7">
        <f>((AVERAGE(J14:J19)*('Summary Page'!$C$2+1))*('Summary Page'!$C$2+1))*('Summary Page'!$C$2+1)</f>
        <v>15.869109333333327</v>
      </c>
      <c r="HA19" s="7">
        <f>((AVERAGE(J14:J19)*('Summary Page'!$C$3+1))*('Summary Page'!$C$3+1))*('Summary Page'!$C$3+1)</f>
        <v>19.856770833333329</v>
      </c>
      <c r="HB19" s="7">
        <f>((AVERAGE(J14:J19)*('Summary Page'!$C$4+1))*('Summary Page'!$C$4+1))*('Summary Page'!$C$4+1)</f>
        <v>17.567999999999998</v>
      </c>
      <c r="HE19" s="40"/>
      <c r="HF19" s="7">
        <f>((AVERAGE(K14:K19)*('Summary Page'!$C$2+1))*('Summary Page'!$C$2+1))*('Summary Page'!$C$2+1)</f>
        <v>85.589130666666648</v>
      </c>
      <c r="HG19" s="7">
        <f>((AVERAGE(K14:K19)*('Summary Page'!$C$3+1))*('Summary Page'!$C$3+1))*('Summary Page'!$C$3+1)</f>
        <v>107.09635416666669</v>
      </c>
      <c r="HH19" s="7">
        <f>((AVERAGE(K14:K19)*('Summary Page'!$C$4+1))*('Summary Page'!$C$4+1))*('Summary Page'!$C$4+1)</f>
        <v>94.751999999999995</v>
      </c>
      <c r="HK19" s="40"/>
      <c r="HL19" s="7" t="e">
        <f>((AVERAGE(L14:L19)*('Summary Page'!$C$2+1))*('Summary Page'!$C$2+1))*('Summary Page'!$C$2+1)</f>
        <v>#DIV/0!</v>
      </c>
      <c r="HM19" s="7" t="e">
        <f>((AVERAGE(L14:L19)*('Summary Page'!$C$3+1))*('Summary Page'!$C$3+1))*('Summary Page'!$C$3+1)</f>
        <v>#DIV/0!</v>
      </c>
      <c r="HN19" s="7" t="e">
        <f>((AVERAGE(L14:L19)*('Summary Page'!$C$4+1))*('Summary Page'!$C$4+1))*('Summary Page'!$C$4+1)</f>
        <v>#DIV/0!</v>
      </c>
      <c r="HR19" s="7" t="e">
        <f>((AVERAGE(AL14:AL19)*('Summary Page'!$C$2+1))*('Summary Page'!$C$2+1))*('Summary Page'!$C$2+1)</f>
        <v>#DIV/0!</v>
      </c>
      <c r="HS19" s="7" t="e">
        <f>((AVERAGE(AL14:AL19)*('Summary Page'!$C$3+1))*('Summary Page'!$C$3+1))*('Summary Page'!$C$3+1)</f>
        <v>#DIV/0!</v>
      </c>
      <c r="HT19" s="7" t="e">
        <f>((AVERAGE(AL14:AL19)*('Summary Page'!$C$4+1))*('Summary Page'!$C$4+1))*('Summary Page'!$C$4+1)</f>
        <v>#DIV/0!</v>
      </c>
      <c r="HU19" s="7">
        <v>100</v>
      </c>
    </row>
    <row r="20" spans="1:241" ht="15.75" x14ac:dyDescent="0.25">
      <c r="A20" s="20">
        <v>43586</v>
      </c>
      <c r="B20" s="80"/>
      <c r="C20" s="64">
        <v>38</v>
      </c>
      <c r="D20" s="40">
        <v>3</v>
      </c>
      <c r="E20" s="40">
        <v>14</v>
      </c>
      <c r="F20" s="40">
        <v>60</v>
      </c>
      <c r="G20" s="40">
        <v>55</v>
      </c>
      <c r="H20" s="40">
        <v>29</v>
      </c>
      <c r="I20" s="7">
        <f t="shared" si="1"/>
        <v>39.5</v>
      </c>
      <c r="J20" s="40">
        <v>14</v>
      </c>
      <c r="K20" s="40">
        <v>37</v>
      </c>
      <c r="L20" s="40"/>
      <c r="M20" s="40">
        <v>66</v>
      </c>
      <c r="N20" s="80"/>
      <c r="O20" s="40"/>
      <c r="P20" s="40"/>
      <c r="Q20" s="40"/>
      <c r="R20" s="40"/>
      <c r="S20" s="40"/>
      <c r="T20" s="40"/>
      <c r="U20" s="7" t="e">
        <f t="shared" si="2"/>
        <v>#DIV/0!</v>
      </c>
      <c r="V20" s="40"/>
      <c r="W20" s="40"/>
      <c r="X20" s="40"/>
      <c r="Y20" s="69"/>
      <c r="Z20" s="40"/>
      <c r="AA20" s="40"/>
      <c r="AB20" s="40"/>
      <c r="AC20" s="40"/>
      <c r="AD20" s="40"/>
      <c r="AE20" s="40"/>
      <c r="AF20" s="40"/>
      <c r="AG20" s="7" t="e">
        <f t="shared" si="3"/>
        <v>#DIV/0!</v>
      </c>
      <c r="AH20" s="40"/>
      <c r="AI20" s="40"/>
      <c r="AJ20" s="40"/>
      <c r="AK20" s="40"/>
      <c r="AL20" s="40"/>
      <c r="EM20" s="5">
        <f t="shared" si="4"/>
        <v>37.75</v>
      </c>
      <c r="EN20" s="13"/>
      <c r="EO20" s="13"/>
      <c r="EP20" s="30">
        <f>((AVERAGE(EM15:EM20)*('Summary Page'!$C$2+1))*('Summary Page'!$C$2+1))*('Summary Page'!$C$2+1)</f>
        <v>66.175486666666657</v>
      </c>
      <c r="EQ20" s="7">
        <f>((AVERAGE(EM15:EM20)*('Summary Page'!$C$3+1))*('Summary Page'!$C$3+1))*('Summary Page'!$C$3+1)</f>
        <v>82.804361979166686</v>
      </c>
      <c r="ER20" s="7">
        <f>((AVERAGE(EM15:EM20)*('Summary Page'!$C$4+1))*('Summary Page'!$C$4+1))*('Summary Page'!$C$4+1)</f>
        <v>73.259999999999991</v>
      </c>
      <c r="ES20" s="7">
        <v>80</v>
      </c>
      <c r="ET20" s="5">
        <f t="shared" si="5"/>
        <v>39.5</v>
      </c>
      <c r="EU20" s="13"/>
      <c r="EV20" s="13"/>
      <c r="EW20" s="7">
        <f>((AVERAGE(ET15:ET20)*('Summary Page'!$C$2+1))*('Summary Page'!$C$2+1))*('Summary Page'!$C$2+1)</f>
        <v>70.240319999999983</v>
      </c>
      <c r="EX20" s="7">
        <f>((AVERAGE(ET15:ET20)*('Summary Page'!$C$3+1))*('Summary Page'!$C$3+1))*('Summary Page'!$C$3+1)</f>
        <v>87.890625</v>
      </c>
      <c r="EY20" s="7">
        <f>((AVERAGE(ET15:ET20)*('Summary Page'!$C$4+1))*('Summary Page'!$C$4+1))*('Summary Page'!$C$4+1)</f>
        <v>77.759999999999991</v>
      </c>
      <c r="EZ20" s="13">
        <f t="shared" si="6"/>
        <v>51.5</v>
      </c>
      <c r="FA20" s="13"/>
      <c r="FB20" s="13"/>
      <c r="FC20" s="7">
        <f>((AVERAGE(EZ15:EZ20)*('Summary Page'!$C$2+1))*('Summary Page'!$C$2+1))*('Summary Page'!$C$2+1)</f>
        <v>81.816965333333314</v>
      </c>
      <c r="FD20" s="7">
        <f>((AVERAGE(EZ15:EZ20)*('Summary Page'!$C$3+1))*('Summary Page'!$C$3+1))*('Summary Page'!$C$3+1)</f>
        <v>102.37630208333331</v>
      </c>
      <c r="FE20" s="7">
        <f>((AVERAGE(EZ15:EZ20)*('Summary Page'!$C$4+1))*('Summary Page'!$C$4+1))*('Summary Page'!$C$4+1)</f>
        <v>90.575999999999979</v>
      </c>
      <c r="FF20" s="13">
        <f t="shared" si="7"/>
        <v>35.450000000000003</v>
      </c>
      <c r="FI20" s="40"/>
      <c r="FJ20" s="7">
        <f>((AVERAGE(C15:C20)*('Summary Page'!$C$2+1))*('Summary Page'!$C$2+1))*('Summary Page'!$C$2+1)</f>
        <v>69.199722666666659</v>
      </c>
      <c r="FK20" s="7">
        <f>((AVERAGE(C15:C20)*('Summary Page'!$C$3+1))*('Summary Page'!$C$3+1))*('Summary Page'!$C$3+1)</f>
        <v>86.588541666666686</v>
      </c>
      <c r="FL20" s="7">
        <f>((AVERAGE(C15:C20)*('Summary Page'!$C$4+1))*('Summary Page'!$C$4+1))*('Summary Page'!$C$4+1)</f>
        <v>76.608000000000004</v>
      </c>
      <c r="FO20" s="40"/>
      <c r="FP20" s="7">
        <f>((AVERAGE(D15:D20)*('Summary Page'!$C$2+1))*('Summary Page'!$C$2+1))*('Summary Page'!$C$2+1)</f>
        <v>15.608959999999998</v>
      </c>
      <c r="FQ20" s="7">
        <f>((AVERAGE(D15:D20)*('Summary Page'!$C$3+1))*('Summary Page'!$C$3+1))*('Summary Page'!$C$3+1)</f>
        <v>19.53125</v>
      </c>
      <c r="FR20" s="7">
        <f>((AVERAGE(D15:D20)*('Summary Page'!$C$4+1))*('Summary Page'!$C$4+1))*('Summary Page'!$C$4+1)</f>
        <v>17.279999999999998</v>
      </c>
      <c r="FU20" s="40"/>
      <c r="FV20" s="7">
        <f>((AVERAGE(E15:E20)*('Summary Page'!$C$2+1))*('Summary Page'!$C$2+1))*('Summary Page'!$C$2+1)</f>
        <v>31.738218666666654</v>
      </c>
      <c r="FW20" s="7">
        <f>((AVERAGE(E15:E20)*('Summary Page'!$C$3+1))*('Summary Page'!$C$3+1))*('Summary Page'!$C$3+1)</f>
        <v>39.713541666666657</v>
      </c>
      <c r="FX20" s="7">
        <f>((AVERAGE(E15:E20)*('Summary Page'!$C$4+1))*('Summary Page'!$C$4+1))*('Summary Page'!$C$4+1)</f>
        <v>35.135999999999996</v>
      </c>
      <c r="GA20" s="40"/>
      <c r="GB20" s="7">
        <f>((AVERAGE(F15:F20)*('Summary Page'!$C$2+1))*('Summary Page'!$C$2+1))*('Summary Page'!$C$2+1)</f>
        <v>109.78301866666665</v>
      </c>
      <c r="GC20" s="7">
        <f>((AVERAGE(F15:F20)*('Summary Page'!$C$3+1))*('Summary Page'!$C$3+1))*('Summary Page'!$C$3+1)</f>
        <v>137.36979166666663</v>
      </c>
      <c r="GD20" s="7">
        <f>((AVERAGE(F15:F20)*('Summary Page'!$C$4+1))*('Summary Page'!$C$4+1))*('Summary Page'!$C$4+1)</f>
        <v>121.53599999999997</v>
      </c>
      <c r="GG20" s="40"/>
      <c r="GH20" s="7">
        <f>((AVERAGE(M15:M20)*('Summary Page'!$C$2+1))*('Summary Page'!$C$2+1))*('Summary Page'!$C$2+1)</f>
        <v>101.71838933333332</v>
      </c>
      <c r="GI20" s="7">
        <f>((AVERAGE(M15:M20)*('Summary Page'!$C$3+1))*('Summary Page'!$C$3+1))*('Summary Page'!$C$3+1)</f>
        <v>127.27864583333336</v>
      </c>
      <c r="GJ20" s="7">
        <f>((AVERAGE(M15:M20)*('Summary Page'!$C$4+1))*('Summary Page'!$C$4+1))*('Summary Page'!$C$4+1)</f>
        <v>112.608</v>
      </c>
      <c r="GM20" s="40"/>
      <c r="GN20" s="7">
        <f>((AVERAGE(G15:G20)*('Summary Page'!$C$2+1))*('Summary Page'!$C$2+1))*('Summary Page'!$C$2+1)</f>
        <v>88.190623999999971</v>
      </c>
      <c r="GO20" s="7">
        <f>((AVERAGE(G15:G20)*('Summary Page'!$C$3+1))*('Summary Page'!$C$3+1))*('Summary Page'!$C$3+1)</f>
        <v>110.3515625</v>
      </c>
      <c r="GP20" s="7">
        <f>((AVERAGE(G15:G20)*('Summary Page'!$C$4+1))*('Summary Page'!$C$4+1))*('Summary Page'!$C$4+1)</f>
        <v>97.631999999999991</v>
      </c>
      <c r="GS20" s="40"/>
      <c r="GT20" s="7">
        <f>((AVERAGE(H15:H20)*('Summary Page'!$C$2+1))*('Summary Page'!$C$2+1))*('Summary Page'!$C$2+1)</f>
        <v>51.249418666666656</v>
      </c>
      <c r="GU20" s="7">
        <f>((AVERAGE(H15:H20)*('Summary Page'!$C$3+1))*('Summary Page'!$C$3+1))*('Summary Page'!$C$3+1)</f>
        <v>64.127604166666686</v>
      </c>
      <c r="GV20" s="7">
        <f>((AVERAGE(H15:H20)*('Summary Page'!$C$4+1))*('Summary Page'!$C$4+1))*('Summary Page'!$C$4+1)</f>
        <v>56.73599999999999</v>
      </c>
      <c r="GY20" s="40"/>
      <c r="GZ20" s="7">
        <f>((AVERAGE(J15:J20)*('Summary Page'!$C$2+1))*('Summary Page'!$C$2+1))*('Summary Page'!$C$2+1)</f>
        <v>17.43000533333333</v>
      </c>
      <c r="HA20" s="7">
        <f>((AVERAGE(J15:J20)*('Summary Page'!$C$3+1))*('Summary Page'!$C$3+1))*('Summary Page'!$C$3+1)</f>
        <v>21.809895833333329</v>
      </c>
      <c r="HB20" s="7">
        <f>((AVERAGE(J15:J20)*('Summary Page'!$C$4+1))*('Summary Page'!$C$4+1))*('Summary Page'!$C$4+1)</f>
        <v>19.295999999999996</v>
      </c>
      <c r="HE20" s="40"/>
      <c r="HF20" s="7">
        <f>((AVERAGE(K15:K20)*('Summary Page'!$C$2+1))*('Summary Page'!$C$2+1))*('Summary Page'!$C$2+1)</f>
        <v>61.915541333333316</v>
      </c>
      <c r="HG20" s="7">
        <f>((AVERAGE(K15:K20)*('Summary Page'!$C$3+1))*('Summary Page'!$C$3+1))*('Summary Page'!$C$3+1)</f>
        <v>77.473958333333314</v>
      </c>
      <c r="HH20" s="7">
        <f>((AVERAGE(K15:K20)*('Summary Page'!$C$4+1))*('Summary Page'!$C$4+1))*('Summary Page'!$C$4+1)</f>
        <v>68.543999999999983</v>
      </c>
      <c r="HK20" s="40"/>
      <c r="HL20" s="7" t="e">
        <f>((AVERAGE(L15:L20)*('Summary Page'!$C$2+1))*('Summary Page'!$C$2+1))*('Summary Page'!$C$2+1)</f>
        <v>#DIV/0!</v>
      </c>
      <c r="HM20" s="7" t="e">
        <f>((AVERAGE(L15:L20)*('Summary Page'!$C$3+1))*('Summary Page'!$C$3+1))*('Summary Page'!$C$3+1)</f>
        <v>#DIV/0!</v>
      </c>
      <c r="HN20" s="7" t="e">
        <f>((AVERAGE(L15:L20)*('Summary Page'!$C$4+1))*('Summary Page'!$C$4+1))*('Summary Page'!$C$4+1)</f>
        <v>#DIV/0!</v>
      </c>
      <c r="HR20" s="7" t="e">
        <f>((AVERAGE(AL15:AL20)*('Summary Page'!$C$2+1))*('Summary Page'!$C$2+1))*('Summary Page'!$C$2+1)</f>
        <v>#DIV/0!</v>
      </c>
      <c r="HS20" s="7" t="e">
        <f>((AVERAGE(AL15:AL20)*('Summary Page'!$C$3+1))*('Summary Page'!$C$3+1))*('Summary Page'!$C$3+1)</f>
        <v>#DIV/0!</v>
      </c>
      <c r="HT20" s="7" t="e">
        <f>((AVERAGE(AL15:AL20)*('Summary Page'!$C$4+1))*('Summary Page'!$C$4+1))*('Summary Page'!$C$4+1)</f>
        <v>#DIV/0!</v>
      </c>
      <c r="HU20" s="7">
        <v>100</v>
      </c>
    </row>
    <row r="21" spans="1:241" ht="15.75" x14ac:dyDescent="0.25">
      <c r="A21" s="20">
        <v>43599</v>
      </c>
      <c r="B21" s="80"/>
      <c r="C21" s="64">
        <v>45</v>
      </c>
      <c r="D21" s="40">
        <v>3</v>
      </c>
      <c r="E21" s="40">
        <v>17</v>
      </c>
      <c r="F21" s="40">
        <v>57</v>
      </c>
      <c r="G21" s="40">
        <v>64</v>
      </c>
      <c r="H21" s="40">
        <v>32</v>
      </c>
      <c r="I21" s="7">
        <f t="shared" si="1"/>
        <v>42.5</v>
      </c>
      <c r="J21" s="40">
        <v>16</v>
      </c>
      <c r="K21" s="40">
        <v>36</v>
      </c>
      <c r="L21" s="40"/>
      <c r="M21" s="40">
        <v>72</v>
      </c>
      <c r="N21" s="80"/>
      <c r="O21" s="40"/>
      <c r="P21" s="40"/>
      <c r="Q21" s="40"/>
      <c r="R21" s="40"/>
      <c r="S21" s="40"/>
      <c r="T21" s="40"/>
      <c r="U21" s="7" t="e">
        <f t="shared" si="2"/>
        <v>#DIV/0!</v>
      </c>
      <c r="V21" s="40"/>
      <c r="W21" s="40"/>
      <c r="X21" s="40"/>
      <c r="Y21" s="69"/>
      <c r="Z21" s="40"/>
      <c r="AA21" s="40"/>
      <c r="AB21" s="40"/>
      <c r="AC21" s="40"/>
      <c r="AD21" s="40"/>
      <c r="AE21" s="40"/>
      <c r="AF21" s="40"/>
      <c r="AG21" s="7" t="e">
        <f t="shared" si="3"/>
        <v>#DIV/0!</v>
      </c>
      <c r="AH21" s="40"/>
      <c r="AI21" s="40"/>
      <c r="AJ21" s="40"/>
      <c r="AK21" s="40"/>
      <c r="AL21" s="40"/>
      <c r="EM21" s="5">
        <f t="shared" si="4"/>
        <v>40.75</v>
      </c>
      <c r="EN21" s="13"/>
      <c r="EO21" s="13"/>
      <c r="EP21" s="30">
        <f>((AVERAGE(EM16:EM21)*('Summary Page'!$C$2+1))*('Summary Page'!$C$2+1))*('Summary Page'!$C$2+1)</f>
        <v>64.126810666666657</v>
      </c>
      <c r="EQ21" s="7">
        <f>((AVERAGE(EM16:EM21)*('Summary Page'!$C$3+1))*('Summary Page'!$C$3+1))*('Summary Page'!$C$3+1)</f>
        <v>80.240885416666686</v>
      </c>
      <c r="ER21" s="7">
        <f>((AVERAGE(EM16:EM21)*('Summary Page'!$C$4+1))*('Summary Page'!$C$4+1))*('Summary Page'!$C$4+1)</f>
        <v>70.992000000000004</v>
      </c>
      <c r="ES21" s="7">
        <v>80</v>
      </c>
      <c r="ET21" s="5">
        <f t="shared" si="5"/>
        <v>42.5</v>
      </c>
      <c r="EU21" s="13"/>
      <c r="EV21" s="13"/>
      <c r="EW21" s="7">
        <f>((AVERAGE(ET16:ET21)*('Summary Page'!$C$2+1))*('Summary Page'!$C$2+1))*('Summary Page'!$C$2+1)</f>
        <v>68.679423999999983</v>
      </c>
      <c r="EX21" s="7">
        <f>((AVERAGE(ET16:ET21)*('Summary Page'!$C$3+1))*('Summary Page'!$C$3+1))*('Summary Page'!$C$3+1)</f>
        <v>85.9375</v>
      </c>
      <c r="EY21" s="7">
        <f>((AVERAGE(ET16:ET21)*('Summary Page'!$C$4+1))*('Summary Page'!$C$4+1))*('Summary Page'!$C$4+1)</f>
        <v>76.031999999999982</v>
      </c>
      <c r="EZ21" s="13">
        <f t="shared" si="6"/>
        <v>54</v>
      </c>
      <c r="FA21" s="13"/>
      <c r="FB21" s="13"/>
      <c r="FC21" s="7">
        <f>((AVERAGE(EZ16:EZ21)*('Summary Page'!$C$2+1))*('Summary Page'!$C$2+1))*('Summary Page'!$C$2+1)</f>
        <v>79.475621333333322</v>
      </c>
      <c r="FD21" s="7">
        <f>((AVERAGE(EZ16:EZ21)*('Summary Page'!$C$3+1))*('Summary Page'!$C$3+1))*('Summary Page'!$C$3+1)</f>
        <v>99.446614583333314</v>
      </c>
      <c r="FE21" s="7">
        <f>((AVERAGE(EZ16:EZ21)*('Summary Page'!$C$4+1))*('Summary Page'!$C$4+1))*('Summary Page'!$C$4+1)</f>
        <v>87.983999999999995</v>
      </c>
      <c r="FF21" s="13">
        <f t="shared" si="7"/>
        <v>37.549999999999997</v>
      </c>
      <c r="FI21" s="40"/>
      <c r="FJ21" s="7">
        <f>((AVERAGE(C16:C21)*('Summary Page'!$C$2+1))*('Summary Page'!$C$2+1))*('Summary Page'!$C$2+1)</f>
        <v>68.939573333333314</v>
      </c>
      <c r="FK21" s="7">
        <f>((AVERAGE(C16:C21)*('Summary Page'!$C$3+1))*('Summary Page'!$C$3+1))*('Summary Page'!$C$3+1)</f>
        <v>86.263020833333314</v>
      </c>
      <c r="FL21" s="7">
        <f>((AVERAGE(C16:C21)*('Summary Page'!$C$4+1))*('Summary Page'!$C$4+1))*('Summary Page'!$C$4+1)</f>
        <v>76.319999999999979</v>
      </c>
      <c r="FO21" s="40"/>
      <c r="FP21" s="7">
        <f>((AVERAGE(D16:D21)*('Summary Page'!$C$2+1))*('Summary Page'!$C$2+1))*('Summary Page'!$C$2+1)</f>
        <v>10.405973333333332</v>
      </c>
      <c r="FQ21" s="7">
        <f>((AVERAGE(D16:D21)*('Summary Page'!$C$3+1))*('Summary Page'!$C$3+1))*('Summary Page'!$C$3+1)</f>
        <v>13.020833333333336</v>
      </c>
      <c r="FR21" s="7">
        <f>((AVERAGE(D16:D21)*('Summary Page'!$C$4+1))*('Summary Page'!$C$4+1))*('Summary Page'!$C$4+1)</f>
        <v>11.52</v>
      </c>
      <c r="FU21" s="40"/>
      <c r="FV21" s="7">
        <f>((AVERAGE(E16:E21)*('Summary Page'!$C$2+1))*('Summary Page'!$C$2+1))*('Summary Page'!$C$2+1)</f>
        <v>29.396874666666662</v>
      </c>
      <c r="FW21" s="7">
        <f>((AVERAGE(E16:E21)*('Summary Page'!$C$3+1))*('Summary Page'!$C$3+1))*('Summary Page'!$C$3+1)</f>
        <v>36.783854166666657</v>
      </c>
      <c r="FX21" s="7">
        <f>((AVERAGE(E16:E21)*('Summary Page'!$C$4+1))*('Summary Page'!$C$4+1))*('Summary Page'!$C$4+1)</f>
        <v>32.543999999999997</v>
      </c>
      <c r="GA21" s="40"/>
      <c r="GB21" s="7">
        <f>((AVERAGE(F16:F21)*('Summary Page'!$C$2+1))*('Summary Page'!$C$2+1))*('Summary Page'!$C$2+1)</f>
        <v>103.01913599999996</v>
      </c>
      <c r="GC21" s="7">
        <f>((AVERAGE(F16:F21)*('Summary Page'!$C$3+1))*('Summary Page'!$C$3+1))*('Summary Page'!$C$3+1)</f>
        <v>128.90625</v>
      </c>
      <c r="GD21" s="7">
        <f>((AVERAGE(F16:F21)*('Summary Page'!$C$4+1))*('Summary Page'!$C$4+1))*('Summary Page'!$C$4+1)</f>
        <v>114.048</v>
      </c>
      <c r="GG21" s="40"/>
      <c r="GH21" s="7">
        <f>((AVERAGE(M16:M21)*('Summary Page'!$C$2+1))*('Summary Page'!$C$2+1))*('Summary Page'!$C$2+1)</f>
        <v>100.15749333333332</v>
      </c>
      <c r="GI21" s="7">
        <f>((AVERAGE(M16:M21)*('Summary Page'!$C$3+1))*('Summary Page'!$C$3+1))*('Summary Page'!$C$3+1)</f>
        <v>125.32552083333336</v>
      </c>
      <c r="GJ21" s="7">
        <f>((AVERAGE(M16:M21)*('Summary Page'!$C$4+1))*('Summary Page'!$C$4+1))*('Summary Page'!$C$4+1)</f>
        <v>110.87999999999998</v>
      </c>
      <c r="GM21" s="40"/>
      <c r="GN21" s="7">
        <f>((AVERAGE(G16:G21)*('Summary Page'!$C$2+1))*('Summary Page'!$C$2+1))*('Summary Page'!$C$2+1)</f>
        <v>90.01166933333333</v>
      </c>
      <c r="GO21" s="7">
        <f>((AVERAGE(G16:G21)*('Summary Page'!$C$3+1))*('Summary Page'!$C$3+1))*('Summary Page'!$C$3+1)</f>
        <v>112.63020833333331</v>
      </c>
      <c r="GP21" s="7">
        <f>((AVERAGE(G16:G21)*('Summary Page'!$C$4+1))*('Summary Page'!$C$4+1))*('Summary Page'!$C$4+1)</f>
        <v>99.647999999999968</v>
      </c>
      <c r="GS21" s="40"/>
      <c r="GT21" s="7">
        <f>((AVERAGE(H16:H21)*('Summary Page'!$C$2+1))*('Summary Page'!$C$2+1))*('Summary Page'!$C$2+1)</f>
        <v>52.290015999999994</v>
      </c>
      <c r="GU21" s="7">
        <f>((AVERAGE(H16:H21)*('Summary Page'!$C$3+1))*('Summary Page'!$C$3+1))*('Summary Page'!$C$3+1)</f>
        <v>65.4296875</v>
      </c>
      <c r="GV21" s="7">
        <f>((AVERAGE(H16:H21)*('Summary Page'!$C$4+1))*('Summary Page'!$C$4+1))*('Summary Page'!$C$4+1)</f>
        <v>57.887999999999991</v>
      </c>
      <c r="GY21" s="40"/>
      <c r="GZ21" s="7">
        <f>((AVERAGE(J16:J21)*('Summary Page'!$C$2+1))*('Summary Page'!$C$2+1))*('Summary Page'!$C$2+1)</f>
        <v>19.511199999999995</v>
      </c>
      <c r="HA21" s="7">
        <f>((AVERAGE(J16:J21)*('Summary Page'!$C$3+1))*('Summary Page'!$C$3+1))*('Summary Page'!$C$3+1)</f>
        <v>24.4140625</v>
      </c>
      <c r="HB21" s="7">
        <f>((AVERAGE(J16:J21)*('Summary Page'!$C$4+1))*('Summary Page'!$C$4+1))*('Summary Page'!$C$4+1)</f>
        <v>21.599999999999998</v>
      </c>
      <c r="HE21" s="40"/>
      <c r="HF21" s="7">
        <f>((AVERAGE(K16:K21)*('Summary Page'!$C$2+1))*('Summary Page'!$C$2+1))*('Summary Page'!$C$2+1)</f>
        <v>58.793749333333324</v>
      </c>
      <c r="HG21" s="7">
        <f>((AVERAGE(K16:K21)*('Summary Page'!$C$3+1))*('Summary Page'!$C$3+1))*('Summary Page'!$C$3+1)</f>
        <v>73.567708333333314</v>
      </c>
      <c r="HH21" s="7">
        <f>((AVERAGE(K16:K21)*('Summary Page'!$C$4+1))*('Summary Page'!$C$4+1))*('Summary Page'!$C$4+1)</f>
        <v>65.087999999999994</v>
      </c>
      <c r="HK21" s="40"/>
      <c r="HL21" s="7" t="e">
        <f>((AVERAGE(L16:L21)*('Summary Page'!$C$2+1))*('Summary Page'!$C$2+1))*('Summary Page'!$C$2+1)</f>
        <v>#DIV/0!</v>
      </c>
      <c r="HM21" s="7" t="e">
        <f>((AVERAGE(L16:L21)*('Summary Page'!$C$3+1))*('Summary Page'!$C$3+1))*('Summary Page'!$C$3+1)</f>
        <v>#DIV/0!</v>
      </c>
      <c r="HN21" s="7" t="e">
        <f>((AVERAGE(L16:L21)*('Summary Page'!$C$4+1))*('Summary Page'!$C$4+1))*('Summary Page'!$C$4+1)</f>
        <v>#DIV/0!</v>
      </c>
      <c r="HR21" s="7" t="e">
        <f>((AVERAGE(AL16:AL21)*('Summary Page'!$C$2+1))*('Summary Page'!$C$2+1))*('Summary Page'!$C$2+1)</f>
        <v>#DIV/0!</v>
      </c>
      <c r="HS21" s="7" t="e">
        <f>((AVERAGE(AL16:AL21)*('Summary Page'!$C$3+1))*('Summary Page'!$C$3+1))*('Summary Page'!$C$3+1)</f>
        <v>#DIV/0!</v>
      </c>
      <c r="HT21" s="7" t="e">
        <f>((AVERAGE(AL16:AL21)*('Summary Page'!$C$4+1))*('Summary Page'!$C$4+1))*('Summary Page'!$C$4+1)</f>
        <v>#DIV/0!</v>
      </c>
      <c r="HU21" s="7">
        <v>100</v>
      </c>
    </row>
    <row r="22" spans="1:241" ht="15.75" x14ac:dyDescent="0.25">
      <c r="A22" s="20">
        <v>43617</v>
      </c>
      <c r="B22" s="80"/>
      <c r="C22" s="64">
        <v>47</v>
      </c>
      <c r="D22" s="40">
        <v>7</v>
      </c>
      <c r="E22" s="40">
        <v>21</v>
      </c>
      <c r="F22" s="40">
        <v>69</v>
      </c>
      <c r="G22" s="40">
        <v>80</v>
      </c>
      <c r="H22" s="40">
        <v>33</v>
      </c>
      <c r="I22" s="7">
        <f t="shared" si="1"/>
        <v>50.75</v>
      </c>
      <c r="J22" s="40">
        <v>14</v>
      </c>
      <c r="K22" s="40">
        <v>36</v>
      </c>
      <c r="L22" s="40"/>
      <c r="M22" s="40">
        <v>78</v>
      </c>
      <c r="N22" s="80"/>
      <c r="O22" s="40"/>
      <c r="P22" s="40"/>
      <c r="Q22" s="40"/>
      <c r="R22" s="40"/>
      <c r="S22" s="40"/>
      <c r="T22" s="40"/>
      <c r="U22" s="7" t="e">
        <f t="shared" si="2"/>
        <v>#DIV/0!</v>
      </c>
      <c r="V22" s="40"/>
      <c r="W22" s="40"/>
      <c r="X22" s="40"/>
      <c r="Y22" s="69"/>
      <c r="Z22" s="40"/>
      <c r="AA22" s="40"/>
      <c r="AB22" s="40"/>
      <c r="AC22" s="40"/>
      <c r="AD22" s="40"/>
      <c r="AE22" s="40"/>
      <c r="AF22" s="40"/>
      <c r="AG22" s="7" t="e">
        <f t="shared" si="3"/>
        <v>#DIV/0!</v>
      </c>
      <c r="AH22" s="40"/>
      <c r="AI22" s="40"/>
      <c r="AJ22" s="40"/>
      <c r="AK22" s="40"/>
      <c r="AL22" s="40"/>
      <c r="EM22" s="5">
        <f t="shared" si="4"/>
        <v>46.375</v>
      </c>
      <c r="EN22" s="13"/>
      <c r="EO22" s="13"/>
      <c r="EP22" s="30">
        <f>((AVERAGE(EM17:EM22)*('Summary Page'!$C$2+1))*('Summary Page'!$C$2+1))*('Summary Page'!$C$2+1)</f>
        <v>64.28940399999999</v>
      </c>
      <c r="EQ22" s="7">
        <f>((AVERAGE(EM17:EM22)*('Summary Page'!$C$3+1))*('Summary Page'!$C$3+1))*('Summary Page'!$C$3+1)</f>
        <v>80.4443359375</v>
      </c>
      <c r="ER22" s="7">
        <f>((AVERAGE(EM17:EM22)*('Summary Page'!$C$4+1))*('Summary Page'!$C$4+1))*('Summary Page'!$C$4+1)</f>
        <v>71.171999999999997</v>
      </c>
      <c r="ES22" s="7">
        <v>80</v>
      </c>
      <c r="ET22" s="5">
        <f t="shared" si="5"/>
        <v>50.75</v>
      </c>
      <c r="EU22" s="13"/>
      <c r="EV22" s="13"/>
      <c r="EW22" s="7">
        <f>((AVERAGE(ET17:ET22)*('Summary Page'!$C$2+1))*('Summary Page'!$C$2+1))*('Summary Page'!$C$2+1)</f>
        <v>68.874535999999992</v>
      </c>
      <c r="EX22" s="7">
        <f>((AVERAGE(ET17:ET22)*('Summary Page'!$C$3+1))*('Summary Page'!$C$3+1))*('Summary Page'!$C$3+1)</f>
        <v>86.181640625</v>
      </c>
      <c r="EY22" s="7">
        <f>((AVERAGE(ET17:ET22)*('Summary Page'!$C$4+1))*('Summary Page'!$C$4+1))*('Summary Page'!$C$4+1)</f>
        <v>76.24799999999999</v>
      </c>
      <c r="EZ22" s="13">
        <f t="shared" si="6"/>
        <v>57</v>
      </c>
      <c r="FA22" s="13"/>
      <c r="FB22" s="13"/>
      <c r="FC22" s="7">
        <f>((AVERAGE(EZ17:EZ22)*('Summary Page'!$C$2+1))*('Summary Page'!$C$2+1))*('Summary Page'!$C$2+1)</f>
        <v>81.036517333333322</v>
      </c>
      <c r="FD22" s="7">
        <f>((AVERAGE(EZ17:EZ22)*('Summary Page'!$C$3+1))*('Summary Page'!$C$3+1))*('Summary Page'!$C$3+1)</f>
        <v>101.39973958333331</v>
      </c>
      <c r="FE22" s="7">
        <f>((AVERAGE(EZ17:EZ22)*('Summary Page'!$C$4+1))*('Summary Page'!$C$4+1))*('Summary Page'!$C$4+1)</f>
        <v>89.711999999999989</v>
      </c>
      <c r="FF22" s="13">
        <f t="shared" si="7"/>
        <v>42.475000000000001</v>
      </c>
      <c r="FI22" s="40"/>
      <c r="FJ22" s="7">
        <f>((AVERAGE(C17:C22)*('Summary Page'!$C$2+1))*('Summary Page'!$C$2+1))*('Summary Page'!$C$2+1)</f>
        <v>68.679423999999983</v>
      </c>
      <c r="FK22" s="7">
        <f>((AVERAGE(C17:C22)*('Summary Page'!$C$3+1))*('Summary Page'!$C$3+1))*('Summary Page'!$C$3+1)</f>
        <v>85.9375</v>
      </c>
      <c r="FL22" s="7">
        <f>((AVERAGE(C17:C22)*('Summary Page'!$C$4+1))*('Summary Page'!$C$4+1))*('Summary Page'!$C$4+1)</f>
        <v>76.031999999999982</v>
      </c>
      <c r="FO22" s="40"/>
      <c r="FP22" s="7">
        <f>((AVERAGE(D17:D22)*('Summary Page'!$C$2+1))*('Summary Page'!$C$2+1))*('Summary Page'!$C$2+1)</f>
        <v>8.0646293333333325</v>
      </c>
      <c r="FQ22" s="7">
        <f>((AVERAGE(D17:D22)*('Summary Page'!$C$3+1))*('Summary Page'!$C$3+1))*('Summary Page'!$C$3+1)</f>
        <v>10.091145833333336</v>
      </c>
      <c r="FR22" s="7">
        <f>((AVERAGE(D17:D22)*('Summary Page'!$C$4+1))*('Summary Page'!$C$4+1))*('Summary Page'!$C$4+1)</f>
        <v>8.927999999999999</v>
      </c>
      <c r="FU22" s="40"/>
      <c r="FV22" s="7">
        <f>((AVERAGE(E17:E22)*('Summary Page'!$C$2+1))*('Summary Page'!$C$2+1))*('Summary Page'!$C$2+1)</f>
        <v>28.876575999999993</v>
      </c>
      <c r="FW22" s="7">
        <f>((AVERAGE(E17:E22)*('Summary Page'!$C$3+1))*('Summary Page'!$C$3+1))*('Summary Page'!$C$3+1)</f>
        <v>36.1328125</v>
      </c>
      <c r="FX22" s="7">
        <f>((AVERAGE(E17:E22)*('Summary Page'!$C$4+1))*('Summary Page'!$C$4+1))*('Summary Page'!$C$4+1)</f>
        <v>31.967999999999996</v>
      </c>
      <c r="GA22" s="40"/>
      <c r="GB22" s="7">
        <f>((AVERAGE(F17:F22)*('Summary Page'!$C$2+1))*('Summary Page'!$C$2+1))*('Summary Page'!$C$2+1)</f>
        <v>100.15749333333332</v>
      </c>
      <c r="GC22" s="7">
        <f>((AVERAGE(F17:F22)*('Summary Page'!$C$3+1))*('Summary Page'!$C$3+1))*('Summary Page'!$C$3+1)</f>
        <v>125.32552083333336</v>
      </c>
      <c r="GD22" s="7">
        <f>((AVERAGE(F17:F22)*('Summary Page'!$C$4+1))*('Summary Page'!$C$4+1))*('Summary Page'!$C$4+1)</f>
        <v>110.87999999999998</v>
      </c>
      <c r="GG22" s="40"/>
      <c r="GH22" s="7">
        <f>((AVERAGE(M17:M22)*('Summary Page'!$C$2+1))*('Summary Page'!$C$2+1))*('Summary Page'!$C$2+1)</f>
        <v>104.58003199999999</v>
      </c>
      <c r="GI22" s="7">
        <f>((AVERAGE(M17:M22)*('Summary Page'!$C$3+1))*('Summary Page'!$C$3+1))*('Summary Page'!$C$3+1)</f>
        <v>130.859375</v>
      </c>
      <c r="GJ22" s="7">
        <f>((AVERAGE(M17:M22)*('Summary Page'!$C$4+1))*('Summary Page'!$C$4+1))*('Summary Page'!$C$4+1)</f>
        <v>115.77599999999998</v>
      </c>
      <c r="GM22" s="40"/>
      <c r="GN22" s="7">
        <f>((AVERAGE(G17:G22)*('Summary Page'!$C$2+1))*('Summary Page'!$C$2+1))*('Summary Page'!$C$2+1)</f>
        <v>94.43420799999997</v>
      </c>
      <c r="GO22" s="7">
        <f>((AVERAGE(G17:G22)*('Summary Page'!$C$3+1))*('Summary Page'!$C$3+1))*('Summary Page'!$C$3+1)</f>
        <v>118.1640625</v>
      </c>
      <c r="GP22" s="7">
        <f>((AVERAGE(G17:G22)*('Summary Page'!$C$4+1))*('Summary Page'!$C$4+1))*('Summary Page'!$C$4+1)</f>
        <v>104.54399999999998</v>
      </c>
      <c r="GS22" s="40"/>
      <c r="GT22" s="7">
        <f>((AVERAGE(H17:H22)*('Summary Page'!$C$2+1))*('Summary Page'!$C$2+1))*('Summary Page'!$C$2+1)</f>
        <v>52.029866666666656</v>
      </c>
      <c r="GU22" s="7">
        <f>((AVERAGE(H17:H22)*('Summary Page'!$C$3+1))*('Summary Page'!$C$3+1))*('Summary Page'!$C$3+1)</f>
        <v>65.104166666666686</v>
      </c>
      <c r="GV22" s="7">
        <f>((AVERAGE(H17:H22)*('Summary Page'!$C$4+1))*('Summary Page'!$C$4+1))*('Summary Page'!$C$4+1)</f>
        <v>57.599999999999994</v>
      </c>
      <c r="GY22" s="40"/>
      <c r="GZ22" s="7">
        <f>((AVERAGE(J17:J22)*('Summary Page'!$C$2+1))*('Summary Page'!$C$2+1))*('Summary Page'!$C$2+1)</f>
        <v>20.551797333333329</v>
      </c>
      <c r="HA22" s="7">
        <f>((AVERAGE(J17:J22)*('Summary Page'!$C$3+1))*('Summary Page'!$C$3+1))*('Summary Page'!$C$3+1)</f>
        <v>25.716145833333329</v>
      </c>
      <c r="HB22" s="7">
        <f>((AVERAGE(J17:J22)*('Summary Page'!$C$4+1))*('Summary Page'!$C$4+1))*('Summary Page'!$C$4+1)</f>
        <v>22.751999999999995</v>
      </c>
      <c r="HE22" s="40"/>
      <c r="HF22" s="7">
        <f>((AVERAGE(K17:K22)*('Summary Page'!$C$2+1))*('Summary Page'!$C$2+1))*('Summary Page'!$C$2+1)</f>
        <v>57.493002666666655</v>
      </c>
      <c r="HG22" s="7">
        <f>((AVERAGE(K17:K22)*('Summary Page'!$C$3+1))*('Summary Page'!$C$3+1))*('Summary Page'!$C$3+1)</f>
        <v>71.940104166666686</v>
      </c>
      <c r="HH22" s="7">
        <f>((AVERAGE(K17:K22)*('Summary Page'!$C$4+1))*('Summary Page'!$C$4+1))*('Summary Page'!$C$4+1)</f>
        <v>63.647999999999996</v>
      </c>
      <c r="HK22" s="40"/>
      <c r="HL22" s="7" t="e">
        <f>((AVERAGE(L17:L22)*('Summary Page'!$C$2+1))*('Summary Page'!$C$2+1))*('Summary Page'!$C$2+1)</f>
        <v>#DIV/0!</v>
      </c>
      <c r="HM22" s="7" t="e">
        <f>((AVERAGE(L17:L22)*('Summary Page'!$C$3+1))*('Summary Page'!$C$3+1))*('Summary Page'!$C$3+1)</f>
        <v>#DIV/0!</v>
      </c>
      <c r="HN22" s="7" t="e">
        <f>((AVERAGE(L17:L22)*('Summary Page'!$C$4+1))*('Summary Page'!$C$4+1))*('Summary Page'!$C$4+1)</f>
        <v>#DIV/0!</v>
      </c>
      <c r="HR22" s="7" t="e">
        <f>((AVERAGE(AL17:AL22)*('Summary Page'!$C$2+1))*('Summary Page'!$C$2+1))*('Summary Page'!$C$2+1)</f>
        <v>#DIV/0!</v>
      </c>
      <c r="HS22" s="7" t="e">
        <f>((AVERAGE(AL17:AL22)*('Summary Page'!$C$3+1))*('Summary Page'!$C$3+1))*('Summary Page'!$C$3+1)</f>
        <v>#DIV/0!</v>
      </c>
      <c r="HT22" s="7" t="e">
        <f>((AVERAGE(AL17:AL22)*('Summary Page'!$C$4+1))*('Summary Page'!$C$4+1))*('Summary Page'!$C$4+1)</f>
        <v>#DIV/0!</v>
      </c>
      <c r="HU22" s="7">
        <v>100</v>
      </c>
    </row>
    <row r="23" spans="1:241" ht="15.75" x14ac:dyDescent="0.25">
      <c r="A23" s="20">
        <v>43630</v>
      </c>
      <c r="B23" s="80"/>
      <c r="C23" s="64">
        <v>45</v>
      </c>
      <c r="D23" s="40">
        <v>6</v>
      </c>
      <c r="E23" s="40">
        <v>18</v>
      </c>
      <c r="F23" s="40">
        <v>68</v>
      </c>
      <c r="G23" s="40">
        <v>79</v>
      </c>
      <c r="H23" s="40">
        <v>33</v>
      </c>
      <c r="I23" s="7">
        <f t="shared" si="1"/>
        <v>49.5</v>
      </c>
      <c r="J23" s="40">
        <v>14</v>
      </c>
      <c r="K23" s="40">
        <v>39</v>
      </c>
      <c r="L23" s="40"/>
      <c r="M23" s="40">
        <v>78</v>
      </c>
      <c r="N23" s="80"/>
      <c r="O23" s="40"/>
      <c r="P23" s="40"/>
      <c r="Q23" s="40"/>
      <c r="R23" s="40"/>
      <c r="S23" s="40"/>
      <c r="T23" s="40"/>
      <c r="U23" s="7" t="e">
        <f t="shared" si="2"/>
        <v>#DIV/0!</v>
      </c>
      <c r="V23" s="40"/>
      <c r="W23" s="40"/>
      <c r="X23" s="40"/>
      <c r="Y23" s="69"/>
      <c r="Z23" s="40"/>
      <c r="AA23" s="40"/>
      <c r="AB23" s="40"/>
      <c r="AC23" s="40"/>
      <c r="AD23" s="40"/>
      <c r="AE23" s="40"/>
      <c r="AF23" s="40"/>
      <c r="AG23" s="7" t="e">
        <f t="shared" si="3"/>
        <v>#DIV/0!</v>
      </c>
      <c r="AH23" s="40"/>
      <c r="AI23" s="40"/>
      <c r="AJ23" s="40"/>
      <c r="AK23" s="40"/>
      <c r="AL23" s="40"/>
      <c r="EM23" s="5">
        <f t="shared" si="4"/>
        <v>45.75</v>
      </c>
      <c r="EN23" s="13"/>
      <c r="EO23" s="13"/>
      <c r="EP23" s="30">
        <f>((AVERAGE(EM18:EM23)*('Summary Page'!$C$2+1))*('Summary Page'!$C$2+1))*('Summary Page'!$C$2+1)</f>
        <v>65.460075999999987</v>
      </c>
      <c r="EQ23" s="7">
        <f>((AVERAGE(EM18:EM23)*('Summary Page'!$C$3+1))*('Summary Page'!$C$3+1))*('Summary Page'!$C$3+1)</f>
        <v>81.9091796875</v>
      </c>
      <c r="ER23" s="7">
        <f>((AVERAGE(EM18:EM23)*('Summary Page'!$C$4+1))*('Summary Page'!$C$4+1))*('Summary Page'!$C$4+1)</f>
        <v>72.467999999999989</v>
      </c>
      <c r="ES23" s="7">
        <v>80</v>
      </c>
      <c r="ET23" s="5">
        <f t="shared" si="5"/>
        <v>49.5</v>
      </c>
      <c r="EU23" s="13"/>
      <c r="EV23" s="13"/>
      <c r="EW23" s="7">
        <f>((AVERAGE(ET18:ET23)*('Summary Page'!$C$2+1))*('Summary Page'!$C$2+1))*('Summary Page'!$C$2+1)</f>
        <v>69.264759999999981</v>
      </c>
      <c r="EX23" s="7">
        <f>((AVERAGE(ET18:ET23)*('Summary Page'!$C$3+1))*('Summary Page'!$C$3+1))*('Summary Page'!$C$3+1)</f>
        <v>86.669921875</v>
      </c>
      <c r="EY23" s="7">
        <f>((AVERAGE(ET18:ET23)*('Summary Page'!$C$4+1))*('Summary Page'!$C$4+1))*('Summary Page'!$C$4+1)</f>
        <v>76.679999999999993</v>
      </c>
      <c r="EZ23" s="13">
        <f t="shared" si="6"/>
        <v>58.5</v>
      </c>
      <c r="FA23" s="13"/>
      <c r="FB23" s="13"/>
      <c r="FC23" s="7">
        <f>((AVERAGE(EZ18:EZ23)*('Summary Page'!$C$2+1))*('Summary Page'!$C$2+1))*('Summary Page'!$C$2+1)</f>
        <v>84.54853333333331</v>
      </c>
      <c r="FD23" s="7">
        <f>((AVERAGE(EZ18:EZ23)*('Summary Page'!$C$3+1))*('Summary Page'!$C$3+1))*('Summary Page'!$C$3+1)</f>
        <v>105.79427083333331</v>
      </c>
      <c r="FE23" s="7">
        <f>((AVERAGE(EZ18:EZ23)*('Summary Page'!$C$4+1))*('Summary Page'!$C$4+1))*('Summary Page'!$C$4+1)</f>
        <v>93.6</v>
      </c>
      <c r="FF23" s="13">
        <f t="shared" si="7"/>
        <v>42.35</v>
      </c>
      <c r="FI23" s="40"/>
      <c r="FJ23" s="7">
        <f>((AVERAGE(C18:C23)*('Summary Page'!$C$2+1))*('Summary Page'!$C$2+1))*('Summary Page'!$C$2+1)</f>
        <v>69.199722666666659</v>
      </c>
      <c r="FK23" s="7">
        <f>((AVERAGE(C18:C23)*('Summary Page'!$C$3+1))*('Summary Page'!$C$3+1))*('Summary Page'!$C$3+1)</f>
        <v>86.588541666666686</v>
      </c>
      <c r="FL23" s="7">
        <f>((AVERAGE(C18:C23)*('Summary Page'!$C$4+1))*('Summary Page'!$C$4+1))*('Summary Page'!$C$4+1)</f>
        <v>76.608000000000004</v>
      </c>
      <c r="FO23" s="40"/>
      <c r="FP23" s="7">
        <f>((AVERAGE(D18:D23)*('Summary Page'!$C$2+1))*('Summary Page'!$C$2+1))*('Summary Page'!$C$2+1)</f>
        <v>8.3247786666666634</v>
      </c>
      <c r="FQ23" s="7">
        <f>((AVERAGE(D18:D23)*('Summary Page'!$C$3+1))*('Summary Page'!$C$3+1))*('Summary Page'!$C$3+1)</f>
        <v>10.416666666666664</v>
      </c>
      <c r="FR23" s="7">
        <f>((AVERAGE(D18:D23)*('Summary Page'!$C$4+1))*('Summary Page'!$C$4+1))*('Summary Page'!$C$4+1)</f>
        <v>9.2159999999999975</v>
      </c>
      <c r="FU23" s="40"/>
      <c r="FV23" s="7">
        <f>((AVERAGE(E18:E23)*('Summary Page'!$C$2+1))*('Summary Page'!$C$2+1))*('Summary Page'!$C$2+1)</f>
        <v>28.356277333333331</v>
      </c>
      <c r="FW23" s="7">
        <f>((AVERAGE(E18:E23)*('Summary Page'!$C$3+1))*('Summary Page'!$C$3+1))*('Summary Page'!$C$3+1)</f>
        <v>35.481770833333343</v>
      </c>
      <c r="FX23" s="7">
        <f>((AVERAGE(E18:E23)*('Summary Page'!$C$4+1))*('Summary Page'!$C$4+1))*('Summary Page'!$C$4+1)</f>
        <v>31.391999999999999</v>
      </c>
      <c r="GA23" s="40"/>
      <c r="GB23" s="7">
        <f>((AVERAGE(F18:F23)*('Summary Page'!$C$2+1))*('Summary Page'!$C$2+1))*('Summary Page'!$C$2+1)</f>
        <v>99.377045333333314</v>
      </c>
      <c r="GC23" s="7">
        <f>((AVERAGE(F18:F23)*('Summary Page'!$C$3+1))*('Summary Page'!$C$3+1))*('Summary Page'!$C$3+1)</f>
        <v>124.34895833333331</v>
      </c>
      <c r="GD23" s="7">
        <f>((AVERAGE(F18:F23)*('Summary Page'!$C$4+1))*('Summary Page'!$C$4+1))*('Summary Page'!$C$4+1)</f>
        <v>110.01599999999999</v>
      </c>
      <c r="GG23" s="40"/>
      <c r="GH23" s="7">
        <f>((AVERAGE(M18:M23)*('Summary Page'!$C$2+1))*('Summary Page'!$C$2+1))*('Summary Page'!$C$2+1)</f>
        <v>111.60406399999998</v>
      </c>
      <c r="GI23" s="7">
        <f>((AVERAGE(M18:M23)*('Summary Page'!$C$3+1))*('Summary Page'!$C$3+1))*('Summary Page'!$C$3+1)</f>
        <v>139.6484375</v>
      </c>
      <c r="GJ23" s="7">
        <f>((AVERAGE(M18:M23)*('Summary Page'!$C$4+1))*('Summary Page'!$C$4+1))*('Summary Page'!$C$4+1)</f>
        <v>123.55199999999999</v>
      </c>
      <c r="GM23" s="40"/>
      <c r="GN23" s="7">
        <f>((AVERAGE(G18:G23)*('Summary Page'!$C$2+1))*('Summary Page'!$C$2+1))*('Summary Page'!$C$2+1)</f>
        <v>97.816149333333314</v>
      </c>
      <c r="GO23" s="7">
        <f>((AVERAGE(G18:G23)*('Summary Page'!$C$3+1))*('Summary Page'!$C$3+1))*('Summary Page'!$C$3+1)</f>
        <v>122.39583333333331</v>
      </c>
      <c r="GP23" s="7">
        <f>((AVERAGE(G18:G23)*('Summary Page'!$C$4+1))*('Summary Page'!$C$4+1))*('Summary Page'!$C$4+1)</f>
        <v>108.28799999999997</v>
      </c>
      <c r="GS23" s="40"/>
      <c r="GT23" s="7">
        <f>((AVERAGE(H18:H23)*('Summary Page'!$C$2+1))*('Summary Page'!$C$2+1))*('Summary Page'!$C$2+1)</f>
        <v>51.50956799999998</v>
      </c>
      <c r="GU23" s="7">
        <f>((AVERAGE(H18:H23)*('Summary Page'!$C$3+1))*('Summary Page'!$C$3+1))*('Summary Page'!$C$3+1)</f>
        <v>64.453125</v>
      </c>
      <c r="GV23" s="7">
        <f>((AVERAGE(H18:H23)*('Summary Page'!$C$4+1))*('Summary Page'!$C$4+1))*('Summary Page'!$C$4+1)</f>
        <v>57.024000000000001</v>
      </c>
      <c r="GY23" s="40"/>
      <c r="GZ23" s="7">
        <f>((AVERAGE(J18:J23)*('Summary Page'!$C$2+1))*('Summary Page'!$C$2+1))*('Summary Page'!$C$2+1)</f>
        <v>21.592394666666664</v>
      </c>
      <c r="HA23" s="7">
        <f>((AVERAGE(J18:J23)*('Summary Page'!$C$3+1))*('Summary Page'!$C$3+1))*('Summary Page'!$C$3+1)</f>
        <v>27.018229166666671</v>
      </c>
      <c r="HB23" s="7">
        <f>((AVERAGE(J18:J23)*('Summary Page'!$C$4+1))*('Summary Page'!$C$4+1))*('Summary Page'!$C$4+1)</f>
        <v>23.904</v>
      </c>
      <c r="HE23" s="40"/>
      <c r="HF23" s="7">
        <f>((AVERAGE(K18:K23)*('Summary Page'!$C$2+1))*('Summary Page'!$C$2+1))*('Summary Page'!$C$2+1)</f>
        <v>57.493002666666655</v>
      </c>
      <c r="HG23" s="7">
        <f>((AVERAGE(K18:K23)*('Summary Page'!$C$3+1))*('Summary Page'!$C$3+1))*('Summary Page'!$C$3+1)</f>
        <v>71.940104166666686</v>
      </c>
      <c r="HH23" s="7">
        <f>((AVERAGE(K18:K23)*('Summary Page'!$C$4+1))*('Summary Page'!$C$4+1))*('Summary Page'!$C$4+1)</f>
        <v>63.647999999999996</v>
      </c>
      <c r="HK23" s="40"/>
      <c r="HL23" s="7" t="e">
        <f>((AVERAGE(L18:L23)*('Summary Page'!$C$2+1))*('Summary Page'!$C$2+1))*('Summary Page'!$C$2+1)</f>
        <v>#DIV/0!</v>
      </c>
      <c r="HM23" s="7" t="e">
        <f>((AVERAGE(L18:L23)*('Summary Page'!$C$3+1))*('Summary Page'!$C$3+1))*('Summary Page'!$C$3+1)</f>
        <v>#DIV/0!</v>
      </c>
      <c r="HN23" s="7" t="e">
        <f>((AVERAGE(L18:L23)*('Summary Page'!$C$4+1))*('Summary Page'!$C$4+1))*('Summary Page'!$C$4+1)</f>
        <v>#DIV/0!</v>
      </c>
      <c r="HR23" s="7" t="e">
        <f>((AVERAGE(AL18:AL23)*('Summary Page'!$C$2+1))*('Summary Page'!$C$2+1))*('Summary Page'!$C$2+1)</f>
        <v>#DIV/0!</v>
      </c>
      <c r="HS23" s="7" t="e">
        <f>((AVERAGE(AL18:AL23)*('Summary Page'!$C$3+1))*('Summary Page'!$C$3+1))*('Summary Page'!$C$3+1)</f>
        <v>#DIV/0!</v>
      </c>
      <c r="HT23" s="7" t="e">
        <f>((AVERAGE(AL18:AL23)*('Summary Page'!$C$4+1))*('Summary Page'!$C$4+1))*('Summary Page'!$C$4+1)</f>
        <v>#DIV/0!</v>
      </c>
      <c r="HU23" s="7">
        <v>100</v>
      </c>
    </row>
    <row r="24" spans="1:241" ht="15.75" x14ac:dyDescent="0.25">
      <c r="A24" s="20">
        <v>43647</v>
      </c>
      <c r="B24" s="80"/>
      <c r="C24" s="64">
        <v>36</v>
      </c>
      <c r="D24" s="40">
        <v>4</v>
      </c>
      <c r="E24" s="40">
        <v>19</v>
      </c>
      <c r="F24" s="40">
        <v>57</v>
      </c>
      <c r="G24" s="40">
        <v>82</v>
      </c>
      <c r="H24" s="40">
        <v>24</v>
      </c>
      <c r="I24" s="7">
        <f t="shared" si="1"/>
        <v>45.5</v>
      </c>
      <c r="J24" s="40">
        <v>11</v>
      </c>
      <c r="K24" s="40">
        <v>37</v>
      </c>
      <c r="L24" s="40"/>
      <c r="M24" s="40">
        <v>62</v>
      </c>
      <c r="N24" s="80"/>
      <c r="O24" s="40">
        <v>36</v>
      </c>
      <c r="P24" s="40"/>
      <c r="Q24" s="40"/>
      <c r="R24" s="40"/>
      <c r="S24" s="40"/>
      <c r="T24" s="40"/>
      <c r="U24" s="7" t="e">
        <f t="shared" si="2"/>
        <v>#DIV/0!</v>
      </c>
      <c r="V24" s="40"/>
      <c r="W24" s="40"/>
      <c r="X24" s="40"/>
      <c r="Y24" s="69"/>
      <c r="Z24" s="40"/>
      <c r="AA24" s="40"/>
      <c r="AB24" s="40"/>
      <c r="AC24" s="40"/>
      <c r="AD24" s="40"/>
      <c r="AE24" s="40"/>
      <c r="AF24" s="40"/>
      <c r="AG24" s="7" t="e">
        <f t="shared" si="3"/>
        <v>#DIV/0!</v>
      </c>
      <c r="AH24" s="40"/>
      <c r="AI24" s="40"/>
      <c r="AJ24" s="40"/>
      <c r="AK24" s="40"/>
      <c r="AL24" s="40">
        <v>79</v>
      </c>
      <c r="AM24" s="40">
        <v>88</v>
      </c>
      <c r="AN24" s="40"/>
      <c r="EM24" s="5">
        <f t="shared" si="4"/>
        <v>40.125</v>
      </c>
      <c r="EN24" s="13">
        <v>46</v>
      </c>
      <c r="EO24" s="13">
        <f>EN24</f>
        <v>46</v>
      </c>
      <c r="EP24" s="30">
        <f>((AVERAGE(EM19:EM24)*('Summary Page'!$C$2+1))*('Summary Page'!$C$2+1))*('Summary Page'!$C$2+1)</f>
        <v>65.460075999999987</v>
      </c>
      <c r="EQ24" s="7">
        <f>((AVERAGE(EM19:EM24)*('Summary Page'!$C$3+1))*('Summary Page'!$C$3+1))*('Summary Page'!$C$3+1)</f>
        <v>81.9091796875</v>
      </c>
      <c r="ER24" s="7">
        <f>((AVERAGE(EM19:EM24)*('Summary Page'!$C$4+1))*('Summary Page'!$C$4+1))*('Summary Page'!$C$4+1)</f>
        <v>72.467999999999989</v>
      </c>
      <c r="ES24" s="7">
        <v>80</v>
      </c>
      <c r="ET24" s="5">
        <f t="shared" si="5"/>
        <v>45.5</v>
      </c>
      <c r="EU24" s="13">
        <v>50</v>
      </c>
      <c r="EV24" s="13">
        <f>EU24</f>
        <v>50</v>
      </c>
      <c r="EW24" s="7">
        <f>((AVERAGE(ET19:ET24)*('Summary Page'!$C$2+1))*('Summary Page'!$C$2+1))*('Summary Page'!$C$2+1)</f>
        <v>69.654983999999985</v>
      </c>
      <c r="EX24" s="7">
        <f>((AVERAGE(ET19:ET24)*('Summary Page'!$C$3+1))*('Summary Page'!$C$3+1))*('Summary Page'!$C$3+1)</f>
        <v>87.158203125</v>
      </c>
      <c r="EY24" s="7">
        <f>((AVERAGE(ET19:ET24)*('Summary Page'!$C$4+1))*('Summary Page'!$C$4+1))*('Summary Page'!$C$4+1)</f>
        <v>77.111999999999981</v>
      </c>
      <c r="EZ24" s="13">
        <f t="shared" si="6"/>
        <v>49.5</v>
      </c>
      <c r="FA24" s="13">
        <v>62</v>
      </c>
      <c r="FB24" s="13">
        <f>FA24</f>
        <v>62</v>
      </c>
      <c r="FC24" s="7">
        <f>((AVERAGE(EZ19:EZ24)*('Summary Page'!$C$2+1))*('Summary Page'!$C$2+1))*('Summary Page'!$C$2+1)</f>
        <v>85.328981333333303</v>
      </c>
      <c r="FD24" s="7">
        <f>((AVERAGE(EZ19:EZ24)*('Summary Page'!$C$3+1))*('Summary Page'!$C$3+1))*('Summary Page'!$C$3+1)</f>
        <v>106.77083333333331</v>
      </c>
      <c r="FE24" s="7">
        <f>((AVERAGE(EZ19:EZ24)*('Summary Page'!$C$4+1))*('Summary Page'!$C$4+1))*('Summary Page'!$C$4+1)</f>
        <v>94.463999999999984</v>
      </c>
      <c r="FF24" s="13">
        <f t="shared" si="7"/>
        <v>37.85</v>
      </c>
      <c r="FI24" s="40">
        <f t="shared" ref="FI24:FI55" si="8">O24</f>
        <v>36</v>
      </c>
      <c r="FJ24" s="7">
        <f>((AVERAGE(C19:C24)*('Summary Page'!$C$2+1))*('Summary Page'!$C$2+1))*('Summary Page'!$C$2+1)</f>
        <v>67.63882666666666</v>
      </c>
      <c r="FK24" s="7">
        <f>((AVERAGE(C19:C24)*('Summary Page'!$C$3+1))*('Summary Page'!$C$3+1))*('Summary Page'!$C$3+1)</f>
        <v>84.635416666666686</v>
      </c>
      <c r="FL24" s="7">
        <f>((AVERAGE(C19:C24)*('Summary Page'!$C$4+1))*('Summary Page'!$C$4+1))*('Summary Page'!$C$4+1)</f>
        <v>74.88</v>
      </c>
      <c r="FO24" s="40"/>
      <c r="FP24" s="7">
        <f>((AVERAGE(D19:D24)*('Summary Page'!$C$2+1))*('Summary Page'!$C$2+1))*('Summary Page'!$C$2+1)</f>
        <v>6.7638826666666647</v>
      </c>
      <c r="FQ24" s="7">
        <f>((AVERAGE(D19:D24)*('Summary Page'!$C$3+1))*('Summary Page'!$C$3+1))*('Summary Page'!$C$3+1)</f>
        <v>8.4635416666666643</v>
      </c>
      <c r="FR24" s="7">
        <f>((AVERAGE(D19:D24)*('Summary Page'!$C$4+1))*('Summary Page'!$C$4+1))*('Summary Page'!$C$4+1)</f>
        <v>7.4879999999999987</v>
      </c>
      <c r="FU24" s="40"/>
      <c r="FV24" s="7">
        <f>((AVERAGE(E19:E24)*('Summary Page'!$C$2+1))*('Summary Page'!$C$2+1))*('Summary Page'!$C$2+1)</f>
        <v>27.835978666666659</v>
      </c>
      <c r="FW24" s="7">
        <f>((AVERAGE(E19:E24)*('Summary Page'!$C$3+1))*('Summary Page'!$C$3+1))*('Summary Page'!$C$3+1)</f>
        <v>34.830729166666657</v>
      </c>
      <c r="FX24" s="7">
        <f>((AVERAGE(E19:E24)*('Summary Page'!$C$4+1))*('Summary Page'!$C$4+1))*('Summary Page'!$C$4+1)</f>
        <v>30.815999999999995</v>
      </c>
      <c r="GA24" s="40"/>
      <c r="GB24" s="7">
        <f>((AVERAGE(F19:F24)*('Summary Page'!$C$2+1))*('Summary Page'!$C$2+1))*('Summary Page'!$C$2+1)</f>
        <v>97.555999999999983</v>
      </c>
      <c r="GC24" s="7">
        <f>((AVERAGE(F19:F24)*('Summary Page'!$C$3+1))*('Summary Page'!$C$3+1))*('Summary Page'!$C$3+1)</f>
        <v>122.0703125</v>
      </c>
      <c r="GD24" s="7">
        <f>((AVERAGE(F19:F24)*('Summary Page'!$C$4+1))*('Summary Page'!$C$4+1))*('Summary Page'!$C$4+1)</f>
        <v>108</v>
      </c>
      <c r="GG24" s="40"/>
      <c r="GH24" s="7">
        <f>((AVERAGE(M19:M24)*('Summary Page'!$C$2+1))*('Summary Page'!$C$2+1))*('Summary Page'!$C$2+1)</f>
        <v>113.16495999999998</v>
      </c>
      <c r="GI24" s="7">
        <f>((AVERAGE(M19:M24)*('Summary Page'!$C$3+1))*('Summary Page'!$C$3+1))*('Summary Page'!$C$3+1)</f>
        <v>141.6015625</v>
      </c>
      <c r="GJ24" s="7">
        <f>((AVERAGE(M19:M24)*('Summary Page'!$C$4+1))*('Summary Page'!$C$4+1))*('Summary Page'!$C$4+1)</f>
        <v>125.27999999999999</v>
      </c>
      <c r="GM24" s="40"/>
      <c r="GN24" s="7">
        <f>((AVERAGE(G19:G24)*('Summary Page'!$C$2+1))*('Summary Page'!$C$2+1))*('Summary Page'!$C$2+1)</f>
        <v>105.36047999999998</v>
      </c>
      <c r="GO24" s="7">
        <f>((AVERAGE(G19:G24)*('Summary Page'!$C$3+1))*('Summary Page'!$C$3+1))*('Summary Page'!$C$3+1)</f>
        <v>131.8359375</v>
      </c>
      <c r="GP24" s="7">
        <f>((AVERAGE(G19:G24)*('Summary Page'!$C$4+1))*('Summary Page'!$C$4+1))*('Summary Page'!$C$4+1)</f>
        <v>116.64</v>
      </c>
      <c r="GS24" s="40"/>
      <c r="GT24" s="7">
        <f>((AVERAGE(H19:H24)*('Summary Page'!$C$2+1))*('Summary Page'!$C$2+1))*('Summary Page'!$C$2+1)</f>
        <v>47.867477333333326</v>
      </c>
      <c r="GU24" s="7">
        <f>((AVERAGE(H19:H24)*('Summary Page'!$C$3+1))*('Summary Page'!$C$3+1))*('Summary Page'!$C$3+1)</f>
        <v>59.895833333333343</v>
      </c>
      <c r="GV24" s="7">
        <f>((AVERAGE(H19:H24)*('Summary Page'!$C$4+1))*('Summary Page'!$C$4+1))*('Summary Page'!$C$4+1)</f>
        <v>52.991999999999997</v>
      </c>
      <c r="GY24" s="40"/>
      <c r="GZ24" s="7">
        <f>((AVERAGE(J19:J24)*('Summary Page'!$C$2+1))*('Summary Page'!$C$2+1))*('Summary Page'!$C$2+1)</f>
        <v>21.332245333333326</v>
      </c>
      <c r="HA24" s="7">
        <f>((AVERAGE(J19:J24)*('Summary Page'!$C$3+1))*('Summary Page'!$C$3+1))*('Summary Page'!$C$3+1)</f>
        <v>26.692708333333329</v>
      </c>
      <c r="HB24" s="7">
        <f>((AVERAGE(J19:J24)*('Summary Page'!$C$4+1))*('Summary Page'!$C$4+1))*('Summary Page'!$C$4+1)</f>
        <v>23.615999999999996</v>
      </c>
      <c r="HE24" s="40"/>
      <c r="HF24" s="7">
        <f>((AVERAGE(K19:K24)*('Summary Page'!$C$2+1))*('Summary Page'!$C$2+1))*('Summary Page'!$C$2+1)</f>
        <v>57.493002666666655</v>
      </c>
      <c r="HG24" s="7">
        <f>((AVERAGE(K19:K24)*('Summary Page'!$C$3+1))*('Summary Page'!$C$3+1))*('Summary Page'!$C$3+1)</f>
        <v>71.940104166666686</v>
      </c>
      <c r="HH24" s="7">
        <f>((AVERAGE(K19:K24)*('Summary Page'!$C$4+1))*('Summary Page'!$C$4+1))*('Summary Page'!$C$4+1)</f>
        <v>63.647999999999996</v>
      </c>
      <c r="HK24" s="40"/>
      <c r="HL24" s="7" t="e">
        <f>((AVERAGE(L19:L24)*('Summary Page'!$C$2+1))*('Summary Page'!$C$2+1))*('Summary Page'!$C$2+1)</f>
        <v>#DIV/0!</v>
      </c>
      <c r="HM24" s="7" t="e">
        <f>((AVERAGE(L19:L24)*('Summary Page'!$C$3+1))*('Summary Page'!$C$3+1))*('Summary Page'!$C$3+1)</f>
        <v>#DIV/0!</v>
      </c>
      <c r="HN24" s="7" t="e">
        <f>((AVERAGE(L19:L24)*('Summary Page'!$C$4+1))*('Summary Page'!$C$4+1))*('Summary Page'!$C$4+1)</f>
        <v>#DIV/0!</v>
      </c>
      <c r="HQ24" s="40">
        <f>AM24</f>
        <v>88</v>
      </c>
      <c r="HR24" s="7">
        <f>((AVERAGE(AL19:AL24)*('Summary Page'!$C$2+1))*('Summary Page'!$C$2+1))*('Summary Page'!$C$2+1)</f>
        <v>123.31078399999998</v>
      </c>
      <c r="HS24" s="7">
        <f>((AVERAGE(AL19:AL24)*('Summary Page'!$C$3+1))*('Summary Page'!$C$3+1))*('Summary Page'!$C$3+1)</f>
        <v>154.296875</v>
      </c>
      <c r="HT24" s="7">
        <f>((AVERAGE(AL19:AL24)*('Summary Page'!$C$4+1))*('Summary Page'!$C$4+1))*('Summary Page'!$C$4+1)</f>
        <v>136.51199999999997</v>
      </c>
      <c r="HU24" s="7">
        <v>100</v>
      </c>
    </row>
    <row r="25" spans="1:241" ht="15.75" x14ac:dyDescent="0.25">
      <c r="A25" s="20">
        <v>43661</v>
      </c>
      <c r="B25" s="80"/>
      <c r="C25" s="64">
        <v>34</v>
      </c>
      <c r="D25" s="40">
        <v>7</v>
      </c>
      <c r="E25" s="40">
        <v>17</v>
      </c>
      <c r="F25" s="40">
        <v>66</v>
      </c>
      <c r="G25" s="40">
        <v>80</v>
      </c>
      <c r="H25" s="40">
        <v>29</v>
      </c>
      <c r="I25" s="7">
        <f t="shared" si="1"/>
        <v>48</v>
      </c>
      <c r="J25" s="40">
        <v>11</v>
      </c>
      <c r="K25" s="40">
        <v>38</v>
      </c>
      <c r="L25" s="40"/>
      <c r="M25" s="40">
        <v>61</v>
      </c>
      <c r="N25" s="80"/>
      <c r="O25" s="40">
        <v>34</v>
      </c>
      <c r="P25" s="40">
        <v>5</v>
      </c>
      <c r="Q25" s="40">
        <v>24</v>
      </c>
      <c r="R25" s="40">
        <v>79</v>
      </c>
      <c r="S25" s="40">
        <v>73</v>
      </c>
      <c r="T25" s="40">
        <v>32</v>
      </c>
      <c r="U25" s="7">
        <f t="shared" si="2"/>
        <v>52</v>
      </c>
      <c r="V25" s="40">
        <v>10</v>
      </c>
      <c r="W25" s="40">
        <v>48</v>
      </c>
      <c r="X25" s="40"/>
      <c r="Y25" s="69">
        <v>76</v>
      </c>
      <c r="Z25" s="40"/>
      <c r="AA25" s="40"/>
      <c r="AB25" s="40"/>
      <c r="AC25" s="40"/>
      <c r="AD25" s="40"/>
      <c r="AE25" s="40"/>
      <c r="AF25" s="40"/>
      <c r="AG25" s="7" t="e">
        <f t="shared" si="3"/>
        <v>#DIV/0!</v>
      </c>
      <c r="AH25" s="40"/>
      <c r="AI25" s="40"/>
      <c r="AJ25" s="40"/>
      <c r="AK25" s="40"/>
      <c r="AL25" s="40">
        <v>79</v>
      </c>
      <c r="AM25" s="40">
        <v>88</v>
      </c>
      <c r="AN25" s="40"/>
      <c r="EM25" s="5">
        <f t="shared" si="4"/>
        <v>41.5</v>
      </c>
      <c r="EN25" s="13">
        <f t="shared" ref="EN25:EN55" si="9">AVERAGE(O25,P25,Q25,R25,Y25,S25,T25,HE25,X25)</f>
        <v>46.375</v>
      </c>
      <c r="EO25" s="13">
        <f t="shared" ref="EO25:EO36" si="10">EN25</f>
        <v>46.375</v>
      </c>
      <c r="EP25" s="30">
        <f>((AVERAGE(EM20:EM25)*('Summary Page'!$C$2+1))*('Summary Page'!$C$2+1))*('Summary Page'!$C$2+1)</f>
        <v>65.622669333333306</v>
      </c>
      <c r="EQ25" s="7">
        <f>((AVERAGE(EM20:EM25)*('Summary Page'!$C$3+1))*('Summary Page'!$C$3+1))*('Summary Page'!$C$3+1)</f>
        <v>82.112630208333314</v>
      </c>
      <c r="ER25" s="7">
        <f>((AVERAGE(EM20:EM25)*('Summary Page'!$C$4+1))*('Summary Page'!$C$4+1))*('Summary Page'!$C$4+1)</f>
        <v>72.647999999999982</v>
      </c>
      <c r="ES25" s="7">
        <v>80</v>
      </c>
      <c r="ET25" s="5">
        <f t="shared" si="5"/>
        <v>48</v>
      </c>
      <c r="EU25" s="13">
        <f t="shared" ref="EU25:EU55" si="11">AVERAGE(Q25,R25,S25,T25)</f>
        <v>52</v>
      </c>
      <c r="EV25" s="13">
        <f t="shared" ref="EV25:EV36" si="12">EU25</f>
        <v>52</v>
      </c>
      <c r="EW25" s="7">
        <f>((AVERAGE(ET20:ET25)*('Summary Page'!$C$2+1))*('Summary Page'!$C$2+1))*('Summary Page'!$C$2+1)</f>
        <v>71.73617866666666</v>
      </c>
      <c r="EX25" s="7">
        <f>((AVERAGE(ET20:ET25)*('Summary Page'!$C$3+1))*('Summary Page'!$C$3+1))*('Summary Page'!$C$3+1)</f>
        <v>89.762369791666686</v>
      </c>
      <c r="EY25" s="7">
        <f>((AVERAGE(ET20:ET25)*('Summary Page'!$C$4+1))*('Summary Page'!$C$4+1))*('Summary Page'!$C$4+1)</f>
        <v>79.415999999999983</v>
      </c>
      <c r="EZ25" s="13">
        <f t="shared" si="6"/>
        <v>49.5</v>
      </c>
      <c r="FA25" s="13">
        <f t="shared" ref="FA25:FA55" si="13">AVERAGE(Y25,W25,X25)</f>
        <v>62</v>
      </c>
      <c r="FB25" s="13">
        <f t="shared" ref="FB25:FB36" si="14">FA25</f>
        <v>62</v>
      </c>
      <c r="FC25" s="7">
        <f>((AVERAGE(EZ20:EZ25)*('Summary Page'!$C$2+1))*('Summary Page'!$C$2+1))*('Summary Page'!$C$2+1)</f>
        <v>83.247786666666656</v>
      </c>
      <c r="FD25" s="7">
        <f>((AVERAGE(EZ20:EZ25)*('Summary Page'!$C$3+1))*('Summary Page'!$C$3+1))*('Summary Page'!$C$3+1)</f>
        <v>104.16666666666669</v>
      </c>
      <c r="FE25" s="7">
        <f>((AVERAGE(EZ20:EZ25)*('Summary Page'!$C$4+1))*('Summary Page'!$C$4+1))*('Summary Page'!$C$4+1)</f>
        <v>92.16</v>
      </c>
      <c r="FF25" s="13">
        <f t="shared" si="7"/>
        <v>39.5</v>
      </c>
      <c r="FI25" s="40">
        <f t="shared" si="8"/>
        <v>34</v>
      </c>
      <c r="FJ25" s="7">
        <f>((AVERAGE(C20:C25)*('Summary Page'!$C$2+1))*('Summary Page'!$C$2+1))*('Summary Page'!$C$2+1)</f>
        <v>63.736586666666661</v>
      </c>
      <c r="FK25" s="7">
        <f>((AVERAGE(C20:C25)*('Summary Page'!$C$3+1))*('Summary Page'!$C$3+1))*('Summary Page'!$C$3+1)</f>
        <v>79.752604166666686</v>
      </c>
      <c r="FL25" s="7">
        <f>((AVERAGE(C20:C25)*('Summary Page'!$C$4+1))*('Summary Page'!$C$4+1))*('Summary Page'!$C$4+1)</f>
        <v>70.559999999999988</v>
      </c>
      <c r="FO25" s="40">
        <f t="shared" ref="FO25:FO55" si="15">P25</f>
        <v>5</v>
      </c>
      <c r="FP25" s="7">
        <f>((AVERAGE(D20:D25)*('Summary Page'!$C$2+1))*('Summary Page'!$C$2+1))*('Summary Page'!$C$2+1)</f>
        <v>7.804479999999999</v>
      </c>
      <c r="FQ25" s="7">
        <f>((AVERAGE(D20:D25)*('Summary Page'!$C$3+1))*('Summary Page'!$C$3+1))*('Summary Page'!$C$3+1)</f>
        <v>9.765625</v>
      </c>
      <c r="FR25" s="7">
        <f>((AVERAGE(D20:D25)*('Summary Page'!$C$4+1))*('Summary Page'!$C$4+1))*('Summary Page'!$C$4+1)</f>
        <v>8.6399999999999988</v>
      </c>
      <c r="FU25" s="40">
        <f t="shared" ref="FU25:FU55" si="16">Q25</f>
        <v>24</v>
      </c>
      <c r="FV25" s="7">
        <f>((AVERAGE(E20:E25)*('Summary Page'!$C$2+1))*('Summary Page'!$C$2+1))*('Summary Page'!$C$2+1)</f>
        <v>27.575829333333328</v>
      </c>
      <c r="FW25" s="7">
        <f>((AVERAGE(E20:E25)*('Summary Page'!$C$3+1))*('Summary Page'!$C$3+1))*('Summary Page'!$C$3+1)</f>
        <v>34.505208333333343</v>
      </c>
      <c r="FX25" s="7">
        <f>((AVERAGE(E20:E25)*('Summary Page'!$C$4+1))*('Summary Page'!$C$4+1))*('Summary Page'!$C$4+1)</f>
        <v>30.527999999999995</v>
      </c>
      <c r="GA25" s="40">
        <f t="shared" ref="GA25:GA55" si="17">R25</f>
        <v>79</v>
      </c>
      <c r="GB25" s="7">
        <f>((AVERAGE(F20:F25)*('Summary Page'!$C$2+1))*('Summary Page'!$C$2+1))*('Summary Page'!$C$2+1)</f>
        <v>98.076298666666659</v>
      </c>
      <c r="GC25" s="7">
        <f>((AVERAGE(F20:F25)*('Summary Page'!$C$3+1))*('Summary Page'!$C$3+1))*('Summary Page'!$C$3+1)</f>
        <v>122.72135416666669</v>
      </c>
      <c r="GD25" s="7">
        <f>((AVERAGE(F20:F25)*('Summary Page'!$C$4+1))*('Summary Page'!$C$4+1))*('Summary Page'!$C$4+1)</f>
        <v>108.57600000000001</v>
      </c>
      <c r="GG25" s="40">
        <f t="shared" ref="GG25:GG55" si="18">Y25</f>
        <v>76</v>
      </c>
      <c r="GH25" s="7">
        <f>((AVERAGE(M20:M25)*('Summary Page'!$C$2+1))*('Summary Page'!$C$2+1))*('Summary Page'!$C$2+1)</f>
        <v>108.48227199999998</v>
      </c>
      <c r="GI25" s="7">
        <f>((AVERAGE(M20:M25)*('Summary Page'!$C$3+1))*('Summary Page'!$C$3+1))*('Summary Page'!$C$3+1)</f>
        <v>135.7421875</v>
      </c>
      <c r="GJ25" s="7">
        <f>((AVERAGE(M20:M25)*('Summary Page'!$C$4+1))*('Summary Page'!$C$4+1))*('Summary Page'!$C$4+1)</f>
        <v>120.09599999999998</v>
      </c>
      <c r="GM25" s="40">
        <f t="shared" ref="GM25:GM55" si="19">S25</f>
        <v>73</v>
      </c>
      <c r="GN25" s="7">
        <f>((AVERAGE(G20:G25)*('Summary Page'!$C$2+1))*('Summary Page'!$C$2+1))*('Summary Page'!$C$2+1)</f>
        <v>114.46570666666663</v>
      </c>
      <c r="GO25" s="7">
        <f>((AVERAGE(G20:G25)*('Summary Page'!$C$3+1))*('Summary Page'!$C$3+1))*('Summary Page'!$C$3+1)</f>
        <v>143.22916666666663</v>
      </c>
      <c r="GP25" s="7">
        <f>((AVERAGE(G20:G25)*('Summary Page'!$C$4+1))*('Summary Page'!$C$4+1))*('Summary Page'!$C$4+1)</f>
        <v>126.71999999999997</v>
      </c>
      <c r="GS25" s="40">
        <f t="shared" ref="GS25:GS55" si="20">T25</f>
        <v>32</v>
      </c>
      <c r="GT25" s="7">
        <f>((AVERAGE(H20:H25)*('Summary Page'!$C$2+1))*('Summary Page'!$C$2+1))*('Summary Page'!$C$2+1)</f>
        <v>46.826879999999989</v>
      </c>
      <c r="GU25" s="7">
        <f>((AVERAGE(H20:H25)*('Summary Page'!$C$3+1))*('Summary Page'!$C$3+1))*('Summary Page'!$C$3+1)</f>
        <v>58.59375</v>
      </c>
      <c r="GV25" s="7">
        <f>((AVERAGE(H20:H25)*('Summary Page'!$C$4+1))*('Summary Page'!$C$4+1))*('Summary Page'!$C$4+1)</f>
        <v>51.839999999999996</v>
      </c>
      <c r="GY25" s="40">
        <f t="shared" ref="GY25:GY55" si="21">V25</f>
        <v>10</v>
      </c>
      <c r="GZ25" s="7">
        <f>((AVERAGE(J20:J25)*('Summary Page'!$C$2+1))*('Summary Page'!$C$2+1))*('Summary Page'!$C$2+1)</f>
        <v>20.811946666666664</v>
      </c>
      <c r="HA25" s="7">
        <f>((AVERAGE(J20:J25)*('Summary Page'!$C$3+1))*('Summary Page'!$C$3+1))*('Summary Page'!$C$3+1)</f>
        <v>26.041666666666671</v>
      </c>
      <c r="HB25" s="7">
        <f>((AVERAGE(J20:J25)*('Summary Page'!$C$4+1))*('Summary Page'!$C$4+1))*('Summary Page'!$C$4+1)</f>
        <v>23.04</v>
      </c>
      <c r="HE25" s="40">
        <f t="shared" ref="HE25:HE51" si="22">W25</f>
        <v>48</v>
      </c>
      <c r="HF25" s="7">
        <f>((AVERAGE(K20:K25)*('Summary Page'!$C$2+1))*('Summary Page'!$C$2+1))*('Summary Page'!$C$2+1)</f>
        <v>58.013301333333317</v>
      </c>
      <c r="HG25" s="7">
        <f>((AVERAGE(K20:K25)*('Summary Page'!$C$3+1))*('Summary Page'!$C$3+1))*('Summary Page'!$C$3+1)</f>
        <v>72.591145833333314</v>
      </c>
      <c r="HH25" s="7">
        <f>((AVERAGE(K20:K25)*('Summary Page'!$C$4+1))*('Summary Page'!$C$4+1))*('Summary Page'!$C$4+1)</f>
        <v>64.22399999999999</v>
      </c>
      <c r="HK25" s="40">
        <f>X25*1.2</f>
        <v>0</v>
      </c>
      <c r="HL25" s="7" t="e">
        <f>((AVERAGE(L20:L25)*('Summary Page'!$C$2+1))*('Summary Page'!$C$2+1))*('Summary Page'!$C$2+1)</f>
        <v>#DIV/0!</v>
      </c>
      <c r="HM25" s="7" t="e">
        <f>((AVERAGE(L20:L25)*('Summary Page'!$C$3+1))*('Summary Page'!$C$3+1))*('Summary Page'!$C$3+1)</f>
        <v>#DIV/0!</v>
      </c>
      <c r="HN25" s="7" t="e">
        <f>((AVERAGE(L20:L25)*('Summary Page'!$C$4+1))*('Summary Page'!$C$4+1))*('Summary Page'!$C$4+1)</f>
        <v>#DIV/0!</v>
      </c>
      <c r="HQ25" s="40">
        <f t="shared" ref="HQ25:HQ36" si="23">AM25</f>
        <v>88</v>
      </c>
      <c r="HR25" s="7">
        <f>((AVERAGE(AL20:AL25)*('Summary Page'!$C$2+1))*('Summary Page'!$C$2+1))*('Summary Page'!$C$2+1)</f>
        <v>123.31078399999998</v>
      </c>
      <c r="HS25" s="7">
        <f>((AVERAGE(AL20:AL25)*('Summary Page'!$C$3+1))*('Summary Page'!$C$3+1))*('Summary Page'!$C$3+1)</f>
        <v>154.296875</v>
      </c>
      <c r="HT25" s="7">
        <f>((AVERAGE(AL20:AL25)*('Summary Page'!$C$4+1))*('Summary Page'!$C$4+1))*('Summary Page'!$C$4+1)</f>
        <v>136.51199999999997</v>
      </c>
      <c r="HU25" s="7">
        <v>100</v>
      </c>
    </row>
    <row r="26" spans="1:241" ht="15.75" x14ac:dyDescent="0.25">
      <c r="A26" s="10">
        <v>43678</v>
      </c>
      <c r="B26" s="10"/>
      <c r="C26" s="64">
        <v>44</v>
      </c>
      <c r="D26" s="40">
        <v>9</v>
      </c>
      <c r="E26" s="64">
        <v>20</v>
      </c>
      <c r="F26" s="40">
        <v>74</v>
      </c>
      <c r="G26" s="40">
        <v>62</v>
      </c>
      <c r="H26" s="64">
        <v>28</v>
      </c>
      <c r="I26" s="14">
        <f t="shared" si="1"/>
        <v>46</v>
      </c>
      <c r="J26" s="40">
        <v>8</v>
      </c>
      <c r="K26" s="40">
        <v>41</v>
      </c>
      <c r="L26" s="64"/>
      <c r="M26" s="64">
        <v>60</v>
      </c>
      <c r="N26" s="10"/>
      <c r="O26" s="40">
        <v>49</v>
      </c>
      <c r="P26" s="40">
        <v>6</v>
      </c>
      <c r="Q26" s="40">
        <v>25</v>
      </c>
      <c r="R26" s="40">
        <v>82</v>
      </c>
      <c r="S26" s="40">
        <v>93</v>
      </c>
      <c r="T26" s="40">
        <v>37</v>
      </c>
      <c r="U26" s="7">
        <f t="shared" si="2"/>
        <v>59.25</v>
      </c>
      <c r="V26" s="40">
        <v>9</v>
      </c>
      <c r="W26" s="40">
        <v>42</v>
      </c>
      <c r="Y26" s="69">
        <v>76</v>
      </c>
      <c r="Z26" s="40"/>
      <c r="AA26" s="40"/>
      <c r="AB26" s="40"/>
      <c r="AC26" s="40"/>
      <c r="AD26" s="40"/>
      <c r="AE26" s="40"/>
      <c r="AF26" s="40"/>
      <c r="AG26" s="14" t="e">
        <f t="shared" si="3"/>
        <v>#DIV/0!</v>
      </c>
      <c r="AH26" s="40"/>
      <c r="AI26" s="40"/>
      <c r="AJ26" s="40"/>
      <c r="AK26" s="40"/>
      <c r="AL26" s="40">
        <v>79</v>
      </c>
      <c r="AM26" s="40">
        <v>92</v>
      </c>
      <c r="AN26" s="40"/>
      <c r="AO26" s="40">
        <v>467</v>
      </c>
      <c r="AP26" s="40">
        <v>467</v>
      </c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>
        <f t="shared" si="4"/>
        <v>42.25</v>
      </c>
      <c r="EN26" s="13">
        <f t="shared" si="9"/>
        <v>51.25</v>
      </c>
      <c r="EO26" s="13">
        <f t="shared" si="10"/>
        <v>51.25</v>
      </c>
      <c r="EP26" s="30">
        <f>((AVERAGE(EM21:EM26)*('Summary Page'!$C$2+1))*('Summary Page'!$C$2+1))*('Summary Page'!$C$2+1)</f>
        <v>66.793341333333316</v>
      </c>
      <c r="EQ26" s="7">
        <f>((AVERAGE(EM21:EM26)*('Summary Page'!$C$3+1))*('Summary Page'!$C$3+1))*('Summary Page'!$C$3+1)</f>
        <v>83.577473958333314</v>
      </c>
      <c r="ER26" s="7">
        <f>((AVERAGE(EM21:EM26)*('Summary Page'!$C$4+1))*('Summary Page'!$C$4+1))*('Summary Page'!$C$4+1)</f>
        <v>73.943999999999988</v>
      </c>
      <c r="ES26" s="7">
        <v>80</v>
      </c>
      <c r="ET26" s="40">
        <f t="shared" si="5"/>
        <v>46</v>
      </c>
      <c r="EU26" s="13">
        <f t="shared" si="11"/>
        <v>59.25</v>
      </c>
      <c r="EV26" s="13">
        <f t="shared" si="12"/>
        <v>59.25</v>
      </c>
      <c r="EW26" s="7">
        <f>((AVERAGE(ET21:ET26)*('Summary Page'!$C$2+1))*('Summary Page'!$C$2+1))*('Summary Page'!$C$2+1)</f>
        <v>73.427149333333318</v>
      </c>
      <c r="EX26" s="7">
        <f>((AVERAGE(ET21:ET26)*('Summary Page'!$C$3+1))*('Summary Page'!$C$3+1))*('Summary Page'!$C$3+1)</f>
        <v>91.878255208333314</v>
      </c>
      <c r="EY26" s="7">
        <f>((AVERAGE(ET21:ET26)*('Summary Page'!$C$4+1))*('Summary Page'!$C$4+1))*('Summary Page'!$C$4+1)</f>
        <v>81.287999999999997</v>
      </c>
      <c r="EZ26" s="40">
        <f t="shared" si="6"/>
        <v>50.5</v>
      </c>
      <c r="FA26" s="13">
        <f t="shared" si="13"/>
        <v>59</v>
      </c>
      <c r="FB26" s="13">
        <f t="shared" si="14"/>
        <v>59</v>
      </c>
      <c r="FC26" s="7">
        <f>((AVERAGE(EZ21:EZ26)*('Summary Page'!$C$2+1))*('Summary Page'!$C$2+1))*('Summary Page'!$C$2+1)</f>
        <v>82.987637333333311</v>
      </c>
      <c r="FD26" s="7">
        <f>((AVERAGE(EZ21:EZ26)*('Summary Page'!$C$3+1))*('Summary Page'!$C$3+1))*('Summary Page'!$C$3+1)</f>
        <v>103.84114583333331</v>
      </c>
      <c r="FE26" s="7">
        <f>((AVERAGE(EZ21:EZ26)*('Summary Page'!$C$4+1))*('Summary Page'!$C$4+1))*('Summary Page'!$C$4+1)</f>
        <v>91.871999999999986</v>
      </c>
      <c r="FF26" s="13">
        <f t="shared" si="7"/>
        <v>38.9</v>
      </c>
      <c r="FI26" s="40">
        <f t="shared" si="8"/>
        <v>49</v>
      </c>
      <c r="FJ26" s="7">
        <f>((AVERAGE(C21:C26)*('Summary Page'!$C$2+1))*('Summary Page'!$C$2+1))*('Summary Page'!$C$2+1)</f>
        <v>65.297482666666653</v>
      </c>
      <c r="FK26" s="7">
        <f>((AVERAGE(C21:C26)*('Summary Page'!$C$3+1))*('Summary Page'!$C$3+1))*('Summary Page'!$C$3+1)</f>
        <v>81.705729166666686</v>
      </c>
      <c r="FL26" s="7">
        <f>((AVERAGE(C21:C26)*('Summary Page'!$C$4+1))*('Summary Page'!$C$4+1))*('Summary Page'!$C$4+1)</f>
        <v>72.287999999999997</v>
      </c>
      <c r="FO26" s="40">
        <f t="shared" si="15"/>
        <v>6</v>
      </c>
      <c r="FP26" s="7">
        <f>((AVERAGE(D21:D26)*('Summary Page'!$C$2+1))*('Summary Page'!$C$2+1))*('Summary Page'!$C$2+1)</f>
        <v>9.3653759999999977</v>
      </c>
      <c r="FQ26" s="7">
        <f>((AVERAGE(D21:D26)*('Summary Page'!$C$3+1))*('Summary Page'!$C$3+1))*('Summary Page'!$C$3+1)</f>
        <v>11.71875</v>
      </c>
      <c r="FR26" s="7">
        <f>((AVERAGE(D21:D26)*('Summary Page'!$C$4+1))*('Summary Page'!$C$4+1))*('Summary Page'!$C$4+1)</f>
        <v>10.367999999999999</v>
      </c>
      <c r="FU26" s="40">
        <f t="shared" si="16"/>
        <v>25</v>
      </c>
      <c r="FV26" s="7">
        <f>((AVERAGE(E21:E26)*('Summary Page'!$C$2+1))*('Summary Page'!$C$2+1))*('Summary Page'!$C$2+1)</f>
        <v>29.136725333333327</v>
      </c>
      <c r="FW26" s="7">
        <f>((AVERAGE(E21:E26)*('Summary Page'!$C$3+1))*('Summary Page'!$C$3+1))*('Summary Page'!$C$3+1)</f>
        <v>36.458333333333343</v>
      </c>
      <c r="FX26" s="7">
        <f>((AVERAGE(E21:E26)*('Summary Page'!$C$4+1))*('Summary Page'!$C$4+1))*('Summary Page'!$C$4+1)</f>
        <v>32.256</v>
      </c>
      <c r="GA26" s="40">
        <f t="shared" si="17"/>
        <v>82</v>
      </c>
      <c r="GB26" s="7">
        <f>((AVERAGE(F21:F26)*('Summary Page'!$C$2+1))*('Summary Page'!$C$2+1))*('Summary Page'!$C$2+1)</f>
        <v>101.71838933333332</v>
      </c>
      <c r="GC26" s="7">
        <f>((AVERAGE(F21:F26)*('Summary Page'!$C$3+1))*('Summary Page'!$C$3+1))*('Summary Page'!$C$3+1)</f>
        <v>127.27864583333336</v>
      </c>
      <c r="GD26" s="7">
        <f>((AVERAGE(F21:F26)*('Summary Page'!$C$4+1))*('Summary Page'!$C$4+1))*('Summary Page'!$C$4+1)</f>
        <v>112.608</v>
      </c>
      <c r="GG26" s="40">
        <f t="shared" si="18"/>
        <v>76</v>
      </c>
      <c r="GH26" s="7">
        <f>((AVERAGE(M21:M26)*('Summary Page'!$C$2+1))*('Summary Page'!$C$2+1))*('Summary Page'!$C$2+1)</f>
        <v>106.92137599999998</v>
      </c>
      <c r="GI26" s="7">
        <f>((AVERAGE(M21:M26)*('Summary Page'!$C$3+1))*('Summary Page'!$C$3+1))*('Summary Page'!$C$3+1)</f>
        <v>133.7890625</v>
      </c>
      <c r="GJ26" s="7">
        <f>((AVERAGE(M21:M26)*('Summary Page'!$C$4+1))*('Summary Page'!$C$4+1))*('Summary Page'!$C$4+1)</f>
        <v>118.36799999999999</v>
      </c>
      <c r="GM26" s="40">
        <f t="shared" si="19"/>
        <v>93</v>
      </c>
      <c r="GN26" s="7">
        <f>((AVERAGE(G21:G26)*('Summary Page'!$C$2+1))*('Summary Page'!$C$2+1))*('Summary Page'!$C$2+1)</f>
        <v>116.28675199999996</v>
      </c>
      <c r="GO26" s="7">
        <f>((AVERAGE(G21:G26)*('Summary Page'!$C$3+1))*('Summary Page'!$C$3+1))*('Summary Page'!$C$3+1)</f>
        <v>145.5078125</v>
      </c>
      <c r="GP26" s="7">
        <f>((AVERAGE(G21:G26)*('Summary Page'!$C$4+1))*('Summary Page'!$C$4+1))*('Summary Page'!$C$4+1)</f>
        <v>128.73599999999999</v>
      </c>
      <c r="GS26" s="40">
        <f t="shared" si="20"/>
        <v>37</v>
      </c>
      <c r="GT26" s="7">
        <f>((AVERAGE(H21:H26)*('Summary Page'!$C$2+1))*('Summary Page'!$C$2+1))*('Summary Page'!$C$2+1)</f>
        <v>46.566730666666651</v>
      </c>
      <c r="GU26" s="7">
        <f>((AVERAGE(H21:H26)*('Summary Page'!$C$3+1))*('Summary Page'!$C$3+1))*('Summary Page'!$C$3+1)</f>
        <v>58.268229166666657</v>
      </c>
      <c r="GV26" s="7">
        <f>((AVERAGE(H21:H26)*('Summary Page'!$C$4+1))*('Summary Page'!$C$4+1))*('Summary Page'!$C$4+1)</f>
        <v>51.551999999999992</v>
      </c>
      <c r="GY26" s="40">
        <f t="shared" si="21"/>
        <v>9</v>
      </c>
      <c r="GZ26" s="7">
        <f>((AVERAGE(J21:J26)*('Summary Page'!$C$2+1))*('Summary Page'!$C$2+1))*('Summary Page'!$C$2+1)</f>
        <v>19.251050666666664</v>
      </c>
      <c r="HA26" s="7">
        <f>((AVERAGE(J21:J26)*('Summary Page'!$C$3+1))*('Summary Page'!$C$3+1))*('Summary Page'!$C$3+1)</f>
        <v>24.088541666666671</v>
      </c>
      <c r="HB26" s="7">
        <f>((AVERAGE(J21:J26)*('Summary Page'!$C$4+1))*('Summary Page'!$C$4+1))*('Summary Page'!$C$4+1)</f>
        <v>21.312000000000001</v>
      </c>
      <c r="HE26" s="40">
        <f t="shared" si="22"/>
        <v>42</v>
      </c>
      <c r="HF26" s="7">
        <f>((AVERAGE(K21:K26)*('Summary Page'!$C$2+1))*('Summary Page'!$C$2+1))*('Summary Page'!$C$2+1)</f>
        <v>59.053898666666655</v>
      </c>
      <c r="HG26" s="7">
        <f>((AVERAGE(K21:K26)*('Summary Page'!$C$3+1))*('Summary Page'!$C$3+1))*('Summary Page'!$C$3+1)</f>
        <v>73.893229166666686</v>
      </c>
      <c r="HH26" s="7">
        <f>((AVERAGE(K21:K26)*('Summary Page'!$C$4+1))*('Summary Page'!$C$4+1))*('Summary Page'!$C$4+1)</f>
        <v>65.375999999999991</v>
      </c>
      <c r="HK26" s="40"/>
      <c r="HL26" s="7" t="e">
        <f>((AVERAGE(L21:L26)*('Summary Page'!$C$2+1))*('Summary Page'!$C$2+1))*('Summary Page'!$C$2+1)</f>
        <v>#DIV/0!</v>
      </c>
      <c r="HM26" s="7" t="e">
        <f>((AVERAGE(L21:L26)*('Summary Page'!$C$3+1))*('Summary Page'!$C$3+1))*('Summary Page'!$C$3+1)</f>
        <v>#DIV/0!</v>
      </c>
      <c r="HN26" s="7" t="e">
        <f>((AVERAGE(L21:L26)*('Summary Page'!$C$4+1))*('Summary Page'!$C$4+1))*('Summary Page'!$C$4+1)</f>
        <v>#DIV/0!</v>
      </c>
      <c r="HQ26" s="40">
        <f t="shared" si="23"/>
        <v>92</v>
      </c>
      <c r="HR26" s="7">
        <f>((AVERAGE(AL21:AL26)*('Summary Page'!$C$2+1))*('Summary Page'!$C$2+1))*('Summary Page'!$C$2+1)</f>
        <v>123.31078399999998</v>
      </c>
      <c r="HS26" s="7">
        <f>((AVERAGE(AL21:AL26)*('Summary Page'!$C$3+1))*('Summary Page'!$C$3+1))*('Summary Page'!$C$3+1)</f>
        <v>154.296875</v>
      </c>
      <c r="HT26" s="7">
        <f>((AVERAGE(AL21:AL26)*('Summary Page'!$C$4+1))*('Summary Page'!$C$4+1))*('Summary Page'!$C$4+1)</f>
        <v>136.51199999999997</v>
      </c>
      <c r="HU26" s="7">
        <v>100</v>
      </c>
      <c r="HV26" s="16">
        <f t="shared" ref="HV26:HW28" si="24">AO26/7.5/0.89/5</f>
        <v>13.992509363295881</v>
      </c>
      <c r="HW26" s="16">
        <f t="shared" si="24"/>
        <v>13.992509363295881</v>
      </c>
      <c r="HX26" s="7">
        <f>HW26</f>
        <v>13.992509363295881</v>
      </c>
      <c r="HY26" s="7">
        <f>((AVERAGE(HV15:HV26,HX15:HX26)*('Summary Page'!$C$2+1))*('Summary Page'!$C$2+1))*('Summary Page'!$C$2+1)</f>
        <v>21.840851895131085</v>
      </c>
      <c r="HZ26" s="7">
        <f>((AVERAGE(HV15:HV26,HX15:HX26)*('Summary Page'!$C$3+1))*('Summary Page'!$C$3+1))*('Summary Page'!$C$3+1)</f>
        <v>27.329119850187269</v>
      </c>
      <c r="IA26" s="7">
        <f>((AVERAGE(HV15:HV26,HX15:HX26)*('Summary Page'!$C$4+1))*('Summary Page'!$C$4+1))*('Summary Page'!$C$4+1)</f>
        <v>24.17905617977528</v>
      </c>
      <c r="IB26" s="11">
        <f t="shared" ref="IB26:IB31" si="25">(HV26/6)+HV26</f>
        <v>16.324594257178529</v>
      </c>
      <c r="IC26" s="11">
        <f t="shared" ref="IC26:IC48" si="26">(HW26/6)+HW26</f>
        <v>16.324594257178529</v>
      </c>
      <c r="ID26" s="11">
        <f t="shared" ref="ID26:ID48" si="27">(HX26/6)+HX26</f>
        <v>16.324594257178529</v>
      </c>
      <c r="IE26" s="11">
        <f t="shared" ref="IE26:IE48" si="28">(HY26/6)+HY26</f>
        <v>25.480993877652931</v>
      </c>
      <c r="IF26" s="11">
        <f t="shared" ref="IF26:IF48" si="29">(HZ26/6)+HZ26</f>
        <v>31.883973158551814</v>
      </c>
      <c r="IG26" s="11">
        <f t="shared" ref="IG26:IG48" si="30">(IA26/6)+IA26</f>
        <v>28.208898876404493</v>
      </c>
    </row>
    <row r="27" spans="1:241" ht="15.75" x14ac:dyDescent="0.25">
      <c r="A27" s="10">
        <v>43710</v>
      </c>
      <c r="B27" s="10"/>
      <c r="C27" s="40">
        <v>34</v>
      </c>
      <c r="D27" s="40">
        <v>8</v>
      </c>
      <c r="E27" s="40">
        <v>16</v>
      </c>
      <c r="F27" s="40">
        <v>78</v>
      </c>
      <c r="G27" s="40">
        <v>47</v>
      </c>
      <c r="H27" s="40">
        <v>37</v>
      </c>
      <c r="I27" s="7">
        <f t="shared" si="1"/>
        <v>44.5</v>
      </c>
      <c r="J27" s="40">
        <v>6</v>
      </c>
      <c r="K27" s="40">
        <v>43</v>
      </c>
      <c r="M27" s="40">
        <v>75</v>
      </c>
      <c r="N27" s="10"/>
      <c r="O27" s="40">
        <v>48</v>
      </c>
      <c r="P27" s="40">
        <v>11</v>
      </c>
      <c r="Q27" s="40">
        <v>21</v>
      </c>
      <c r="R27" s="40">
        <v>89</v>
      </c>
      <c r="S27" s="40">
        <v>41</v>
      </c>
      <c r="T27" s="40">
        <v>37</v>
      </c>
      <c r="U27" s="7">
        <f t="shared" si="2"/>
        <v>47</v>
      </c>
      <c r="V27" s="40">
        <v>5</v>
      </c>
      <c r="W27" s="40">
        <v>46</v>
      </c>
      <c r="Y27" s="69">
        <v>60</v>
      </c>
      <c r="AG27" s="7" t="e">
        <f t="shared" si="3"/>
        <v>#DIV/0!</v>
      </c>
      <c r="AL27" s="40">
        <v>90</v>
      </c>
      <c r="AM27" s="40">
        <v>90</v>
      </c>
      <c r="AN27" s="40"/>
      <c r="AO27" s="40">
        <v>467</v>
      </c>
      <c r="AP27" s="40">
        <v>467</v>
      </c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13">
        <f t="shared" si="4"/>
        <v>42.25</v>
      </c>
      <c r="EN27" s="13">
        <f t="shared" si="9"/>
        <v>44.125</v>
      </c>
      <c r="EO27" s="13">
        <f t="shared" si="10"/>
        <v>44.125</v>
      </c>
      <c r="EP27" s="30">
        <f>((AVERAGE(EM22:EM27)*('Summary Page'!$C$2+1))*('Summary Page'!$C$2+1))*('Summary Page'!$C$2+1)</f>
        <v>67.18356533333332</v>
      </c>
      <c r="EQ27" s="7">
        <f>((AVERAGE(EM22:EM27)*('Summary Page'!$C$3+1))*('Summary Page'!$C$3+1))*('Summary Page'!$C$3+1)</f>
        <v>84.065755208333314</v>
      </c>
      <c r="ER27" s="7">
        <f>((AVERAGE(EM22:EM27)*('Summary Page'!$C$4+1))*('Summary Page'!$C$4+1))*('Summary Page'!$C$4+1)</f>
        <v>74.375999999999991</v>
      </c>
      <c r="ES27" s="7">
        <v>80</v>
      </c>
      <c r="ET27" s="13">
        <f t="shared" si="5"/>
        <v>44.5</v>
      </c>
      <c r="EU27" s="13">
        <f t="shared" si="11"/>
        <v>47</v>
      </c>
      <c r="EV27" s="13">
        <f t="shared" si="12"/>
        <v>47</v>
      </c>
      <c r="EW27" s="7">
        <f>((AVERAGE(ET22:ET27)*('Summary Page'!$C$2+1))*('Summary Page'!$C$2+1))*('Summary Page'!$C$2+1)</f>
        <v>73.94744799999998</v>
      </c>
      <c r="EX27" s="7">
        <f>((AVERAGE(ET22:ET27)*('Summary Page'!$C$3+1))*('Summary Page'!$C$3+1))*('Summary Page'!$C$3+1)</f>
        <v>92.529296875</v>
      </c>
      <c r="EY27" s="7">
        <f>((AVERAGE(ET22:ET27)*('Summary Page'!$C$4+1))*('Summary Page'!$C$4+1))*('Summary Page'!$C$4+1)</f>
        <v>81.86399999999999</v>
      </c>
      <c r="EZ27" s="13">
        <f t="shared" si="6"/>
        <v>59</v>
      </c>
      <c r="FA27" s="13">
        <f t="shared" si="13"/>
        <v>53</v>
      </c>
      <c r="FB27" s="13">
        <f t="shared" si="14"/>
        <v>53</v>
      </c>
      <c r="FC27" s="7">
        <f>((AVERAGE(EZ22:EZ27)*('Summary Page'!$C$2+1))*('Summary Page'!$C$2+1))*('Summary Page'!$C$2+1)</f>
        <v>84.288383999999979</v>
      </c>
      <c r="FD27" s="7">
        <f>((AVERAGE(EZ22:EZ27)*('Summary Page'!$C$3+1))*('Summary Page'!$C$3+1))*('Summary Page'!$C$3+1)</f>
        <v>105.46875</v>
      </c>
      <c r="FE27" s="7">
        <f>((AVERAGE(EZ22:EZ27)*('Summary Page'!$C$4+1))*('Summary Page'!$C$4+1))*('Summary Page'!$C$4+1)</f>
        <v>93.311999999999983</v>
      </c>
      <c r="FF27" s="13">
        <f t="shared" si="7"/>
        <v>39.75</v>
      </c>
      <c r="FI27" s="40">
        <f t="shared" si="8"/>
        <v>48</v>
      </c>
      <c r="FJ27" s="7">
        <f>((AVERAGE(C22:C27)*('Summary Page'!$C$2+1))*('Summary Page'!$C$2+1))*('Summary Page'!$C$2+1)</f>
        <v>62.435839999999992</v>
      </c>
      <c r="FK27" s="7">
        <f>((AVERAGE(C22:C27)*('Summary Page'!$C$3+1))*('Summary Page'!$C$3+1))*('Summary Page'!$C$3+1)</f>
        <v>78.125</v>
      </c>
      <c r="FL27" s="7">
        <f>((AVERAGE(C22:C27)*('Summary Page'!$C$4+1))*('Summary Page'!$C$4+1))*('Summary Page'!$C$4+1)</f>
        <v>69.11999999999999</v>
      </c>
      <c r="FO27" s="40">
        <f t="shared" si="15"/>
        <v>11</v>
      </c>
      <c r="FP27" s="7">
        <f>((AVERAGE(D22:D27)*('Summary Page'!$C$2+1))*('Summary Page'!$C$2+1))*('Summary Page'!$C$2+1)</f>
        <v>10.666122666666663</v>
      </c>
      <c r="FQ27" s="7">
        <f>((AVERAGE(D22:D27)*('Summary Page'!$C$3+1))*('Summary Page'!$C$3+1))*('Summary Page'!$C$3+1)</f>
        <v>13.346354166666664</v>
      </c>
      <c r="FR27" s="7">
        <f>((AVERAGE(D22:D27)*('Summary Page'!$C$4+1))*('Summary Page'!$C$4+1))*('Summary Page'!$C$4+1)</f>
        <v>11.807999999999998</v>
      </c>
      <c r="FU27" s="40">
        <f t="shared" si="16"/>
        <v>21</v>
      </c>
      <c r="FV27" s="7">
        <f>((AVERAGE(E22:E27)*('Summary Page'!$C$2+1))*('Summary Page'!$C$2+1))*('Summary Page'!$C$2+1)</f>
        <v>28.876575999999993</v>
      </c>
      <c r="FW27" s="7">
        <f>((AVERAGE(E22:E27)*('Summary Page'!$C$3+1))*('Summary Page'!$C$3+1))*('Summary Page'!$C$3+1)</f>
        <v>36.1328125</v>
      </c>
      <c r="FX27" s="7">
        <f>((AVERAGE(E22:E27)*('Summary Page'!$C$4+1))*('Summary Page'!$C$4+1))*('Summary Page'!$C$4+1)</f>
        <v>31.967999999999996</v>
      </c>
      <c r="GA27" s="40">
        <f t="shared" si="17"/>
        <v>89</v>
      </c>
      <c r="GB27" s="7">
        <f>((AVERAGE(F22:F27)*('Summary Page'!$C$2+1))*('Summary Page'!$C$2+1))*('Summary Page'!$C$2+1)</f>
        <v>107.18152533333331</v>
      </c>
      <c r="GC27" s="7">
        <f>((AVERAGE(F22:F27)*('Summary Page'!$C$3+1))*('Summary Page'!$C$3+1))*('Summary Page'!$C$3+1)</f>
        <v>134.11458333333337</v>
      </c>
      <c r="GD27" s="7">
        <f>((AVERAGE(F22:F27)*('Summary Page'!$C$4+1))*('Summary Page'!$C$4+1))*('Summary Page'!$C$4+1)</f>
        <v>118.65600000000001</v>
      </c>
      <c r="GG27" s="40">
        <f t="shared" si="18"/>
        <v>60</v>
      </c>
      <c r="GH27" s="7">
        <f>((AVERAGE(M22:M27)*('Summary Page'!$C$2+1))*('Summary Page'!$C$2+1))*('Summary Page'!$C$2+1)</f>
        <v>107.70182399999997</v>
      </c>
      <c r="GI27" s="7">
        <f>((AVERAGE(M22:M27)*('Summary Page'!$C$3+1))*('Summary Page'!$C$3+1))*('Summary Page'!$C$3+1)</f>
        <v>134.765625</v>
      </c>
      <c r="GJ27" s="7">
        <f>((AVERAGE(M22:M27)*('Summary Page'!$C$4+1))*('Summary Page'!$C$4+1))*('Summary Page'!$C$4+1)</f>
        <v>119.232</v>
      </c>
      <c r="GM27" s="40">
        <f t="shared" si="19"/>
        <v>41</v>
      </c>
      <c r="GN27" s="7">
        <f>((AVERAGE(G22:G27)*('Summary Page'!$C$2+1))*('Summary Page'!$C$2+1))*('Summary Page'!$C$2+1)</f>
        <v>111.86421333333332</v>
      </c>
      <c r="GO27" s="7">
        <f>((AVERAGE(G22:G27)*('Summary Page'!$C$3+1))*('Summary Page'!$C$3+1))*('Summary Page'!$C$3+1)</f>
        <v>139.97395833333337</v>
      </c>
      <c r="GP27" s="7">
        <f>((AVERAGE(G22:G27)*('Summary Page'!$C$4+1))*('Summary Page'!$C$4+1))*('Summary Page'!$C$4+1)</f>
        <v>123.84</v>
      </c>
      <c r="GS27" s="40">
        <f t="shared" si="20"/>
        <v>37</v>
      </c>
      <c r="GT27" s="7">
        <f>((AVERAGE(H22:H27)*('Summary Page'!$C$2+1))*('Summary Page'!$C$2+1))*('Summary Page'!$C$2+1)</f>
        <v>47.867477333333326</v>
      </c>
      <c r="GU27" s="7">
        <f>((AVERAGE(H22:H27)*('Summary Page'!$C$3+1))*('Summary Page'!$C$3+1))*('Summary Page'!$C$3+1)</f>
        <v>59.895833333333343</v>
      </c>
      <c r="GV27" s="7">
        <f>((AVERAGE(H22:H27)*('Summary Page'!$C$4+1))*('Summary Page'!$C$4+1))*('Summary Page'!$C$4+1)</f>
        <v>52.991999999999997</v>
      </c>
      <c r="GY27" s="40">
        <f t="shared" si="21"/>
        <v>5</v>
      </c>
      <c r="GZ27" s="7">
        <f>((AVERAGE(J22:J27)*('Summary Page'!$C$2+1))*('Summary Page'!$C$2+1))*('Summary Page'!$C$2+1)</f>
        <v>16.649557333333327</v>
      </c>
      <c r="HA27" s="7">
        <f>((AVERAGE(J22:J27)*('Summary Page'!$C$3+1))*('Summary Page'!$C$3+1))*('Summary Page'!$C$3+1)</f>
        <v>20.833333333333329</v>
      </c>
      <c r="HB27" s="7">
        <f>((AVERAGE(J22:J27)*('Summary Page'!$C$4+1))*('Summary Page'!$C$4+1))*('Summary Page'!$C$4+1)</f>
        <v>18.431999999999995</v>
      </c>
      <c r="HE27" s="40">
        <f t="shared" si="22"/>
        <v>46</v>
      </c>
      <c r="HF27" s="7">
        <f>((AVERAGE(K22:K27)*('Summary Page'!$C$2+1))*('Summary Page'!$C$2+1))*('Summary Page'!$C$2+1)</f>
        <v>60.874943999999985</v>
      </c>
      <c r="HG27" s="7">
        <f>((AVERAGE(K22:K27)*('Summary Page'!$C$3+1))*('Summary Page'!$C$3+1))*('Summary Page'!$C$3+1)</f>
        <v>76.171875</v>
      </c>
      <c r="HH27" s="7">
        <f>((AVERAGE(K22:K27)*('Summary Page'!$C$4+1))*('Summary Page'!$C$4+1))*('Summary Page'!$C$4+1)</f>
        <v>67.391999999999996</v>
      </c>
      <c r="HK27" s="40"/>
      <c r="HL27" s="7" t="e">
        <f>((AVERAGE(L22:L27)*('Summary Page'!$C$2+1))*('Summary Page'!$C$2+1))*('Summary Page'!$C$2+1)</f>
        <v>#DIV/0!</v>
      </c>
      <c r="HM27" s="7" t="e">
        <f>((AVERAGE(L22:L27)*('Summary Page'!$C$3+1))*('Summary Page'!$C$3+1))*('Summary Page'!$C$3+1)</f>
        <v>#DIV/0!</v>
      </c>
      <c r="HN27" s="7" t="e">
        <f>((AVERAGE(L22:L27)*('Summary Page'!$C$4+1))*('Summary Page'!$C$4+1))*('Summary Page'!$C$4+1)</f>
        <v>#DIV/0!</v>
      </c>
      <c r="HQ27" s="40">
        <f t="shared" si="23"/>
        <v>90</v>
      </c>
      <c r="HR27" s="7">
        <f>((AVERAGE(AL22:AL27)*('Summary Page'!$C$2+1))*('Summary Page'!$C$2+1))*('Summary Page'!$C$2+1)</f>
        <v>127.60324799999998</v>
      </c>
      <c r="HS27" s="7">
        <f>((AVERAGE(AL22:AL27)*('Summary Page'!$C$3+1))*('Summary Page'!$C$3+1))*('Summary Page'!$C$3+1)</f>
        <v>159.66796875</v>
      </c>
      <c r="HT27" s="7">
        <f>((AVERAGE(AL22:AL27)*('Summary Page'!$C$4+1))*('Summary Page'!$C$4+1))*('Summary Page'!$C$4+1)</f>
        <v>141.26399999999998</v>
      </c>
      <c r="HU27" s="7">
        <v>100</v>
      </c>
      <c r="HV27" s="16">
        <f t="shared" si="24"/>
        <v>13.992509363295881</v>
      </c>
      <c r="HW27" s="16">
        <f t="shared" si="24"/>
        <v>13.992509363295881</v>
      </c>
      <c r="HX27" s="7">
        <f t="shared" ref="HX27:HX36" si="31">HW27</f>
        <v>13.992509363295881</v>
      </c>
      <c r="HY27" s="7">
        <f>((AVERAGE(HV16:HV27,HX16:HX27)*('Summary Page'!$C$2+1))*('Summary Page'!$C$2+1))*('Summary Page'!$C$2+1)</f>
        <v>21.840851895131085</v>
      </c>
      <c r="HZ27" s="7">
        <f>((AVERAGE(HV16:HV27,HX16:HX27)*('Summary Page'!$C$3+1))*('Summary Page'!$C$3+1))*('Summary Page'!$C$3+1)</f>
        <v>27.329119850187269</v>
      </c>
      <c r="IA27" s="7">
        <f>((AVERAGE(HV16:HV27,HX16:HX27)*('Summary Page'!$C$4+1))*('Summary Page'!$C$4+1))*('Summary Page'!$C$4+1)</f>
        <v>24.17905617977528</v>
      </c>
      <c r="IB27" s="11">
        <f t="shared" si="25"/>
        <v>16.324594257178529</v>
      </c>
      <c r="IC27" s="11">
        <f t="shared" si="26"/>
        <v>16.324594257178529</v>
      </c>
      <c r="ID27" s="11">
        <f t="shared" si="27"/>
        <v>16.324594257178529</v>
      </c>
      <c r="IE27" s="11">
        <f t="shared" si="28"/>
        <v>25.480993877652931</v>
      </c>
      <c r="IF27" s="11">
        <f t="shared" si="29"/>
        <v>31.883973158551814</v>
      </c>
      <c r="IG27" s="11">
        <f t="shared" si="30"/>
        <v>28.208898876404493</v>
      </c>
    </row>
    <row r="28" spans="1:241" ht="15.75" x14ac:dyDescent="0.25">
      <c r="A28" s="10">
        <v>43740</v>
      </c>
      <c r="B28" s="10"/>
      <c r="C28" s="40">
        <v>30</v>
      </c>
      <c r="D28" s="40">
        <v>6</v>
      </c>
      <c r="E28" s="40">
        <v>25</v>
      </c>
      <c r="F28" s="40">
        <v>94</v>
      </c>
      <c r="G28" s="40">
        <v>57</v>
      </c>
      <c r="H28" s="40">
        <v>32</v>
      </c>
      <c r="I28" s="7">
        <f t="shared" si="1"/>
        <v>52</v>
      </c>
      <c r="J28" s="40">
        <v>4</v>
      </c>
      <c r="K28" s="40">
        <v>57</v>
      </c>
      <c r="M28" s="40">
        <v>93</v>
      </c>
      <c r="N28" s="10"/>
      <c r="O28" s="40">
        <v>24</v>
      </c>
      <c r="P28" s="40">
        <v>5</v>
      </c>
      <c r="Q28" s="40">
        <v>9</v>
      </c>
      <c r="R28" s="40">
        <v>90</v>
      </c>
      <c r="S28" s="40">
        <v>64</v>
      </c>
      <c r="T28" s="40">
        <v>32</v>
      </c>
      <c r="U28" s="7">
        <f t="shared" si="2"/>
        <v>48.75</v>
      </c>
      <c r="V28" s="40">
        <v>3</v>
      </c>
      <c r="W28" s="40">
        <v>51</v>
      </c>
      <c r="Y28" s="69">
        <v>65</v>
      </c>
      <c r="AG28" s="7" t="e">
        <f t="shared" si="3"/>
        <v>#DIV/0!</v>
      </c>
      <c r="AL28" s="40">
        <v>100</v>
      </c>
      <c r="AM28" s="40">
        <v>89</v>
      </c>
      <c r="AN28" s="40"/>
      <c r="AO28" s="40">
        <v>484</v>
      </c>
      <c r="AP28">
        <v>485</v>
      </c>
      <c r="EM28" s="13">
        <f t="shared" si="4"/>
        <v>49.25</v>
      </c>
      <c r="EN28" s="13">
        <f t="shared" si="9"/>
        <v>42.5</v>
      </c>
      <c r="EO28" s="13">
        <f t="shared" si="10"/>
        <v>42.5</v>
      </c>
      <c r="EP28" s="30">
        <f>((AVERAGE(EM23:EM28)*('Summary Page'!$C$2+1))*('Summary Page'!$C$2+1))*('Summary Page'!$C$2+1)</f>
        <v>67.931494666666666</v>
      </c>
      <c r="EQ28" s="7">
        <f>((AVERAGE(EM23:EM28)*('Summary Page'!$C$3+1))*('Summary Page'!$C$3+1))*('Summary Page'!$C$3+1)</f>
        <v>85.001627604166686</v>
      </c>
      <c r="ER28" s="7">
        <f>((AVERAGE(EM23:EM28)*('Summary Page'!$C$4+1))*('Summary Page'!$C$4+1))*('Summary Page'!$C$4+1)</f>
        <v>75.203999999999994</v>
      </c>
      <c r="ES28" s="7">
        <v>80</v>
      </c>
      <c r="ET28" s="13">
        <f t="shared" si="5"/>
        <v>52</v>
      </c>
      <c r="EU28" s="13">
        <f t="shared" si="11"/>
        <v>48.75</v>
      </c>
      <c r="EV28" s="13">
        <f t="shared" si="12"/>
        <v>48.75</v>
      </c>
      <c r="EW28" s="7">
        <f>((AVERAGE(ET23:ET28)*('Summary Page'!$C$2+1))*('Summary Page'!$C$2+1))*('Summary Page'!$C$2+1)</f>
        <v>74.272634666666661</v>
      </c>
      <c r="EX28" s="7">
        <f>((AVERAGE(ET23:ET28)*('Summary Page'!$C$3+1))*('Summary Page'!$C$3+1))*('Summary Page'!$C$3+1)</f>
        <v>92.936197916666686</v>
      </c>
      <c r="EY28" s="7">
        <f>((AVERAGE(ET23:ET28)*('Summary Page'!$C$4+1))*('Summary Page'!$C$4+1))*('Summary Page'!$C$4+1)</f>
        <v>82.22399999999999</v>
      </c>
      <c r="EZ28" s="13">
        <f t="shared" si="6"/>
        <v>75</v>
      </c>
      <c r="FA28" s="13">
        <f t="shared" si="13"/>
        <v>58</v>
      </c>
      <c r="FB28" s="13">
        <f t="shared" si="14"/>
        <v>58</v>
      </c>
      <c r="FC28" s="7">
        <f>((AVERAGE(EZ23:EZ28)*('Summary Page'!$C$2+1))*('Summary Page'!$C$2+1))*('Summary Page'!$C$2+1)</f>
        <v>88.971071999999978</v>
      </c>
      <c r="FD28" s="7">
        <f>((AVERAGE(EZ23:EZ28)*('Summary Page'!$C$3+1))*('Summary Page'!$C$3+1))*('Summary Page'!$C$3+1)</f>
        <v>111.328125</v>
      </c>
      <c r="FE28" s="7">
        <f>((AVERAGE(EZ23:EZ28)*('Summary Page'!$C$4+1))*('Summary Page'!$C$4+1))*('Summary Page'!$C$4+1)</f>
        <v>98.495999999999981</v>
      </c>
      <c r="FF28" s="13">
        <f t="shared" si="7"/>
        <v>47.7</v>
      </c>
      <c r="FI28" s="40">
        <f t="shared" si="8"/>
        <v>24</v>
      </c>
      <c r="FJ28" s="7">
        <f>((AVERAGE(C23:C28)*('Summary Page'!$C$2+1))*('Summary Page'!$C$2+1))*('Summary Page'!$C$2+1)</f>
        <v>58.013301333333317</v>
      </c>
      <c r="FK28" s="7">
        <f>((AVERAGE(C23:C28)*('Summary Page'!$C$3+1))*('Summary Page'!$C$3+1))*('Summary Page'!$C$3+1)</f>
        <v>72.591145833333314</v>
      </c>
      <c r="FL28" s="7">
        <f>((AVERAGE(C23:C28)*('Summary Page'!$C$4+1))*('Summary Page'!$C$4+1))*('Summary Page'!$C$4+1)</f>
        <v>64.22399999999999</v>
      </c>
      <c r="FO28" s="40">
        <f t="shared" si="15"/>
        <v>5</v>
      </c>
      <c r="FP28" s="7">
        <f>((AVERAGE(D23:D28)*('Summary Page'!$C$2+1))*('Summary Page'!$C$2+1))*('Summary Page'!$C$2+1)</f>
        <v>10.405973333333332</v>
      </c>
      <c r="FQ28" s="7">
        <f>((AVERAGE(D23:D28)*('Summary Page'!$C$3+1))*('Summary Page'!$C$3+1))*('Summary Page'!$C$3+1)</f>
        <v>13.020833333333336</v>
      </c>
      <c r="FR28" s="7">
        <f>((AVERAGE(D23:D28)*('Summary Page'!$C$4+1))*('Summary Page'!$C$4+1))*('Summary Page'!$C$4+1)</f>
        <v>11.52</v>
      </c>
      <c r="FU28" s="40">
        <f t="shared" si="16"/>
        <v>9</v>
      </c>
      <c r="FV28" s="7">
        <f>((AVERAGE(E23:E28)*('Summary Page'!$C$2+1))*('Summary Page'!$C$2+1))*('Summary Page'!$C$2+1)</f>
        <v>29.917173333333331</v>
      </c>
      <c r="FW28" s="7">
        <f>((AVERAGE(E23:E28)*('Summary Page'!$C$3+1))*('Summary Page'!$C$3+1))*('Summary Page'!$C$3+1)</f>
        <v>37.434895833333343</v>
      </c>
      <c r="FX28" s="7">
        <f>((AVERAGE(E23:E28)*('Summary Page'!$C$4+1))*('Summary Page'!$C$4+1))*('Summary Page'!$C$4+1)</f>
        <v>33.119999999999997</v>
      </c>
      <c r="GA28" s="40">
        <f t="shared" si="17"/>
        <v>90</v>
      </c>
      <c r="GB28" s="7">
        <f>((AVERAGE(F23:F28)*('Summary Page'!$C$2+1))*('Summary Page'!$C$2+1))*('Summary Page'!$C$2+1)</f>
        <v>113.68525866666664</v>
      </c>
      <c r="GC28" s="7">
        <f>((AVERAGE(F23:F28)*('Summary Page'!$C$3+1))*('Summary Page'!$C$3+1))*('Summary Page'!$C$3+1)</f>
        <v>142.25260416666663</v>
      </c>
      <c r="GD28" s="7">
        <f>((AVERAGE(F23:F28)*('Summary Page'!$C$4+1))*('Summary Page'!$C$4+1))*('Summary Page'!$C$4+1)</f>
        <v>125.85599999999997</v>
      </c>
      <c r="GG28" s="40">
        <f t="shared" si="18"/>
        <v>65</v>
      </c>
      <c r="GH28" s="7">
        <f>((AVERAGE(M23:M28)*('Summary Page'!$C$2+1))*('Summary Page'!$C$2+1))*('Summary Page'!$C$2+1)</f>
        <v>111.60406399999998</v>
      </c>
      <c r="GI28" s="7">
        <f>((AVERAGE(M23:M28)*('Summary Page'!$C$3+1))*('Summary Page'!$C$3+1))*('Summary Page'!$C$3+1)</f>
        <v>139.6484375</v>
      </c>
      <c r="GJ28" s="7">
        <f>((AVERAGE(M23:M28)*('Summary Page'!$C$4+1))*('Summary Page'!$C$4+1))*('Summary Page'!$C$4+1)</f>
        <v>123.55199999999999</v>
      </c>
      <c r="GM28" s="40">
        <f t="shared" si="19"/>
        <v>64</v>
      </c>
      <c r="GN28" s="7">
        <f>((AVERAGE(G23:G28)*('Summary Page'!$C$2+1))*('Summary Page'!$C$2+1))*('Summary Page'!$C$2+1)</f>
        <v>105.88077866666663</v>
      </c>
      <c r="GO28" s="7">
        <f>((AVERAGE(G23:G28)*('Summary Page'!$C$3+1))*('Summary Page'!$C$3+1))*('Summary Page'!$C$3+1)</f>
        <v>132.48697916666663</v>
      </c>
      <c r="GP28" s="7">
        <f>((AVERAGE(G23:G28)*('Summary Page'!$C$4+1))*('Summary Page'!$C$4+1))*('Summary Page'!$C$4+1)</f>
        <v>117.21599999999998</v>
      </c>
      <c r="GS28" s="40">
        <f t="shared" si="20"/>
        <v>32</v>
      </c>
      <c r="GT28" s="7">
        <f>((AVERAGE(H23:H28)*('Summary Page'!$C$2+1))*('Summary Page'!$C$2+1))*('Summary Page'!$C$2+1)</f>
        <v>47.607327999999988</v>
      </c>
      <c r="GU28" s="7">
        <f>((AVERAGE(H23:H28)*('Summary Page'!$C$3+1))*('Summary Page'!$C$3+1))*('Summary Page'!$C$3+1)</f>
        <v>59.5703125</v>
      </c>
      <c r="GV28" s="7">
        <f>((AVERAGE(H23:H28)*('Summary Page'!$C$4+1))*('Summary Page'!$C$4+1))*('Summary Page'!$C$4+1)</f>
        <v>52.704000000000001</v>
      </c>
      <c r="GY28" s="40">
        <f t="shared" si="21"/>
        <v>3</v>
      </c>
      <c r="GZ28" s="7">
        <f>((AVERAGE(J23:J28)*('Summary Page'!$C$2+1))*('Summary Page'!$C$2+1))*('Summary Page'!$C$2+1)</f>
        <v>14.048063999999997</v>
      </c>
      <c r="HA28" s="7">
        <f>((AVERAGE(J23:J28)*('Summary Page'!$C$3+1))*('Summary Page'!$C$3+1))*('Summary Page'!$C$3+1)</f>
        <v>17.578125</v>
      </c>
      <c r="HB28" s="7">
        <f>((AVERAGE(J23:J28)*('Summary Page'!$C$4+1))*('Summary Page'!$C$4+1))*('Summary Page'!$C$4+1)</f>
        <v>15.551999999999998</v>
      </c>
      <c r="HE28" s="40">
        <f t="shared" si="22"/>
        <v>51</v>
      </c>
      <c r="HF28" s="7">
        <f>((AVERAGE(K23:K28)*('Summary Page'!$C$2+1))*('Summary Page'!$C$2+1))*('Summary Page'!$C$2+1)</f>
        <v>66.338079999999991</v>
      </c>
      <c r="HG28" s="7">
        <f>((AVERAGE(K23:K28)*('Summary Page'!$C$3+1))*('Summary Page'!$C$3+1))*('Summary Page'!$C$3+1)</f>
        <v>83.0078125</v>
      </c>
      <c r="HH28" s="7">
        <f>((AVERAGE(K23:K28)*('Summary Page'!$C$4+1))*('Summary Page'!$C$4+1))*('Summary Page'!$C$4+1)</f>
        <v>73.44</v>
      </c>
      <c r="HK28" s="40"/>
      <c r="HL28" s="7" t="e">
        <f>((AVERAGE(L23:L28)*('Summary Page'!$C$2+1))*('Summary Page'!$C$2+1))*('Summary Page'!$C$2+1)</f>
        <v>#DIV/0!</v>
      </c>
      <c r="HM28" s="7" t="e">
        <f>((AVERAGE(L23:L28)*('Summary Page'!$C$3+1))*('Summary Page'!$C$3+1))*('Summary Page'!$C$3+1)</f>
        <v>#DIV/0!</v>
      </c>
      <c r="HN28" s="7" t="e">
        <f>((AVERAGE(L23:L28)*('Summary Page'!$C$4+1))*('Summary Page'!$C$4+1))*('Summary Page'!$C$4+1)</f>
        <v>#DIV/0!</v>
      </c>
      <c r="HQ28" s="40">
        <f t="shared" si="23"/>
        <v>89</v>
      </c>
      <c r="HR28" s="7">
        <f>((AVERAGE(AL23:AL28)*('Summary Page'!$C$2+1))*('Summary Page'!$C$2+1))*('Summary Page'!$C$2+1)</f>
        <v>133.30051839999996</v>
      </c>
      <c r="HS28" s="7">
        <f>((AVERAGE(AL23:AL28)*('Summary Page'!$C$3+1))*('Summary Page'!$C$3+1))*('Summary Page'!$C$3+1)</f>
        <v>166.796875</v>
      </c>
      <c r="HT28" s="7">
        <f>((AVERAGE(AL23:AL28)*('Summary Page'!$C$4+1))*('Summary Page'!$C$4+1))*('Summary Page'!$C$4+1)</f>
        <v>147.5712</v>
      </c>
      <c r="HU28" s="7">
        <v>100</v>
      </c>
      <c r="HV28" s="16">
        <f t="shared" si="24"/>
        <v>14.50187265917603</v>
      </c>
      <c r="HW28" s="16">
        <f t="shared" si="24"/>
        <v>14.531835205992511</v>
      </c>
      <c r="HX28" s="7">
        <f t="shared" si="31"/>
        <v>14.531835205992511</v>
      </c>
      <c r="HY28" s="7">
        <f>((AVERAGE(HV17:HV28,HX17:HX28)*('Summary Page'!$C$2+1))*('Summary Page'!$C$2+1))*('Summary Page'!$C$2+1)</f>
        <v>22.113667675405733</v>
      </c>
      <c r="HZ28" s="7">
        <f>((AVERAGE(HV17:HV28,HX17:HX28)*('Summary Page'!$C$3+1))*('Summary Page'!$C$3+1))*('Summary Page'!$C$3+1)</f>
        <v>27.670490012484397</v>
      </c>
      <c r="IA28" s="7">
        <f>((AVERAGE(HV17:HV28,HX17:HX28)*('Summary Page'!$C$4+1))*('Summary Page'!$C$4+1))*('Summary Page'!$C$4+1)</f>
        <v>24.48107865168539</v>
      </c>
      <c r="IB28" s="11">
        <f t="shared" si="25"/>
        <v>16.918851435705367</v>
      </c>
      <c r="IC28" s="11">
        <f t="shared" si="26"/>
        <v>16.953807740324596</v>
      </c>
      <c r="ID28" s="11">
        <f t="shared" si="27"/>
        <v>16.953807740324596</v>
      </c>
      <c r="IE28" s="11">
        <f t="shared" si="28"/>
        <v>25.799278954640023</v>
      </c>
      <c r="IF28" s="11">
        <f t="shared" si="29"/>
        <v>32.282238347898463</v>
      </c>
      <c r="IG28" s="11">
        <f t="shared" si="30"/>
        <v>28.56125842696629</v>
      </c>
    </row>
    <row r="29" spans="1:241" ht="15.75" x14ac:dyDescent="0.25">
      <c r="A29" s="10">
        <v>43773</v>
      </c>
      <c r="B29" s="10"/>
      <c r="C29" s="40">
        <v>17</v>
      </c>
      <c r="D29" s="40">
        <v>4</v>
      </c>
      <c r="E29" s="40">
        <v>9</v>
      </c>
      <c r="F29" s="40">
        <v>92</v>
      </c>
      <c r="G29" s="40">
        <v>63</v>
      </c>
      <c r="H29" s="40">
        <v>28</v>
      </c>
      <c r="I29" s="7">
        <f t="shared" si="1"/>
        <v>48</v>
      </c>
      <c r="J29" s="40">
        <v>3</v>
      </c>
      <c r="K29" s="40">
        <v>47</v>
      </c>
      <c r="M29" s="40">
        <v>93</v>
      </c>
      <c r="N29" s="10"/>
      <c r="O29" s="40">
        <v>35</v>
      </c>
      <c r="P29" s="40">
        <v>7</v>
      </c>
      <c r="Q29" s="40">
        <v>11</v>
      </c>
      <c r="R29" s="40">
        <v>73</v>
      </c>
      <c r="S29" s="40">
        <v>39</v>
      </c>
      <c r="T29" s="40">
        <v>35</v>
      </c>
      <c r="U29" s="7">
        <f t="shared" si="2"/>
        <v>39.5</v>
      </c>
      <c r="V29" s="40">
        <v>9</v>
      </c>
      <c r="W29" s="40">
        <v>53</v>
      </c>
      <c r="Y29" s="69">
        <v>65</v>
      </c>
      <c r="AG29" s="7" t="e">
        <f t="shared" si="3"/>
        <v>#DIV/0!</v>
      </c>
      <c r="AL29" s="40">
        <v>91</v>
      </c>
      <c r="AM29" s="40">
        <v>85</v>
      </c>
      <c r="AN29" s="40"/>
      <c r="AO29" s="40">
        <v>498</v>
      </c>
      <c r="AP29">
        <v>509</v>
      </c>
      <c r="EM29" s="13">
        <f t="shared" si="4"/>
        <v>44.125</v>
      </c>
      <c r="EN29" s="13">
        <f t="shared" si="9"/>
        <v>39.75</v>
      </c>
      <c r="EO29" s="13">
        <f t="shared" si="10"/>
        <v>39.75</v>
      </c>
      <c r="EP29" s="30">
        <f>((AVERAGE(EM24:EM29)*('Summary Page'!$C$2+1))*('Summary Page'!$C$2+1))*('Summary Page'!$C$2+1)</f>
        <v>67.508751999999987</v>
      </c>
      <c r="EQ29" s="7">
        <f>((AVERAGE(EM24:EM29)*('Summary Page'!$C$3+1))*('Summary Page'!$C$3+1))*('Summary Page'!$C$3+1)</f>
        <v>84.47265625</v>
      </c>
      <c r="ER29" s="7">
        <f>((AVERAGE(EM24:EM29)*('Summary Page'!$C$4+1))*('Summary Page'!$C$4+1))*('Summary Page'!$C$4+1)</f>
        <v>74.73599999999999</v>
      </c>
      <c r="ES29" s="7">
        <v>80</v>
      </c>
      <c r="ET29" s="13">
        <f t="shared" si="5"/>
        <v>48</v>
      </c>
      <c r="EU29" s="13">
        <f t="shared" si="11"/>
        <v>39.5</v>
      </c>
      <c r="EV29" s="13">
        <f t="shared" si="12"/>
        <v>39.5</v>
      </c>
      <c r="EW29" s="7">
        <f>((AVERAGE(ET24:ET29)*('Summary Page'!$C$2+1))*('Summary Page'!$C$2+1))*('Summary Page'!$C$2+1)</f>
        <v>73.882410666666658</v>
      </c>
      <c r="EX29" s="7">
        <f>((AVERAGE(ET24:ET29)*('Summary Page'!$C$3+1))*('Summary Page'!$C$3+1))*('Summary Page'!$C$3+1)</f>
        <v>92.447916666666686</v>
      </c>
      <c r="EY29" s="7">
        <f>((AVERAGE(ET24:ET29)*('Summary Page'!$C$4+1))*('Summary Page'!$C$4+1))*('Summary Page'!$C$4+1)</f>
        <v>81.791999999999987</v>
      </c>
      <c r="EZ29" s="13">
        <f t="shared" si="6"/>
        <v>70</v>
      </c>
      <c r="FA29" s="13">
        <f t="shared" si="13"/>
        <v>59</v>
      </c>
      <c r="FB29" s="13">
        <f t="shared" si="14"/>
        <v>59</v>
      </c>
      <c r="FC29" s="7">
        <f>((AVERAGE(EZ24:EZ29)*('Summary Page'!$C$2+1))*('Summary Page'!$C$2+1))*('Summary Page'!$C$2+1)</f>
        <v>91.962789333333291</v>
      </c>
      <c r="FD29" s="7">
        <f>((AVERAGE(EZ24:EZ29)*('Summary Page'!$C$3+1))*('Summary Page'!$C$3+1))*('Summary Page'!$C$3+1)</f>
        <v>115.07161458333331</v>
      </c>
      <c r="FE29" s="7">
        <f>((AVERAGE(EZ24:EZ29)*('Summary Page'!$C$4+1))*('Summary Page'!$C$4+1))*('Summary Page'!$C$4+1)</f>
        <v>101.80799999999998</v>
      </c>
      <c r="FF29" s="13">
        <f t="shared" si="7"/>
        <v>43.4</v>
      </c>
      <c r="FI29" s="40">
        <f t="shared" si="8"/>
        <v>35</v>
      </c>
      <c r="FJ29" s="7">
        <f>((AVERAGE(C24:C29)*('Summary Page'!$C$2+1))*('Summary Page'!$C$2+1))*('Summary Page'!$C$2+1)</f>
        <v>50.729119999999988</v>
      </c>
      <c r="FK29" s="7">
        <f>((AVERAGE(C24:C29)*('Summary Page'!$C$3+1))*('Summary Page'!$C$3+1))*('Summary Page'!$C$3+1)</f>
        <v>63.4765625</v>
      </c>
      <c r="FL29" s="7">
        <f>((AVERAGE(C24:C29)*('Summary Page'!$C$4+1))*('Summary Page'!$C$4+1))*('Summary Page'!$C$4+1)</f>
        <v>56.16</v>
      </c>
      <c r="FO29" s="40">
        <f t="shared" si="15"/>
        <v>7</v>
      </c>
      <c r="FP29" s="7">
        <f>((AVERAGE(D24:D29)*('Summary Page'!$C$2+1))*('Summary Page'!$C$2+1))*('Summary Page'!$C$2+1)</f>
        <v>9.8856746666666631</v>
      </c>
      <c r="FQ29" s="7">
        <f>((AVERAGE(D24:D29)*('Summary Page'!$C$3+1))*('Summary Page'!$C$3+1))*('Summary Page'!$C$3+1)</f>
        <v>12.369791666666664</v>
      </c>
      <c r="FR29" s="7">
        <f>((AVERAGE(D24:D29)*('Summary Page'!$C$4+1))*('Summary Page'!$C$4+1))*('Summary Page'!$C$4+1)</f>
        <v>10.943999999999999</v>
      </c>
      <c r="FU29" s="40">
        <f t="shared" si="16"/>
        <v>11</v>
      </c>
      <c r="FV29" s="7">
        <f>((AVERAGE(E24:E29)*('Summary Page'!$C$2+1))*('Summary Page'!$C$2+1))*('Summary Page'!$C$2+1)</f>
        <v>27.575829333333328</v>
      </c>
      <c r="FW29" s="7">
        <f>((AVERAGE(E24:E29)*('Summary Page'!$C$3+1))*('Summary Page'!$C$3+1))*('Summary Page'!$C$3+1)</f>
        <v>34.505208333333343</v>
      </c>
      <c r="FX29" s="7">
        <f>((AVERAGE(E24:E29)*('Summary Page'!$C$4+1))*('Summary Page'!$C$4+1))*('Summary Page'!$C$4+1)</f>
        <v>30.527999999999995</v>
      </c>
      <c r="GA29" s="40">
        <f t="shared" si="17"/>
        <v>73</v>
      </c>
      <c r="GB29" s="7">
        <f>((AVERAGE(F24:F29)*('Summary Page'!$C$2+1))*('Summary Page'!$C$2+1))*('Summary Page'!$C$2+1)</f>
        <v>119.92884266666663</v>
      </c>
      <c r="GC29" s="7">
        <f>((AVERAGE(F24:F29)*('Summary Page'!$C$3+1))*('Summary Page'!$C$3+1))*('Summary Page'!$C$3+1)</f>
        <v>150.06510416666663</v>
      </c>
      <c r="GD29" s="7">
        <f>((AVERAGE(F24:F29)*('Summary Page'!$C$4+1))*('Summary Page'!$C$4+1))*('Summary Page'!$C$4+1)</f>
        <v>132.76799999999997</v>
      </c>
      <c r="GG29" s="40">
        <f t="shared" si="18"/>
        <v>65</v>
      </c>
      <c r="GH29" s="7">
        <f>((AVERAGE(M24:M29)*('Summary Page'!$C$2+1))*('Summary Page'!$C$2+1))*('Summary Page'!$C$2+1)</f>
        <v>115.50630399999997</v>
      </c>
      <c r="GI29" s="7">
        <f>((AVERAGE(M24:M29)*('Summary Page'!$C$3+1))*('Summary Page'!$C$3+1))*('Summary Page'!$C$3+1)</f>
        <v>144.53125</v>
      </c>
      <c r="GJ29" s="7">
        <f>((AVERAGE(M24:M29)*('Summary Page'!$C$4+1))*('Summary Page'!$C$4+1))*('Summary Page'!$C$4+1)</f>
        <v>127.87199999999999</v>
      </c>
      <c r="GM29" s="40">
        <f t="shared" si="19"/>
        <v>39</v>
      </c>
      <c r="GN29" s="7">
        <f>((AVERAGE(G24:G29)*('Summary Page'!$C$2+1))*('Summary Page'!$C$2+1))*('Summary Page'!$C$2+1)</f>
        <v>101.71838933333332</v>
      </c>
      <c r="GO29" s="7">
        <f>((AVERAGE(G24:G29)*('Summary Page'!$C$3+1))*('Summary Page'!$C$3+1))*('Summary Page'!$C$3+1)</f>
        <v>127.27864583333336</v>
      </c>
      <c r="GP29" s="7">
        <f>((AVERAGE(G24:G29)*('Summary Page'!$C$4+1))*('Summary Page'!$C$4+1))*('Summary Page'!$C$4+1)</f>
        <v>112.608</v>
      </c>
      <c r="GS29" s="40">
        <f t="shared" si="20"/>
        <v>35</v>
      </c>
      <c r="GT29" s="7">
        <f>((AVERAGE(H24:H29)*('Summary Page'!$C$2+1))*('Summary Page'!$C$2+1))*('Summary Page'!$C$2+1)</f>
        <v>46.306581333333327</v>
      </c>
      <c r="GU29" s="7">
        <f>((AVERAGE(H24:H29)*('Summary Page'!$C$3+1))*('Summary Page'!$C$3+1))*('Summary Page'!$C$3+1)</f>
        <v>57.942708333333343</v>
      </c>
      <c r="GV29" s="7">
        <f>((AVERAGE(H24:H29)*('Summary Page'!$C$4+1))*('Summary Page'!$C$4+1))*('Summary Page'!$C$4+1)</f>
        <v>51.263999999999996</v>
      </c>
      <c r="GY29" s="40">
        <f t="shared" si="21"/>
        <v>9</v>
      </c>
      <c r="GZ29" s="7">
        <f>((AVERAGE(J24:J29)*('Summary Page'!$C$2+1))*('Summary Page'!$C$2+1))*('Summary Page'!$C$2+1)</f>
        <v>11.18642133333333</v>
      </c>
      <c r="HA29" s="7">
        <f>((AVERAGE(J24:J29)*('Summary Page'!$C$3+1))*('Summary Page'!$C$3+1))*('Summary Page'!$C$3+1)</f>
        <v>13.997395833333336</v>
      </c>
      <c r="HB29" s="7">
        <f>((AVERAGE(J24:J29)*('Summary Page'!$C$4+1))*('Summary Page'!$C$4+1))*('Summary Page'!$C$4+1)</f>
        <v>12.383999999999999</v>
      </c>
      <c r="HE29" s="40">
        <f t="shared" si="22"/>
        <v>53</v>
      </c>
      <c r="HF29" s="7">
        <f>((AVERAGE(K24:K29)*('Summary Page'!$C$2+1))*('Summary Page'!$C$2+1))*('Summary Page'!$C$2+1)</f>
        <v>68.419274666666652</v>
      </c>
      <c r="HG29" s="7">
        <f>((AVERAGE(K24:K29)*('Summary Page'!$C$3+1))*('Summary Page'!$C$3+1))*('Summary Page'!$C$3+1)</f>
        <v>85.611979166666686</v>
      </c>
      <c r="HH29" s="7">
        <f>((AVERAGE(K24:K29)*('Summary Page'!$C$4+1))*('Summary Page'!$C$4+1))*('Summary Page'!$C$4+1)</f>
        <v>75.744</v>
      </c>
      <c r="HK29" s="40"/>
      <c r="HL29" s="7" t="e">
        <f>((AVERAGE(L24:L29)*('Summary Page'!$C$2+1))*('Summary Page'!$C$2+1))*('Summary Page'!$C$2+1)</f>
        <v>#DIV/0!</v>
      </c>
      <c r="HM29" s="7" t="e">
        <f>((AVERAGE(L24:L29)*('Summary Page'!$C$3+1))*('Summary Page'!$C$3+1))*('Summary Page'!$C$3+1)</f>
        <v>#DIV/0!</v>
      </c>
      <c r="HN29" s="7" t="e">
        <f>((AVERAGE(L24:L29)*('Summary Page'!$C$4+1))*('Summary Page'!$C$4+1))*('Summary Page'!$C$4+1)</f>
        <v>#DIV/0!</v>
      </c>
      <c r="HQ29" s="40">
        <f t="shared" si="23"/>
        <v>85</v>
      </c>
      <c r="HR29" s="7">
        <f>((AVERAGE(AL24:AL29)*('Summary Page'!$C$2+1))*('Summary Page'!$C$2+1))*('Summary Page'!$C$2+1)</f>
        <v>134.75735466666666</v>
      </c>
      <c r="HS29" s="7">
        <f>((AVERAGE(AL24:AL29)*('Summary Page'!$C$3+1))*('Summary Page'!$C$3+1))*('Summary Page'!$C$3+1)</f>
        <v>168.61979166666663</v>
      </c>
      <c r="HT29" s="7">
        <f>((AVERAGE(AL24:AL29)*('Summary Page'!$C$4+1))*('Summary Page'!$C$4+1))*('Summary Page'!$C$4+1)</f>
        <v>149.184</v>
      </c>
      <c r="HU29" s="7">
        <v>100</v>
      </c>
      <c r="HV29" s="16">
        <f t="shared" ref="HV29:HV50" si="32">AO29/7.5/0.89/5</f>
        <v>14.921348314606742</v>
      </c>
      <c r="HW29" s="16">
        <f t="shared" ref="HW29:HW50" si="33">AP29/7.5/0.89/5</f>
        <v>15.250936329588011</v>
      </c>
      <c r="HX29" s="7">
        <f t="shared" si="31"/>
        <v>15.250936329588011</v>
      </c>
      <c r="HY29" s="7">
        <f>((AVERAGE(HV18:HV29,HX18:HX29)*('Summary Page'!$C$2+1))*('Summary Page'!$C$2+1))*('Summary Page'!$C$2+1)</f>
        <v>22.472225558052433</v>
      </c>
      <c r="HZ29" s="7">
        <f>((AVERAGE(HV18:HV29,HX18:HX29)*('Summary Page'!$C$3+1))*('Summary Page'!$C$3+1))*('Summary Page'!$C$3+1)</f>
        <v>28.119147940074907</v>
      </c>
      <c r="IA29" s="7">
        <f>((AVERAGE(HV18:HV29,HX18:HX29)*('Summary Page'!$C$4+1))*('Summary Page'!$C$4+1))*('Summary Page'!$C$4+1)</f>
        <v>24.878022471910107</v>
      </c>
      <c r="IB29" s="11">
        <f t="shared" si="25"/>
        <v>17.408239700374533</v>
      </c>
      <c r="IC29" s="11">
        <f t="shared" si="26"/>
        <v>17.792759051186014</v>
      </c>
      <c r="ID29" s="11">
        <f t="shared" si="27"/>
        <v>17.792759051186014</v>
      </c>
      <c r="IE29" s="11">
        <f t="shared" si="28"/>
        <v>26.217596484394505</v>
      </c>
      <c r="IF29" s="11">
        <f t="shared" si="29"/>
        <v>32.805672596754057</v>
      </c>
      <c r="IG29" s="11">
        <f t="shared" si="30"/>
        <v>29.02435955056179</v>
      </c>
    </row>
    <row r="30" spans="1:241" ht="15.75" x14ac:dyDescent="0.25">
      <c r="A30" s="10">
        <v>43801</v>
      </c>
      <c r="B30" s="10"/>
      <c r="C30" s="40">
        <v>47</v>
      </c>
      <c r="D30" s="40">
        <v>9</v>
      </c>
      <c r="E30" s="40">
        <v>11</v>
      </c>
      <c r="F30" s="40">
        <v>95</v>
      </c>
      <c r="G30" s="40">
        <v>71</v>
      </c>
      <c r="H30" s="40">
        <v>30</v>
      </c>
      <c r="I30" s="7">
        <f t="shared" si="1"/>
        <v>51.75</v>
      </c>
      <c r="J30" s="40">
        <v>6</v>
      </c>
      <c r="K30" s="40">
        <v>53</v>
      </c>
      <c r="M30" s="40">
        <v>89</v>
      </c>
      <c r="N30" s="10"/>
      <c r="O30" s="40">
        <v>13</v>
      </c>
      <c r="P30" s="40">
        <v>7</v>
      </c>
      <c r="Q30" s="40">
        <v>10</v>
      </c>
      <c r="R30" s="40">
        <v>76</v>
      </c>
      <c r="S30" s="40">
        <v>49</v>
      </c>
      <c r="T30" s="40">
        <v>38</v>
      </c>
      <c r="U30" s="7">
        <f t="shared" si="2"/>
        <v>43.25</v>
      </c>
      <c r="V30" s="40">
        <v>6</v>
      </c>
      <c r="W30" s="40">
        <v>46</v>
      </c>
      <c r="Y30" s="69">
        <v>65</v>
      </c>
      <c r="AG30" s="7" t="e">
        <f t="shared" si="3"/>
        <v>#DIV/0!</v>
      </c>
      <c r="AL30" s="40">
        <v>101</v>
      </c>
      <c r="AM30" s="40">
        <v>72</v>
      </c>
      <c r="AN30" s="40"/>
      <c r="AO30" s="40">
        <v>501</v>
      </c>
      <c r="AP30">
        <v>358</v>
      </c>
      <c r="EM30" s="13">
        <f t="shared" si="4"/>
        <v>50.625</v>
      </c>
      <c r="EN30" s="13">
        <f t="shared" si="9"/>
        <v>38</v>
      </c>
      <c r="EO30" s="13">
        <f t="shared" si="10"/>
        <v>38</v>
      </c>
      <c r="EP30" s="30">
        <f>((AVERAGE(EM25:EM30)*('Summary Page'!$C$2+1))*('Summary Page'!$C$2+1))*('Summary Page'!$C$2+1)</f>
        <v>70.240319999999983</v>
      </c>
      <c r="EQ30" s="7">
        <f>((AVERAGE(EM25:EM30)*('Summary Page'!$C$3+1))*('Summary Page'!$C$3+1))*('Summary Page'!$C$3+1)</f>
        <v>87.890625</v>
      </c>
      <c r="ER30" s="7">
        <f>((AVERAGE(EM25:EM30)*('Summary Page'!$C$4+1))*('Summary Page'!$C$4+1))*('Summary Page'!$C$4+1)</f>
        <v>77.759999999999991</v>
      </c>
      <c r="ES30" s="7">
        <v>80</v>
      </c>
      <c r="ET30" s="13">
        <f t="shared" si="5"/>
        <v>51.75</v>
      </c>
      <c r="EU30" s="13">
        <f t="shared" si="11"/>
        <v>43.25</v>
      </c>
      <c r="EV30" s="13">
        <f t="shared" si="12"/>
        <v>43.25</v>
      </c>
      <c r="EW30" s="7">
        <f>((AVERAGE(ET25:ET30)*('Summary Page'!$C$2+1))*('Summary Page'!$C$2+1))*('Summary Page'!$C$2+1)</f>
        <v>75.50834399999998</v>
      </c>
      <c r="EX30" s="7">
        <f>((AVERAGE(ET25:ET30)*('Summary Page'!$C$3+1))*('Summary Page'!$C$3+1))*('Summary Page'!$C$3+1)</f>
        <v>94.482421875</v>
      </c>
      <c r="EY30" s="7">
        <f>((AVERAGE(ET25:ET30)*('Summary Page'!$C$4+1))*('Summary Page'!$C$4+1))*('Summary Page'!$C$4+1)</f>
        <v>83.591999999999999</v>
      </c>
      <c r="EZ30" s="13">
        <f t="shared" si="6"/>
        <v>71</v>
      </c>
      <c r="FA30" s="13">
        <f t="shared" si="13"/>
        <v>55.5</v>
      </c>
      <c r="FB30" s="13">
        <f t="shared" si="14"/>
        <v>55.5</v>
      </c>
      <c r="FC30" s="7">
        <f>((AVERAGE(EZ25:EZ30)*('Summary Page'!$C$2+1))*('Summary Page'!$C$2+1))*('Summary Page'!$C$2+1)</f>
        <v>97.555999999999983</v>
      </c>
      <c r="FD30" s="7">
        <f>((AVERAGE(EZ25:EZ30)*('Summary Page'!$C$3+1))*('Summary Page'!$C$3+1))*('Summary Page'!$C$3+1)</f>
        <v>122.0703125</v>
      </c>
      <c r="FE30" s="7">
        <f>((AVERAGE(EZ25:EZ30)*('Summary Page'!$C$4+1))*('Summary Page'!$C$4+1))*('Summary Page'!$C$4+1)</f>
        <v>108</v>
      </c>
      <c r="FF30" s="13">
        <f t="shared" si="7"/>
        <v>46.875</v>
      </c>
      <c r="FI30" s="40">
        <f t="shared" si="8"/>
        <v>13</v>
      </c>
      <c r="FJ30" s="7">
        <f>((AVERAGE(C25:C30)*('Summary Page'!$C$2+1))*('Summary Page'!$C$2+1))*('Summary Page'!$C$2+1)</f>
        <v>53.590762666666656</v>
      </c>
      <c r="FK30" s="7">
        <f>((AVERAGE(C25:C30)*('Summary Page'!$C$3+1))*('Summary Page'!$C$3+1))*('Summary Page'!$C$3+1)</f>
        <v>67.057291666666686</v>
      </c>
      <c r="FL30" s="7">
        <f>((AVERAGE(C25:C30)*('Summary Page'!$C$4+1))*('Summary Page'!$C$4+1))*('Summary Page'!$C$4+1)</f>
        <v>59.328000000000003</v>
      </c>
      <c r="FO30" s="40">
        <f t="shared" si="15"/>
        <v>7</v>
      </c>
      <c r="FP30" s="7">
        <f>((AVERAGE(D25:D30)*('Summary Page'!$C$2+1))*('Summary Page'!$C$2+1))*('Summary Page'!$C$2+1)</f>
        <v>11.18642133333333</v>
      </c>
      <c r="FQ30" s="7">
        <f>((AVERAGE(D25:D30)*('Summary Page'!$C$3+1))*('Summary Page'!$C$3+1))*('Summary Page'!$C$3+1)</f>
        <v>13.997395833333336</v>
      </c>
      <c r="FR30" s="7">
        <f>((AVERAGE(D25:D30)*('Summary Page'!$C$4+1))*('Summary Page'!$C$4+1))*('Summary Page'!$C$4+1)</f>
        <v>12.383999999999999</v>
      </c>
      <c r="FU30" s="40">
        <f t="shared" si="16"/>
        <v>10</v>
      </c>
      <c r="FV30" s="7">
        <f>((AVERAGE(E25:E30)*('Summary Page'!$C$2+1))*('Summary Page'!$C$2+1))*('Summary Page'!$C$2+1)</f>
        <v>25.494634666666659</v>
      </c>
      <c r="FW30" s="7">
        <f>((AVERAGE(E25:E30)*('Summary Page'!$C$3+1))*('Summary Page'!$C$3+1))*('Summary Page'!$C$3+1)</f>
        <v>31.901041666666661</v>
      </c>
      <c r="FX30" s="7">
        <f>((AVERAGE(E25:E30)*('Summary Page'!$C$4+1))*('Summary Page'!$C$4+1))*('Summary Page'!$C$4+1)</f>
        <v>28.223999999999993</v>
      </c>
      <c r="GA30" s="40">
        <f t="shared" si="17"/>
        <v>76</v>
      </c>
      <c r="GB30" s="7">
        <f>((AVERAGE(F25:F30)*('Summary Page'!$C$2+1))*('Summary Page'!$C$2+1))*('Summary Page'!$C$2+1)</f>
        <v>129.81451733333333</v>
      </c>
      <c r="GC30" s="7">
        <f>((AVERAGE(F25:F30)*('Summary Page'!$C$3+1))*('Summary Page'!$C$3+1))*('Summary Page'!$C$3+1)</f>
        <v>162.43489583333337</v>
      </c>
      <c r="GD30" s="7">
        <f>((AVERAGE(F25:F30)*('Summary Page'!$C$4+1))*('Summary Page'!$C$4+1))*('Summary Page'!$C$4+1)</f>
        <v>143.71199999999999</v>
      </c>
      <c r="GG30" s="40">
        <f t="shared" si="18"/>
        <v>65</v>
      </c>
      <c r="GH30" s="7">
        <f>((AVERAGE(M25:M30)*('Summary Page'!$C$2+1))*('Summary Page'!$C$2+1))*('Summary Page'!$C$2+1)</f>
        <v>122.53033599999998</v>
      </c>
      <c r="GI30" s="7">
        <f>((AVERAGE(M25:M30)*('Summary Page'!$C$3+1))*('Summary Page'!$C$3+1))*('Summary Page'!$C$3+1)</f>
        <v>153.3203125</v>
      </c>
      <c r="GJ30" s="7">
        <f>((AVERAGE(M25:M30)*('Summary Page'!$C$4+1))*('Summary Page'!$C$4+1))*('Summary Page'!$C$4+1)</f>
        <v>135.648</v>
      </c>
      <c r="GM30" s="40">
        <f t="shared" si="19"/>
        <v>49</v>
      </c>
      <c r="GN30" s="7">
        <f>((AVERAGE(G25:G30)*('Summary Page'!$C$2+1))*('Summary Page'!$C$2+1))*('Summary Page'!$C$2+1)</f>
        <v>98.856746666666666</v>
      </c>
      <c r="GO30" s="7">
        <f>((AVERAGE(G25:G30)*('Summary Page'!$C$3+1))*('Summary Page'!$C$3+1))*('Summary Page'!$C$3+1)</f>
        <v>123.69791666666669</v>
      </c>
      <c r="GP30" s="7">
        <f>((AVERAGE(G25:G30)*('Summary Page'!$C$4+1))*('Summary Page'!$C$4+1))*('Summary Page'!$C$4+1)</f>
        <v>109.44</v>
      </c>
      <c r="GS30" s="40">
        <f t="shared" si="20"/>
        <v>38</v>
      </c>
      <c r="GT30" s="7">
        <f>((AVERAGE(H25:H30)*('Summary Page'!$C$2+1))*('Summary Page'!$C$2+1))*('Summary Page'!$C$2+1)</f>
        <v>47.867477333333326</v>
      </c>
      <c r="GU30" s="7">
        <f>((AVERAGE(H25:H30)*('Summary Page'!$C$3+1))*('Summary Page'!$C$3+1))*('Summary Page'!$C$3+1)</f>
        <v>59.895833333333343</v>
      </c>
      <c r="GV30" s="7">
        <f>((AVERAGE(H25:H30)*('Summary Page'!$C$4+1))*('Summary Page'!$C$4+1))*('Summary Page'!$C$4+1)</f>
        <v>52.991999999999997</v>
      </c>
      <c r="GY30" s="40">
        <f t="shared" si="21"/>
        <v>6</v>
      </c>
      <c r="GZ30" s="7">
        <f>((AVERAGE(J25:J30)*('Summary Page'!$C$2+1))*('Summary Page'!$C$2+1))*('Summary Page'!$C$2+1)</f>
        <v>9.8856746666666631</v>
      </c>
      <c r="HA30" s="7">
        <f>((AVERAGE(J25:J30)*('Summary Page'!$C$3+1))*('Summary Page'!$C$3+1))*('Summary Page'!$C$3+1)</f>
        <v>12.369791666666664</v>
      </c>
      <c r="HB30" s="7">
        <f>((AVERAGE(J25:J30)*('Summary Page'!$C$4+1))*('Summary Page'!$C$4+1))*('Summary Page'!$C$4+1)</f>
        <v>10.943999999999999</v>
      </c>
      <c r="HE30" s="40">
        <f t="shared" si="22"/>
        <v>46</v>
      </c>
      <c r="HF30" s="7">
        <f>((AVERAGE(K25:K30)*('Summary Page'!$C$2+1))*('Summary Page'!$C$2+1))*('Summary Page'!$C$2+1)</f>
        <v>72.581663999999989</v>
      </c>
      <c r="HG30" s="7">
        <f>((AVERAGE(K25:K30)*('Summary Page'!$C$3+1))*('Summary Page'!$C$3+1))*('Summary Page'!$C$3+1)</f>
        <v>90.8203125</v>
      </c>
      <c r="HH30" s="7">
        <f>((AVERAGE(K25:K30)*('Summary Page'!$C$4+1))*('Summary Page'!$C$4+1))*('Summary Page'!$C$4+1)</f>
        <v>80.35199999999999</v>
      </c>
      <c r="HK30" s="40"/>
      <c r="HL30" s="7" t="e">
        <f>((AVERAGE(L25:L30)*('Summary Page'!$C$2+1))*('Summary Page'!$C$2+1))*('Summary Page'!$C$2+1)</f>
        <v>#DIV/0!</v>
      </c>
      <c r="HM30" s="7" t="e">
        <f>((AVERAGE(L25:L30)*('Summary Page'!$C$3+1))*('Summary Page'!$C$3+1))*('Summary Page'!$C$3+1)</f>
        <v>#DIV/0!</v>
      </c>
      <c r="HN30" s="7" t="e">
        <f>((AVERAGE(L25:L30)*('Summary Page'!$C$4+1))*('Summary Page'!$C$4+1))*('Summary Page'!$C$4+1)</f>
        <v>#DIV/0!</v>
      </c>
      <c r="HQ30" s="40">
        <f t="shared" si="23"/>
        <v>72</v>
      </c>
      <c r="HR30" s="7">
        <f>((AVERAGE(AL25:AL30)*('Summary Page'!$C$2+1))*('Summary Page'!$C$2+1))*('Summary Page'!$C$2+1)</f>
        <v>140.48063999999997</v>
      </c>
      <c r="HS30" s="7">
        <f>((AVERAGE(AL25:AL30)*('Summary Page'!$C$3+1))*('Summary Page'!$C$3+1))*('Summary Page'!$C$3+1)</f>
        <v>175.78125</v>
      </c>
      <c r="HT30" s="7">
        <f>((AVERAGE(AL25:AL30)*('Summary Page'!$C$4+1))*('Summary Page'!$C$4+1))*('Summary Page'!$C$4+1)</f>
        <v>155.51999999999998</v>
      </c>
      <c r="HU30" s="7">
        <f t="shared" ref="HU30:HU48" si="34">HU29</f>
        <v>100</v>
      </c>
      <c r="HV30" s="16">
        <f t="shared" si="32"/>
        <v>15.011235955056179</v>
      </c>
      <c r="HW30" s="16">
        <f t="shared" si="33"/>
        <v>10.726591760299625</v>
      </c>
      <c r="HX30" s="7">
        <f t="shared" si="31"/>
        <v>10.726591760299625</v>
      </c>
      <c r="HY30" s="7">
        <f>((AVERAGE(HV19:HV30,HX19:HX30)*('Summary Page'!$C$2+1))*('Summary Page'!$C$2+1))*('Summary Page'!$C$2+1)</f>
        <v>21.99518767940074</v>
      </c>
      <c r="HZ30" s="7">
        <f>((AVERAGE(HV19:HV30,HX19:HX30)*('Summary Page'!$C$3+1))*('Summary Page'!$C$3+1))*('Summary Page'!$C$3+1)</f>
        <v>27.522237827715351</v>
      </c>
      <c r="IA30" s="7">
        <f>((AVERAGE(HV19:HV30,HX19:HX30)*('Summary Page'!$C$4+1))*('Summary Page'!$C$4+1))*('Summary Page'!$C$4+1)</f>
        <v>24.349914606741567</v>
      </c>
      <c r="IB30" s="11">
        <f t="shared" si="25"/>
        <v>17.513108614232209</v>
      </c>
      <c r="IC30" s="11">
        <f t="shared" si="26"/>
        <v>12.514357053682897</v>
      </c>
      <c r="ID30" s="11">
        <f t="shared" si="27"/>
        <v>12.514357053682897</v>
      </c>
      <c r="IE30" s="11">
        <f t="shared" si="28"/>
        <v>25.661052292634196</v>
      </c>
      <c r="IF30" s="11">
        <f t="shared" si="29"/>
        <v>32.109277465667908</v>
      </c>
      <c r="IG30" s="11">
        <f t="shared" si="30"/>
        <v>28.408233707865161</v>
      </c>
    </row>
    <row r="31" spans="1:241" ht="15.75" x14ac:dyDescent="0.25">
      <c r="A31" s="10">
        <v>43838</v>
      </c>
      <c r="B31" s="10"/>
      <c r="C31" s="40">
        <v>31</v>
      </c>
      <c r="D31" s="40">
        <v>10</v>
      </c>
      <c r="E31" s="40">
        <v>25</v>
      </c>
      <c r="F31" s="40">
        <v>59</v>
      </c>
      <c r="G31" s="40">
        <v>79</v>
      </c>
      <c r="H31" s="40">
        <v>33</v>
      </c>
      <c r="I31" s="7">
        <f t="shared" si="1"/>
        <v>49</v>
      </c>
      <c r="J31" s="40">
        <v>7</v>
      </c>
      <c r="K31" s="40">
        <v>58</v>
      </c>
      <c r="M31" s="40">
        <v>83</v>
      </c>
      <c r="N31" s="10"/>
      <c r="O31" s="40">
        <v>21</v>
      </c>
      <c r="P31" s="40">
        <v>7</v>
      </c>
      <c r="Q31" s="40">
        <v>11</v>
      </c>
      <c r="R31" s="40">
        <v>54</v>
      </c>
      <c r="S31" s="40">
        <v>41</v>
      </c>
      <c r="T31" s="40">
        <v>34</v>
      </c>
      <c r="U31" s="7">
        <f t="shared" si="2"/>
        <v>35</v>
      </c>
      <c r="V31" s="40">
        <v>10</v>
      </c>
      <c r="W31" s="40">
        <v>48</v>
      </c>
      <c r="Y31" s="69">
        <v>58</v>
      </c>
      <c r="AG31" s="7" t="e">
        <f t="shared" si="3"/>
        <v>#DIV/0!</v>
      </c>
      <c r="AL31" s="40">
        <v>99</v>
      </c>
      <c r="AM31" s="40">
        <v>72</v>
      </c>
      <c r="AN31" s="40"/>
      <c r="AO31" s="40">
        <v>488</v>
      </c>
      <c r="AP31">
        <v>509</v>
      </c>
      <c r="EM31" s="13">
        <f t="shared" si="4"/>
        <v>47.25</v>
      </c>
      <c r="EN31" s="13">
        <f t="shared" si="9"/>
        <v>34.25</v>
      </c>
      <c r="EO31" s="13">
        <f t="shared" si="10"/>
        <v>34.25</v>
      </c>
      <c r="EP31" s="30">
        <f>((AVERAGE(EM26:EM31)*('Summary Page'!$C$2+1))*('Summary Page'!$C$2+1))*('Summary Page'!$C$2+1)</f>
        <v>71.73617866666666</v>
      </c>
      <c r="EQ31" s="7">
        <f>((AVERAGE(EM26:EM31)*('Summary Page'!$C$3+1))*('Summary Page'!$C$3+1))*('Summary Page'!$C$3+1)</f>
        <v>89.762369791666686</v>
      </c>
      <c r="ER31" s="7">
        <f>((AVERAGE(EM26:EM31)*('Summary Page'!$C$4+1))*('Summary Page'!$C$4+1))*('Summary Page'!$C$4+1)</f>
        <v>79.415999999999983</v>
      </c>
      <c r="ES31" s="7">
        <v>80</v>
      </c>
      <c r="ET31" s="13">
        <f t="shared" si="5"/>
        <v>49</v>
      </c>
      <c r="EU31" s="13">
        <f t="shared" si="11"/>
        <v>35</v>
      </c>
      <c r="EV31" s="13">
        <f t="shared" si="12"/>
        <v>35</v>
      </c>
      <c r="EW31" s="7">
        <f>((AVERAGE(ET26:ET31)*('Summary Page'!$C$2+1))*('Summary Page'!$C$2+1))*('Summary Page'!$C$2+1)</f>
        <v>75.768493333333311</v>
      </c>
      <c r="EX31" s="7">
        <f>((AVERAGE(ET26:ET31)*('Summary Page'!$C$3+1))*('Summary Page'!$C$3+1))*('Summary Page'!$C$3+1)</f>
        <v>94.807942708333314</v>
      </c>
      <c r="EY31" s="7">
        <f>((AVERAGE(ET26:ET31)*('Summary Page'!$C$4+1))*('Summary Page'!$C$4+1))*('Summary Page'!$C$4+1)</f>
        <v>83.879999999999981</v>
      </c>
      <c r="EZ31" s="13">
        <f t="shared" si="6"/>
        <v>70.5</v>
      </c>
      <c r="FA31" s="13">
        <f t="shared" si="13"/>
        <v>53</v>
      </c>
      <c r="FB31" s="13">
        <f t="shared" si="14"/>
        <v>53</v>
      </c>
      <c r="FC31" s="7">
        <f>((AVERAGE(EZ26:EZ31)*('Summary Page'!$C$2+1))*('Summary Page'!$C$2+1))*('Summary Page'!$C$2+1)</f>
        <v>103.01913599999996</v>
      </c>
      <c r="FD31" s="7">
        <f>((AVERAGE(EZ26:EZ31)*('Summary Page'!$C$3+1))*('Summary Page'!$C$3+1))*('Summary Page'!$C$3+1)</f>
        <v>128.90625</v>
      </c>
      <c r="FE31" s="7">
        <f>((AVERAGE(EZ26:EZ31)*('Summary Page'!$C$4+1))*('Summary Page'!$C$4+1))*('Summary Page'!$C$4+1)</f>
        <v>114.048</v>
      </c>
      <c r="FF31" s="13">
        <f t="shared" si="7"/>
        <v>46.1</v>
      </c>
      <c r="FI31" s="40">
        <f t="shared" si="8"/>
        <v>21</v>
      </c>
      <c r="FJ31" s="7">
        <f>((AVERAGE(C26:C31)*('Summary Page'!$C$2+1))*('Summary Page'!$C$2+1))*('Summary Page'!$C$2+1)</f>
        <v>52.810314666666663</v>
      </c>
      <c r="FK31" s="7">
        <f>((AVERAGE(C26:C31)*('Summary Page'!$C$3+1))*('Summary Page'!$C$3+1))*('Summary Page'!$C$3+1)</f>
        <v>66.080729166666686</v>
      </c>
      <c r="FL31" s="7">
        <f>((AVERAGE(C26:C31)*('Summary Page'!$C$4+1))*('Summary Page'!$C$4+1))*('Summary Page'!$C$4+1)</f>
        <v>58.463999999999999</v>
      </c>
      <c r="FO31" s="40">
        <f t="shared" si="15"/>
        <v>7</v>
      </c>
      <c r="FP31" s="7">
        <f>((AVERAGE(D26:D31)*('Summary Page'!$C$2+1))*('Summary Page'!$C$2+1))*('Summary Page'!$C$2+1)</f>
        <v>11.966869333333332</v>
      </c>
      <c r="FQ31" s="7">
        <f>((AVERAGE(D26:D31)*('Summary Page'!$C$3+1))*('Summary Page'!$C$3+1))*('Summary Page'!$C$3+1)</f>
        <v>14.973958333333336</v>
      </c>
      <c r="FR31" s="7">
        <f>((AVERAGE(D26:D31)*('Summary Page'!$C$4+1))*('Summary Page'!$C$4+1))*('Summary Page'!$C$4+1)</f>
        <v>13.247999999999999</v>
      </c>
      <c r="FU31" s="40">
        <f t="shared" si="16"/>
        <v>11</v>
      </c>
      <c r="FV31" s="7">
        <f>((AVERAGE(E26:E31)*('Summary Page'!$C$2+1))*('Summary Page'!$C$2+1))*('Summary Page'!$C$2+1)</f>
        <v>27.575829333333328</v>
      </c>
      <c r="FW31" s="7">
        <f>((AVERAGE(E26:E31)*('Summary Page'!$C$3+1))*('Summary Page'!$C$3+1))*('Summary Page'!$C$3+1)</f>
        <v>34.505208333333343</v>
      </c>
      <c r="FX31" s="7">
        <f>((AVERAGE(E26:E31)*('Summary Page'!$C$4+1))*('Summary Page'!$C$4+1))*('Summary Page'!$C$4+1)</f>
        <v>30.527999999999995</v>
      </c>
      <c r="GA31" s="40">
        <f t="shared" si="17"/>
        <v>54</v>
      </c>
      <c r="GB31" s="7">
        <f>((AVERAGE(F26:F31)*('Summary Page'!$C$2+1))*('Summary Page'!$C$2+1))*('Summary Page'!$C$2+1)</f>
        <v>127.99347199999997</v>
      </c>
      <c r="GC31" s="7">
        <f>((AVERAGE(F26:F31)*('Summary Page'!$C$3+1))*('Summary Page'!$C$3+1))*('Summary Page'!$C$3+1)</f>
        <v>160.15625</v>
      </c>
      <c r="GD31" s="7">
        <f>((AVERAGE(F26:F31)*('Summary Page'!$C$4+1))*('Summary Page'!$C$4+1))*('Summary Page'!$C$4+1)</f>
        <v>141.69599999999997</v>
      </c>
      <c r="GG31" s="40">
        <f t="shared" si="18"/>
        <v>58</v>
      </c>
      <c r="GH31" s="7">
        <f>((AVERAGE(M26:M31)*('Summary Page'!$C$2+1))*('Summary Page'!$C$2+1))*('Summary Page'!$C$2+1)</f>
        <v>128.25362133333331</v>
      </c>
      <c r="GI31" s="7">
        <f>((AVERAGE(M26:M31)*('Summary Page'!$C$3+1))*('Summary Page'!$C$3+1))*('Summary Page'!$C$3+1)</f>
        <v>160.48177083333337</v>
      </c>
      <c r="GJ31" s="7">
        <f>((AVERAGE(M26:M31)*('Summary Page'!$C$4+1))*('Summary Page'!$C$4+1))*('Summary Page'!$C$4+1)</f>
        <v>141.98400000000001</v>
      </c>
      <c r="GM31" s="40">
        <f t="shared" si="19"/>
        <v>41</v>
      </c>
      <c r="GN31" s="7">
        <f>((AVERAGE(G26:G31)*('Summary Page'!$C$2+1))*('Summary Page'!$C$2+1))*('Summary Page'!$C$2+1)</f>
        <v>98.596597333333307</v>
      </c>
      <c r="GO31" s="7">
        <f>((AVERAGE(G26:G31)*('Summary Page'!$C$3+1))*('Summary Page'!$C$3+1))*('Summary Page'!$C$3+1)</f>
        <v>123.37239583333331</v>
      </c>
      <c r="GP31" s="7">
        <f>((AVERAGE(G26:G31)*('Summary Page'!$C$4+1))*('Summary Page'!$C$4+1))*('Summary Page'!$C$4+1)</f>
        <v>109.15199999999999</v>
      </c>
      <c r="GS31" s="40">
        <f t="shared" si="20"/>
        <v>34</v>
      </c>
      <c r="GT31" s="7">
        <f>((AVERAGE(H26:H31)*('Summary Page'!$C$2+1))*('Summary Page'!$C$2+1))*('Summary Page'!$C$2+1)</f>
        <v>48.908074666666657</v>
      </c>
      <c r="GU31" s="7">
        <f>((AVERAGE(H26:H31)*('Summary Page'!$C$3+1))*('Summary Page'!$C$3+1))*('Summary Page'!$C$3+1)</f>
        <v>61.197916666666657</v>
      </c>
      <c r="GV31" s="7">
        <f>((AVERAGE(H26:H31)*('Summary Page'!$C$4+1))*('Summary Page'!$C$4+1))*('Summary Page'!$C$4+1)</f>
        <v>54.143999999999984</v>
      </c>
      <c r="GY31" s="40">
        <f t="shared" si="21"/>
        <v>10</v>
      </c>
      <c r="GZ31" s="7">
        <f>((AVERAGE(J26:J31)*('Summary Page'!$C$2+1))*('Summary Page'!$C$2+1))*('Summary Page'!$C$2+1)</f>
        <v>8.8450773333333323</v>
      </c>
      <c r="HA31" s="7">
        <f>((AVERAGE(J26:J31)*('Summary Page'!$C$3+1))*('Summary Page'!$C$3+1))*('Summary Page'!$C$3+1)</f>
        <v>11.067708333333336</v>
      </c>
      <c r="HB31" s="7">
        <f>((AVERAGE(J26:J31)*('Summary Page'!$C$4+1))*('Summary Page'!$C$4+1))*('Summary Page'!$C$4+1)</f>
        <v>9.7919999999999998</v>
      </c>
      <c r="HE31" s="40">
        <f t="shared" si="22"/>
        <v>48</v>
      </c>
      <c r="HF31" s="7">
        <f>((AVERAGE(K26:K31)*('Summary Page'!$C$2+1))*('Summary Page'!$C$2+1))*('Summary Page'!$C$2+1)</f>
        <v>77.78465066666665</v>
      </c>
      <c r="HG31" s="7">
        <f>((AVERAGE(K26:K31)*('Summary Page'!$C$3+1))*('Summary Page'!$C$3+1))*('Summary Page'!$C$3+1)</f>
        <v>97.330729166666686</v>
      </c>
      <c r="HH31" s="7">
        <f>((AVERAGE(K26:K31)*('Summary Page'!$C$4+1))*('Summary Page'!$C$4+1))*('Summary Page'!$C$4+1)</f>
        <v>86.111999999999981</v>
      </c>
      <c r="HL31" s="7" t="e">
        <f>((AVERAGE(L26:L31)*('Summary Page'!$C$2+1))*('Summary Page'!$C$2+1))*('Summary Page'!$C$2+1)</f>
        <v>#DIV/0!</v>
      </c>
      <c r="HM31" s="7" t="e">
        <f>((AVERAGE(L26:L31)*('Summary Page'!$C$3+1))*('Summary Page'!$C$3+1))*('Summary Page'!$C$3+1)</f>
        <v>#DIV/0!</v>
      </c>
      <c r="HN31" s="7" t="e">
        <f>((AVERAGE(L26:L31)*('Summary Page'!$C$4+1))*('Summary Page'!$C$4+1))*('Summary Page'!$C$4+1)</f>
        <v>#DIV/0!</v>
      </c>
      <c r="HQ31" s="40">
        <f t="shared" si="23"/>
        <v>72</v>
      </c>
      <c r="HR31" s="7">
        <f>((AVERAGE(AL26:AL31)*('Summary Page'!$C$2+1))*('Summary Page'!$C$2+1))*('Summary Page'!$C$2+1)</f>
        <v>145.68362666666661</v>
      </c>
      <c r="HS31" s="7">
        <f>((AVERAGE(AL26:AL31)*('Summary Page'!$C$3+1))*('Summary Page'!$C$3+1))*('Summary Page'!$C$3+1)</f>
        <v>182.29166666666663</v>
      </c>
      <c r="HT31" s="7">
        <f>((AVERAGE(AL26:AL31)*('Summary Page'!$C$4+1))*('Summary Page'!$C$4+1))*('Summary Page'!$C$4+1)</f>
        <v>161.27999999999997</v>
      </c>
      <c r="HU31" s="7">
        <f t="shared" si="34"/>
        <v>100</v>
      </c>
      <c r="HV31" s="16">
        <f t="shared" si="32"/>
        <v>14.621722846441946</v>
      </c>
      <c r="HW31" s="16">
        <f t="shared" si="33"/>
        <v>15.250936329588011</v>
      </c>
      <c r="HX31" s="7">
        <f t="shared" si="31"/>
        <v>15.250936329588011</v>
      </c>
      <c r="HY31" s="7">
        <f>((AVERAGE(HV20:HV31,HX20:HX31)*('Summary Page'!$C$2+1))*('Summary Page'!$C$2+1))*('Summary Page'!$C$2+1)</f>
        <v>22.214999250936316</v>
      </c>
      <c r="HZ31" s="7">
        <f>((AVERAGE(HV20:HV31,HX20:HX31)*('Summary Page'!$C$3+1))*('Summary Page'!$C$3+1))*('Summary Page'!$C$3+1)</f>
        <v>27.797284644194747</v>
      </c>
      <c r="IA31" s="7">
        <f>((AVERAGE(HV20:HV31,HX20:HX31)*('Summary Page'!$C$4+1))*('Summary Page'!$C$4+1))*('Summary Page'!$C$4+1)</f>
        <v>24.593258426966283</v>
      </c>
      <c r="IB31" s="11">
        <f t="shared" si="25"/>
        <v>17.058676654182271</v>
      </c>
      <c r="IC31" s="11">
        <f t="shared" si="26"/>
        <v>17.792759051186014</v>
      </c>
      <c r="ID31" s="11">
        <f t="shared" si="27"/>
        <v>17.792759051186014</v>
      </c>
      <c r="IE31" s="11">
        <f t="shared" si="28"/>
        <v>25.91749912609237</v>
      </c>
      <c r="IF31" s="11">
        <f t="shared" si="29"/>
        <v>32.430165418227205</v>
      </c>
      <c r="IG31" s="11">
        <f t="shared" si="30"/>
        <v>28.692134831460663</v>
      </c>
    </row>
    <row r="32" spans="1:241" ht="15.75" x14ac:dyDescent="0.25">
      <c r="A32" s="10">
        <v>43864</v>
      </c>
      <c r="B32" s="10"/>
      <c r="C32" s="40">
        <v>12</v>
      </c>
      <c r="D32" s="40">
        <v>15</v>
      </c>
      <c r="E32" s="40">
        <v>20</v>
      </c>
      <c r="F32" s="40">
        <v>54</v>
      </c>
      <c r="G32" s="40">
        <v>55</v>
      </c>
      <c r="H32" s="40">
        <v>31</v>
      </c>
      <c r="I32" s="7">
        <f t="shared" si="1"/>
        <v>40</v>
      </c>
      <c r="J32" s="40">
        <v>6</v>
      </c>
      <c r="K32" s="40">
        <v>58</v>
      </c>
      <c r="M32" s="40">
        <v>73</v>
      </c>
      <c r="N32" s="10"/>
      <c r="O32" s="40">
        <v>37</v>
      </c>
      <c r="P32" s="40">
        <v>3</v>
      </c>
      <c r="Q32" s="40">
        <v>11</v>
      </c>
      <c r="R32" s="40">
        <v>50</v>
      </c>
      <c r="S32" s="40">
        <v>47</v>
      </c>
      <c r="T32" s="40">
        <v>34</v>
      </c>
      <c r="U32" s="7">
        <f t="shared" si="2"/>
        <v>35.5</v>
      </c>
      <c r="V32" s="40">
        <v>8</v>
      </c>
      <c r="W32" s="40">
        <v>35</v>
      </c>
      <c r="Y32" s="69">
        <v>55</v>
      </c>
      <c r="AG32" s="7" t="e">
        <f t="shared" si="3"/>
        <v>#DIV/0!</v>
      </c>
      <c r="AL32" s="40">
        <v>89</v>
      </c>
      <c r="AM32" s="40">
        <v>69</v>
      </c>
      <c r="AN32" s="40"/>
      <c r="AO32" s="40">
        <v>496</v>
      </c>
      <c r="AP32">
        <v>526</v>
      </c>
      <c r="EM32" s="13">
        <f t="shared" si="4"/>
        <v>39.75</v>
      </c>
      <c r="EN32" s="13">
        <f t="shared" si="9"/>
        <v>34</v>
      </c>
      <c r="EO32" s="13">
        <f t="shared" si="10"/>
        <v>34</v>
      </c>
      <c r="EP32" s="30">
        <f>((AVERAGE(EM27:EM32)*('Summary Page'!$C$2+1))*('Summary Page'!$C$2+1))*('Summary Page'!$C$2+1)</f>
        <v>71.085805333333312</v>
      </c>
      <c r="EQ32" s="7">
        <f>((AVERAGE(EM27:EM32)*('Summary Page'!$C$3+1))*('Summary Page'!$C$3+1))*('Summary Page'!$C$3+1)</f>
        <v>88.948567708333314</v>
      </c>
      <c r="ER32" s="7">
        <f>((AVERAGE(EM27:EM32)*('Summary Page'!$C$4+1))*('Summary Page'!$C$4+1))*('Summary Page'!$C$4+1)</f>
        <v>78.695999999999998</v>
      </c>
      <c r="ES32" s="7">
        <v>80</v>
      </c>
      <c r="ET32" s="13">
        <f t="shared" si="5"/>
        <v>40</v>
      </c>
      <c r="EU32" s="13">
        <f t="shared" si="11"/>
        <v>35.5</v>
      </c>
      <c r="EV32" s="13">
        <f t="shared" si="12"/>
        <v>35.5</v>
      </c>
      <c r="EW32" s="7">
        <f>((AVERAGE(ET27:ET32)*('Summary Page'!$C$2+1))*('Summary Page'!$C$2+1))*('Summary Page'!$C$2+1)</f>
        <v>74.207597333333311</v>
      </c>
      <c r="EX32" s="7">
        <f>((AVERAGE(ET27:ET32)*('Summary Page'!$C$3+1))*('Summary Page'!$C$3+1))*('Summary Page'!$C$3+1)</f>
        <v>92.854817708333314</v>
      </c>
      <c r="EY32" s="7">
        <f>((AVERAGE(ET27:ET32)*('Summary Page'!$C$4+1))*('Summary Page'!$C$4+1))*('Summary Page'!$C$4+1)</f>
        <v>82.151999999999987</v>
      </c>
      <c r="EZ32" s="13">
        <f t="shared" si="6"/>
        <v>65.5</v>
      </c>
      <c r="FA32" s="13">
        <f t="shared" si="13"/>
        <v>45</v>
      </c>
      <c r="FB32" s="13">
        <f t="shared" si="14"/>
        <v>45</v>
      </c>
      <c r="FC32" s="7">
        <f>((AVERAGE(EZ27:EZ32)*('Summary Page'!$C$2+1))*('Summary Page'!$C$2+1))*('Summary Page'!$C$2+1)</f>
        <v>106.92137599999998</v>
      </c>
      <c r="FD32" s="7">
        <f>((AVERAGE(EZ27:EZ32)*('Summary Page'!$C$3+1))*('Summary Page'!$C$3+1))*('Summary Page'!$C$3+1)</f>
        <v>133.7890625</v>
      </c>
      <c r="FE32" s="7">
        <f>((AVERAGE(EZ27:EZ32)*('Summary Page'!$C$4+1))*('Summary Page'!$C$4+1))*('Summary Page'!$C$4+1)</f>
        <v>118.36799999999999</v>
      </c>
      <c r="FF32" s="13">
        <f t="shared" si="7"/>
        <v>41</v>
      </c>
      <c r="FI32" s="40">
        <f t="shared" si="8"/>
        <v>37</v>
      </c>
      <c r="FJ32" s="7">
        <f>((AVERAGE(C27:C32)*('Summary Page'!$C$2+1))*('Summary Page'!$C$2+1))*('Summary Page'!$C$2+1)</f>
        <v>44.485535999999989</v>
      </c>
      <c r="FK32" s="7">
        <f>((AVERAGE(C27:C32)*('Summary Page'!$C$3+1))*('Summary Page'!$C$3+1))*('Summary Page'!$C$3+1)</f>
        <v>55.6640625</v>
      </c>
      <c r="FL32" s="7">
        <f>((AVERAGE(C27:C32)*('Summary Page'!$C$4+1))*('Summary Page'!$C$4+1))*('Summary Page'!$C$4+1)</f>
        <v>49.24799999999999</v>
      </c>
      <c r="FO32" s="40">
        <f t="shared" si="15"/>
        <v>3</v>
      </c>
      <c r="FP32" s="7">
        <f>((AVERAGE(D27:D32)*('Summary Page'!$C$2+1))*('Summary Page'!$C$2+1))*('Summary Page'!$C$2+1)</f>
        <v>13.527765333333329</v>
      </c>
      <c r="FQ32" s="7">
        <f>((AVERAGE(D27:D32)*('Summary Page'!$C$3+1))*('Summary Page'!$C$3+1))*('Summary Page'!$C$3+1)</f>
        <v>16.927083333333329</v>
      </c>
      <c r="FR32" s="7">
        <f>((AVERAGE(D27:D32)*('Summary Page'!$C$4+1))*('Summary Page'!$C$4+1))*('Summary Page'!$C$4+1)</f>
        <v>14.975999999999997</v>
      </c>
      <c r="FU32" s="40">
        <f t="shared" si="16"/>
        <v>11</v>
      </c>
      <c r="FV32" s="7">
        <f>((AVERAGE(E27:E32)*('Summary Page'!$C$2+1))*('Summary Page'!$C$2+1))*('Summary Page'!$C$2+1)</f>
        <v>27.575829333333328</v>
      </c>
      <c r="FW32" s="7">
        <f>((AVERAGE(E27:E32)*('Summary Page'!$C$3+1))*('Summary Page'!$C$3+1))*('Summary Page'!$C$3+1)</f>
        <v>34.505208333333343</v>
      </c>
      <c r="FX32" s="7">
        <f>((AVERAGE(E27:E32)*('Summary Page'!$C$4+1))*('Summary Page'!$C$4+1))*('Summary Page'!$C$4+1)</f>
        <v>30.527999999999995</v>
      </c>
      <c r="GA32" s="40">
        <f t="shared" si="17"/>
        <v>50</v>
      </c>
      <c r="GB32" s="7">
        <f>((AVERAGE(F27:F32)*('Summary Page'!$C$2+1))*('Summary Page'!$C$2+1))*('Summary Page'!$C$2+1)</f>
        <v>122.79048533333332</v>
      </c>
      <c r="GC32" s="7">
        <f>((AVERAGE(F27:F32)*('Summary Page'!$C$3+1))*('Summary Page'!$C$3+1))*('Summary Page'!$C$3+1)</f>
        <v>153.64583333333337</v>
      </c>
      <c r="GD32" s="7">
        <f>((AVERAGE(F27:F32)*('Summary Page'!$C$4+1))*('Summary Page'!$C$4+1))*('Summary Page'!$C$4+1)</f>
        <v>135.93600000000001</v>
      </c>
      <c r="GG32" s="40">
        <f t="shared" si="18"/>
        <v>55</v>
      </c>
      <c r="GH32" s="7">
        <f>((AVERAGE(M27:M32)*('Summary Page'!$C$2+1))*('Summary Page'!$C$2+1))*('Summary Page'!$C$2+1)</f>
        <v>131.63556266666663</v>
      </c>
      <c r="GI32" s="7">
        <f>((AVERAGE(M27:M32)*('Summary Page'!$C$3+1))*('Summary Page'!$C$3+1))*('Summary Page'!$C$3+1)</f>
        <v>164.71354166666663</v>
      </c>
      <c r="GJ32" s="7">
        <f>((AVERAGE(M27:M32)*('Summary Page'!$C$4+1))*('Summary Page'!$C$4+1))*('Summary Page'!$C$4+1)</f>
        <v>145.72799999999998</v>
      </c>
      <c r="GM32" s="40">
        <f t="shared" si="19"/>
        <v>47</v>
      </c>
      <c r="GN32" s="7">
        <f>((AVERAGE(G27:G32)*('Summary Page'!$C$2+1))*('Summary Page'!$C$2+1))*('Summary Page'!$C$2+1)</f>
        <v>96.77555199999999</v>
      </c>
      <c r="GO32" s="7">
        <f>((AVERAGE(G27:G32)*('Summary Page'!$C$3+1))*('Summary Page'!$C$3+1))*('Summary Page'!$C$3+1)</f>
        <v>121.09375</v>
      </c>
      <c r="GP32" s="7">
        <f>((AVERAGE(G27:G32)*('Summary Page'!$C$4+1))*('Summary Page'!$C$4+1))*('Summary Page'!$C$4+1)</f>
        <v>107.13599999999998</v>
      </c>
      <c r="GS32" s="40">
        <f t="shared" si="20"/>
        <v>34</v>
      </c>
      <c r="GT32" s="7">
        <f>((AVERAGE(H27:H32)*('Summary Page'!$C$2+1))*('Summary Page'!$C$2+1))*('Summary Page'!$C$2+1)</f>
        <v>49.688522666666657</v>
      </c>
      <c r="GU32" s="7">
        <f>((AVERAGE(H27:H32)*('Summary Page'!$C$3+1))*('Summary Page'!$C$3+1))*('Summary Page'!$C$3+1)</f>
        <v>62.174479166666657</v>
      </c>
      <c r="GV32" s="7">
        <f>((AVERAGE(H27:H32)*('Summary Page'!$C$4+1))*('Summary Page'!$C$4+1))*('Summary Page'!$C$4+1)</f>
        <v>55.007999999999996</v>
      </c>
      <c r="GY32" s="40">
        <f t="shared" si="21"/>
        <v>8</v>
      </c>
      <c r="GZ32" s="7">
        <f>((AVERAGE(J27:J32)*('Summary Page'!$C$2+1))*('Summary Page'!$C$2+1))*('Summary Page'!$C$2+1)</f>
        <v>8.3247786666666634</v>
      </c>
      <c r="HA32" s="7">
        <f>((AVERAGE(J27:J32)*('Summary Page'!$C$3+1))*('Summary Page'!$C$3+1))*('Summary Page'!$C$3+1)</f>
        <v>10.416666666666664</v>
      </c>
      <c r="HB32" s="7">
        <f>((AVERAGE(J27:J32)*('Summary Page'!$C$4+1))*('Summary Page'!$C$4+1))*('Summary Page'!$C$4+1)</f>
        <v>9.2159999999999975</v>
      </c>
      <c r="HE32" s="40">
        <f t="shared" si="22"/>
        <v>35</v>
      </c>
      <c r="HF32" s="7">
        <f>((AVERAGE(K27:K32)*('Summary Page'!$C$2+1))*('Summary Page'!$C$2+1))*('Summary Page'!$C$2+1)</f>
        <v>82.207189333333318</v>
      </c>
      <c r="HG32" s="7">
        <f>((AVERAGE(K27:K32)*('Summary Page'!$C$3+1))*('Summary Page'!$C$3+1))*('Summary Page'!$C$3+1)</f>
        <v>102.86458333333331</v>
      </c>
      <c r="HH32" s="7">
        <f>((AVERAGE(K27:K32)*('Summary Page'!$C$4+1))*('Summary Page'!$C$4+1))*('Summary Page'!$C$4+1)</f>
        <v>91.007999999999981</v>
      </c>
      <c r="HL32" s="7" t="e">
        <f>((AVERAGE(L27:L32)*('Summary Page'!$C$2+1))*('Summary Page'!$C$2+1))*('Summary Page'!$C$2+1)</f>
        <v>#DIV/0!</v>
      </c>
      <c r="HM32" s="7" t="e">
        <f>((AVERAGE(L27:L32)*('Summary Page'!$C$3+1))*('Summary Page'!$C$3+1))*('Summary Page'!$C$3+1)</f>
        <v>#DIV/0!</v>
      </c>
      <c r="HN32" s="7" t="e">
        <f>((AVERAGE(L27:L32)*('Summary Page'!$C$4+1))*('Summary Page'!$C$4+1))*('Summary Page'!$C$4+1)</f>
        <v>#DIV/0!</v>
      </c>
      <c r="HQ32" s="40">
        <f t="shared" si="23"/>
        <v>69</v>
      </c>
      <c r="HR32" s="7">
        <f>((AVERAGE(AL27:AL32)*('Summary Page'!$C$2+1))*('Summary Page'!$C$2+1))*('Summary Page'!$C$2+1)</f>
        <v>148.28511999999998</v>
      </c>
      <c r="HS32" s="7">
        <f>((AVERAGE(AL27:AL32)*('Summary Page'!$C$3+1))*('Summary Page'!$C$3+1))*('Summary Page'!$C$3+1)</f>
        <v>185.546875</v>
      </c>
      <c r="HT32" s="7">
        <f>((AVERAGE(AL27:AL32)*('Summary Page'!$C$4+1))*('Summary Page'!$C$4+1))*('Summary Page'!$C$4+1)</f>
        <v>164.15999999999997</v>
      </c>
      <c r="HU32" s="7">
        <f t="shared" si="34"/>
        <v>100</v>
      </c>
      <c r="HV32" s="16">
        <f t="shared" si="32"/>
        <v>14.861423220973785</v>
      </c>
      <c r="HW32" s="16">
        <f t="shared" si="33"/>
        <v>15.760299625468168</v>
      </c>
      <c r="HX32" s="7">
        <f t="shared" si="31"/>
        <v>15.760299625468168</v>
      </c>
      <c r="HY32" s="7">
        <f>((AVERAGE(HV21:HV32,HX21:HX32)*('Summary Page'!$C$2+1))*('Summary Page'!$C$2+1))*('Summary Page'!$C$2+1)</f>
        <v>22.455522551096838</v>
      </c>
      <c r="HZ32" s="7">
        <f>((AVERAGE(HV21:HV32,HX21:HX32)*('Summary Page'!$C$3+1))*('Summary Page'!$C$3+1))*('Summary Page'!$C$3+1)</f>
        <v>28.098247726056712</v>
      </c>
      <c r="IA32" s="7">
        <f>((AVERAGE(HV21:HV32,HX21:HX32)*('Summary Page'!$C$4+1))*('Summary Page'!$C$4+1))*('Summary Page'!$C$4+1)</f>
        <v>24.859531300160508</v>
      </c>
      <c r="IB32" s="11">
        <f t="shared" ref="IB32:IB50" si="35">(HV32/6)+HV32</f>
        <v>17.338327091136083</v>
      </c>
      <c r="IC32" s="11">
        <f t="shared" si="26"/>
        <v>18.387016229712863</v>
      </c>
      <c r="ID32" s="11">
        <f t="shared" si="27"/>
        <v>18.387016229712863</v>
      </c>
      <c r="IE32" s="11">
        <f t="shared" si="28"/>
        <v>26.19810964294631</v>
      </c>
      <c r="IF32" s="11">
        <f t="shared" si="29"/>
        <v>32.781289013732831</v>
      </c>
      <c r="IG32" s="11">
        <f t="shared" si="30"/>
        <v>29.002786516853927</v>
      </c>
    </row>
    <row r="33" spans="1:241" ht="15.75" x14ac:dyDescent="0.25">
      <c r="A33" s="10">
        <v>43894</v>
      </c>
      <c r="B33" s="10"/>
      <c r="C33" s="40">
        <v>37</v>
      </c>
      <c r="D33" s="40">
        <v>2</v>
      </c>
      <c r="E33" s="40">
        <v>13</v>
      </c>
      <c r="F33" s="40">
        <v>59</v>
      </c>
      <c r="G33" s="40">
        <v>31</v>
      </c>
      <c r="H33" s="40">
        <v>37</v>
      </c>
      <c r="I33" s="7">
        <f t="shared" si="1"/>
        <v>35</v>
      </c>
      <c r="J33" s="40">
        <v>8</v>
      </c>
      <c r="K33" s="40">
        <v>52</v>
      </c>
      <c r="M33" s="40">
        <v>80</v>
      </c>
      <c r="N33" s="10"/>
      <c r="O33" s="40">
        <v>24</v>
      </c>
      <c r="P33" s="40">
        <v>1</v>
      </c>
      <c r="Q33" s="40">
        <v>11</v>
      </c>
      <c r="R33" s="40">
        <v>36</v>
      </c>
      <c r="S33" s="40">
        <v>44</v>
      </c>
      <c r="T33" s="40">
        <v>36</v>
      </c>
      <c r="U33" s="7">
        <f t="shared" si="2"/>
        <v>31.75</v>
      </c>
      <c r="V33" s="40">
        <v>12</v>
      </c>
      <c r="W33" s="40">
        <v>41</v>
      </c>
      <c r="Y33" s="69">
        <v>50</v>
      </c>
      <c r="AG33" s="7" t="e">
        <f t="shared" si="3"/>
        <v>#DIV/0!</v>
      </c>
      <c r="AL33" s="40">
        <v>98</v>
      </c>
      <c r="AM33" s="40">
        <v>81</v>
      </c>
      <c r="AN33" s="40"/>
      <c r="AO33" s="40">
        <v>431</v>
      </c>
      <c r="AP33">
        <v>378</v>
      </c>
      <c r="EM33" s="13">
        <f t="shared" si="4"/>
        <v>38.875</v>
      </c>
      <c r="EN33" s="13">
        <f t="shared" si="9"/>
        <v>30.375</v>
      </c>
      <c r="EO33" s="13">
        <f t="shared" si="10"/>
        <v>30.375</v>
      </c>
      <c r="EP33" s="30">
        <f>((AVERAGE(EM28:EM33)*('Summary Page'!$C$2+1))*('Summary Page'!$C$2+1))*('Summary Page'!$C$2+1)</f>
        <v>70.207801333333322</v>
      </c>
      <c r="EQ33" s="7">
        <f>((AVERAGE(EM28:EM33)*('Summary Page'!$C$3+1))*('Summary Page'!$C$3+1))*('Summary Page'!$C$3+1)</f>
        <v>87.849934895833314</v>
      </c>
      <c r="ER33" s="7">
        <f>((AVERAGE(EM28:EM33)*('Summary Page'!$C$4+1))*('Summary Page'!$C$4+1))*('Summary Page'!$C$4+1)</f>
        <v>77.72399999999999</v>
      </c>
      <c r="ES33" s="7">
        <v>80</v>
      </c>
      <c r="ET33" s="13">
        <f t="shared" si="5"/>
        <v>35</v>
      </c>
      <c r="EU33" s="13">
        <f t="shared" si="11"/>
        <v>31.75</v>
      </c>
      <c r="EV33" s="13">
        <f t="shared" si="12"/>
        <v>31.75</v>
      </c>
      <c r="EW33" s="7">
        <f>((AVERAGE(ET28:ET33)*('Summary Page'!$C$2+1))*('Summary Page'!$C$2+1))*('Summary Page'!$C$2+1)</f>
        <v>71.73617866666666</v>
      </c>
      <c r="EX33" s="7">
        <f>((AVERAGE(ET28:ET33)*('Summary Page'!$C$3+1))*('Summary Page'!$C$3+1))*('Summary Page'!$C$3+1)</f>
        <v>89.762369791666686</v>
      </c>
      <c r="EY33" s="7">
        <f>((AVERAGE(ET28:ET33)*('Summary Page'!$C$4+1))*('Summary Page'!$C$4+1))*('Summary Page'!$C$4+1)</f>
        <v>79.415999999999983</v>
      </c>
      <c r="EZ33" s="13">
        <f t="shared" si="6"/>
        <v>66</v>
      </c>
      <c r="FA33" s="13">
        <f t="shared" si="13"/>
        <v>45.5</v>
      </c>
      <c r="FB33" s="13">
        <f t="shared" si="14"/>
        <v>45.5</v>
      </c>
      <c r="FC33" s="7">
        <f>((AVERAGE(EZ28:EZ33)*('Summary Page'!$C$2+1))*('Summary Page'!$C$2+1))*('Summary Page'!$C$2+1)</f>
        <v>108.74242133333333</v>
      </c>
      <c r="FD33" s="7">
        <f>((AVERAGE(EZ28:EZ33)*('Summary Page'!$C$3+1))*('Summary Page'!$C$3+1))*('Summary Page'!$C$3+1)</f>
        <v>136.06770833333337</v>
      </c>
      <c r="FE33" s="7">
        <f>((AVERAGE(EZ28:EZ33)*('Summary Page'!$C$4+1))*('Summary Page'!$C$4+1))*('Summary Page'!$C$4+1)</f>
        <v>120.384</v>
      </c>
      <c r="FF33" s="13">
        <f t="shared" si="7"/>
        <v>36.9</v>
      </c>
      <c r="FI33" s="40">
        <f t="shared" si="8"/>
        <v>24</v>
      </c>
      <c r="FJ33" s="7">
        <f>((AVERAGE(C28:C33)*('Summary Page'!$C$2+1))*('Summary Page'!$C$2+1))*('Summary Page'!$C$2+1)</f>
        <v>45.265983999999996</v>
      </c>
      <c r="FK33" s="7">
        <f>((AVERAGE(C28:C33)*('Summary Page'!$C$3+1))*('Summary Page'!$C$3+1))*('Summary Page'!$C$3+1)</f>
        <v>56.640625</v>
      </c>
      <c r="FL33" s="7">
        <f>((AVERAGE(C28:C33)*('Summary Page'!$C$4+1))*('Summary Page'!$C$4+1))*('Summary Page'!$C$4+1)</f>
        <v>50.111999999999995</v>
      </c>
      <c r="FO33" s="40">
        <f t="shared" si="15"/>
        <v>1</v>
      </c>
      <c r="FP33" s="7">
        <f>((AVERAGE(D28:D33)*('Summary Page'!$C$2+1))*('Summary Page'!$C$2+1))*('Summary Page'!$C$2+1)</f>
        <v>11.966869333333332</v>
      </c>
      <c r="FQ33" s="7">
        <f>((AVERAGE(D28:D33)*('Summary Page'!$C$3+1))*('Summary Page'!$C$3+1))*('Summary Page'!$C$3+1)</f>
        <v>14.973958333333336</v>
      </c>
      <c r="FR33" s="7">
        <f>((AVERAGE(D28:D33)*('Summary Page'!$C$4+1))*('Summary Page'!$C$4+1))*('Summary Page'!$C$4+1)</f>
        <v>13.247999999999999</v>
      </c>
      <c r="FU33" s="40">
        <f t="shared" si="16"/>
        <v>11</v>
      </c>
      <c r="FV33" s="7">
        <f>((AVERAGE(E28:E33)*('Summary Page'!$C$2+1))*('Summary Page'!$C$2+1))*('Summary Page'!$C$2+1)</f>
        <v>26.795381333333328</v>
      </c>
      <c r="FW33" s="7">
        <f>((AVERAGE(E28:E33)*('Summary Page'!$C$3+1))*('Summary Page'!$C$3+1))*('Summary Page'!$C$3+1)</f>
        <v>33.528645833333343</v>
      </c>
      <c r="FX33" s="7">
        <f>((AVERAGE(E28:E33)*('Summary Page'!$C$4+1))*('Summary Page'!$C$4+1))*('Summary Page'!$C$4+1)</f>
        <v>29.664000000000001</v>
      </c>
      <c r="GA33" s="40">
        <f t="shared" si="17"/>
        <v>36</v>
      </c>
      <c r="GB33" s="7">
        <f>((AVERAGE(F28:F33)*('Summary Page'!$C$2+1))*('Summary Page'!$C$2+1))*('Summary Page'!$C$2+1)</f>
        <v>117.84764799999999</v>
      </c>
      <c r="GC33" s="7">
        <f>((AVERAGE(F28:F33)*('Summary Page'!$C$3+1))*('Summary Page'!$C$3+1))*('Summary Page'!$C$3+1)</f>
        <v>147.4609375</v>
      </c>
      <c r="GD33" s="7">
        <f>((AVERAGE(F28:F33)*('Summary Page'!$C$4+1))*('Summary Page'!$C$4+1))*('Summary Page'!$C$4+1)</f>
        <v>130.46399999999997</v>
      </c>
      <c r="GG33" s="40">
        <f t="shared" si="18"/>
        <v>50</v>
      </c>
      <c r="GH33" s="7">
        <f>((AVERAGE(M28:M33)*('Summary Page'!$C$2+1))*('Summary Page'!$C$2+1))*('Summary Page'!$C$2+1)</f>
        <v>132.9363093333333</v>
      </c>
      <c r="GI33" s="7">
        <f>((AVERAGE(M28:M33)*('Summary Page'!$C$3+1))*('Summary Page'!$C$3+1))*('Summary Page'!$C$3+1)</f>
        <v>166.34114583333337</v>
      </c>
      <c r="GJ33" s="7">
        <f>((AVERAGE(M28:M33)*('Summary Page'!$C$4+1))*('Summary Page'!$C$4+1))*('Summary Page'!$C$4+1)</f>
        <v>147.16800000000001</v>
      </c>
      <c r="GM33" s="40">
        <f t="shared" si="19"/>
        <v>44</v>
      </c>
      <c r="GN33" s="7">
        <f>((AVERAGE(G28:G33)*('Summary Page'!$C$2+1))*('Summary Page'!$C$2+1))*('Summary Page'!$C$2+1)</f>
        <v>92.613162666666653</v>
      </c>
      <c r="GO33" s="7">
        <f>((AVERAGE(G28:G33)*('Summary Page'!$C$3+1))*('Summary Page'!$C$3+1))*('Summary Page'!$C$3+1)</f>
        <v>115.88541666666669</v>
      </c>
      <c r="GP33" s="7">
        <f>((AVERAGE(G28:G33)*('Summary Page'!$C$4+1))*('Summary Page'!$C$4+1))*('Summary Page'!$C$4+1)</f>
        <v>102.52799999999999</v>
      </c>
      <c r="GS33" s="40">
        <f t="shared" si="20"/>
        <v>36</v>
      </c>
      <c r="GT33" s="7">
        <f>((AVERAGE(H28:H33)*('Summary Page'!$C$2+1))*('Summary Page'!$C$2+1))*('Summary Page'!$C$2+1)</f>
        <v>49.688522666666657</v>
      </c>
      <c r="GU33" s="7">
        <f>((AVERAGE(H28:H33)*('Summary Page'!$C$3+1))*('Summary Page'!$C$3+1))*('Summary Page'!$C$3+1)</f>
        <v>62.174479166666657</v>
      </c>
      <c r="GV33" s="7">
        <f>((AVERAGE(H28:H33)*('Summary Page'!$C$4+1))*('Summary Page'!$C$4+1))*('Summary Page'!$C$4+1)</f>
        <v>55.007999999999996</v>
      </c>
      <c r="GY33" s="40">
        <f t="shared" si="21"/>
        <v>12</v>
      </c>
      <c r="GZ33" s="7">
        <f>((AVERAGE(J28:J33)*('Summary Page'!$C$2+1))*('Summary Page'!$C$2+1))*('Summary Page'!$C$2+1)</f>
        <v>8.8450773333333323</v>
      </c>
      <c r="HA33" s="7">
        <f>((AVERAGE(J28:J33)*('Summary Page'!$C$3+1))*('Summary Page'!$C$3+1))*('Summary Page'!$C$3+1)</f>
        <v>11.067708333333336</v>
      </c>
      <c r="HB33" s="7">
        <f>((AVERAGE(J28:J33)*('Summary Page'!$C$4+1))*('Summary Page'!$C$4+1))*('Summary Page'!$C$4+1)</f>
        <v>9.7919999999999998</v>
      </c>
      <c r="HE33" s="40">
        <f t="shared" si="22"/>
        <v>41</v>
      </c>
      <c r="HF33" s="7">
        <f>((AVERAGE(K28:K33)*('Summary Page'!$C$2+1))*('Summary Page'!$C$2+1))*('Summary Page'!$C$2+1)</f>
        <v>84.54853333333331</v>
      </c>
      <c r="HG33" s="7">
        <f>((AVERAGE(K28:K33)*('Summary Page'!$C$3+1))*('Summary Page'!$C$3+1))*('Summary Page'!$C$3+1)</f>
        <v>105.79427083333331</v>
      </c>
      <c r="HH33" s="7">
        <f>((AVERAGE(K28:K33)*('Summary Page'!$C$4+1))*('Summary Page'!$C$4+1))*('Summary Page'!$C$4+1)</f>
        <v>93.6</v>
      </c>
      <c r="HL33" s="7" t="e">
        <f>((AVERAGE(L28:L33)*('Summary Page'!$C$2+1))*('Summary Page'!$C$2+1))*('Summary Page'!$C$2+1)</f>
        <v>#DIV/0!</v>
      </c>
      <c r="HM33" s="7" t="e">
        <f>((AVERAGE(L28:L33)*('Summary Page'!$C$3+1))*('Summary Page'!$C$3+1))*('Summary Page'!$C$3+1)</f>
        <v>#DIV/0!</v>
      </c>
      <c r="HN33" s="7" t="e">
        <f>((AVERAGE(L28:L33)*('Summary Page'!$C$4+1))*('Summary Page'!$C$4+1))*('Summary Page'!$C$4+1)</f>
        <v>#DIV/0!</v>
      </c>
      <c r="HQ33" s="40">
        <f t="shared" si="23"/>
        <v>81</v>
      </c>
      <c r="HR33" s="7">
        <f>((AVERAGE(AL28:AL33)*('Summary Page'!$C$2+1))*('Summary Page'!$C$2+1))*('Summary Page'!$C$2+1)</f>
        <v>150.36631466666663</v>
      </c>
      <c r="HS33" s="7">
        <f>((AVERAGE(AL28:AL33)*('Summary Page'!$C$3+1))*('Summary Page'!$C$3+1))*('Summary Page'!$C$3+1)</f>
        <v>188.15104166666663</v>
      </c>
      <c r="HT33" s="7">
        <f>((AVERAGE(AL28:AL33)*('Summary Page'!$C$4+1))*('Summary Page'!$C$4+1))*('Summary Page'!$C$4+1)</f>
        <v>166.464</v>
      </c>
      <c r="HU33" s="7">
        <f t="shared" si="34"/>
        <v>100</v>
      </c>
      <c r="HV33" s="16">
        <f t="shared" si="32"/>
        <v>12.913857677902621</v>
      </c>
      <c r="HW33" s="16">
        <f t="shared" si="33"/>
        <v>11.325842696629213</v>
      </c>
      <c r="HX33" s="7">
        <f t="shared" si="31"/>
        <v>11.325842696629213</v>
      </c>
      <c r="HY33" s="7">
        <f>((AVERAGE(HV22:HV33,HX22:HX33)*('Summary Page'!$C$2+1))*('Summary Page'!$C$2+1))*('Summary Page'!$C$2+1)</f>
        <v>22.01331044194756</v>
      </c>
      <c r="HZ33" s="7">
        <f>((AVERAGE(HV22:HV33,HX22:HX33)*('Summary Page'!$C$3+1))*('Summary Page'!$C$3+1))*('Summary Page'!$C$3+1)</f>
        <v>27.544914559925093</v>
      </c>
      <c r="IA33" s="7">
        <f>((AVERAGE(HV22:HV33,HX22:HX33)*('Summary Page'!$C$4+1))*('Summary Page'!$C$4+1))*('Summary Page'!$C$4+1)</f>
        <v>24.36997752808988</v>
      </c>
      <c r="IB33" s="11">
        <f t="shared" si="35"/>
        <v>15.066167290886391</v>
      </c>
      <c r="IC33" s="11">
        <f t="shared" si="26"/>
        <v>13.213483146067414</v>
      </c>
      <c r="ID33" s="11">
        <f t="shared" si="27"/>
        <v>13.213483146067414</v>
      </c>
      <c r="IE33" s="11">
        <f t="shared" si="28"/>
        <v>25.682195515605486</v>
      </c>
      <c r="IF33" s="11">
        <f t="shared" si="29"/>
        <v>32.135733653245943</v>
      </c>
      <c r="IG33" s="11">
        <f t="shared" si="30"/>
        <v>28.431640449438191</v>
      </c>
    </row>
    <row r="34" spans="1:241" ht="15.75" x14ac:dyDescent="0.25">
      <c r="A34" s="10">
        <v>43927</v>
      </c>
      <c r="B34" s="10"/>
      <c r="C34" s="40">
        <v>63</v>
      </c>
      <c r="D34" s="40">
        <v>3</v>
      </c>
      <c r="E34" s="40">
        <v>20</v>
      </c>
      <c r="F34" s="40">
        <v>50</v>
      </c>
      <c r="G34" s="40">
        <v>45</v>
      </c>
      <c r="H34" s="40">
        <v>48</v>
      </c>
      <c r="I34" s="7">
        <f t="shared" si="1"/>
        <v>40.75</v>
      </c>
      <c r="J34" s="40">
        <v>16</v>
      </c>
      <c r="K34" s="40">
        <v>42</v>
      </c>
      <c r="M34" s="40">
        <v>78</v>
      </c>
      <c r="N34" s="10"/>
      <c r="O34" s="40">
        <v>39</v>
      </c>
      <c r="P34" s="40">
        <v>2</v>
      </c>
      <c r="Q34" s="40">
        <v>10</v>
      </c>
      <c r="R34" s="40">
        <v>67</v>
      </c>
      <c r="S34" s="40">
        <v>43</v>
      </c>
      <c r="T34" s="40">
        <v>44</v>
      </c>
      <c r="U34" s="7">
        <f t="shared" si="2"/>
        <v>41</v>
      </c>
      <c r="V34" s="40">
        <v>14</v>
      </c>
      <c r="W34" s="40">
        <v>73</v>
      </c>
      <c r="Y34" s="69">
        <v>71</v>
      </c>
      <c r="AG34" s="7" t="e">
        <f t="shared" si="3"/>
        <v>#DIV/0!</v>
      </c>
      <c r="AL34" s="40">
        <v>105</v>
      </c>
      <c r="AM34" s="40">
        <v>115</v>
      </c>
      <c r="AN34" s="40"/>
      <c r="AO34" s="40">
        <v>441</v>
      </c>
      <c r="AP34">
        <v>467</v>
      </c>
      <c r="EM34" s="13">
        <f t="shared" si="4"/>
        <v>43.625</v>
      </c>
      <c r="EN34" s="13">
        <f t="shared" si="9"/>
        <v>43.625</v>
      </c>
      <c r="EO34" s="13">
        <f t="shared" si="10"/>
        <v>43.625</v>
      </c>
      <c r="EP34" s="30">
        <f>((AVERAGE(EM29:EM34)*('Summary Page'!$C$2+1))*('Summary Page'!$C$2+1))*('Summary Page'!$C$2+1)</f>
        <v>68.744461333333319</v>
      </c>
      <c r="EQ34" s="7">
        <f>((AVERAGE(EM29:EM34)*('Summary Page'!$C$3+1))*('Summary Page'!$C$3+1))*('Summary Page'!$C$3+1)</f>
        <v>86.018880208333314</v>
      </c>
      <c r="ER34" s="7">
        <f>((AVERAGE(EM29:EM34)*('Summary Page'!$C$4+1))*('Summary Page'!$C$4+1))*('Summary Page'!$C$4+1)</f>
        <v>76.103999999999985</v>
      </c>
      <c r="ES34" s="7">
        <v>80</v>
      </c>
      <c r="ET34" s="13">
        <f t="shared" si="5"/>
        <v>40.75</v>
      </c>
      <c r="EU34" s="13">
        <f t="shared" si="11"/>
        <v>41</v>
      </c>
      <c r="EV34" s="13">
        <f t="shared" si="12"/>
        <v>41</v>
      </c>
      <c r="EW34" s="7">
        <f>((AVERAGE(ET29:ET34)*('Summary Page'!$C$2+1))*('Summary Page'!$C$2+1))*('Summary Page'!$C$2+1)</f>
        <v>68.809498666666656</v>
      </c>
      <c r="EX34" s="7">
        <f>((AVERAGE(ET29:ET34)*('Summary Page'!$C$3+1))*('Summary Page'!$C$3+1))*('Summary Page'!$C$3+1)</f>
        <v>86.100260416666686</v>
      </c>
      <c r="EY34" s="7">
        <f>((AVERAGE(ET29:ET34)*('Summary Page'!$C$4+1))*('Summary Page'!$C$4+1))*('Summary Page'!$C$4+1)</f>
        <v>76.175999999999988</v>
      </c>
      <c r="EZ34" s="13">
        <f t="shared" si="6"/>
        <v>60</v>
      </c>
      <c r="FA34" s="13">
        <f t="shared" si="13"/>
        <v>72</v>
      </c>
      <c r="FB34" s="13">
        <f t="shared" si="14"/>
        <v>72</v>
      </c>
      <c r="FC34" s="7">
        <f>((AVERAGE(EZ29:EZ34)*('Summary Page'!$C$2+1))*('Summary Page'!$C$2+1))*('Summary Page'!$C$2+1)</f>
        <v>104.84018133333332</v>
      </c>
      <c r="FD34" s="7">
        <f>((AVERAGE(EZ29:EZ34)*('Summary Page'!$C$3+1))*('Summary Page'!$C$3+1))*('Summary Page'!$C$3+1)</f>
        <v>131.18489583333337</v>
      </c>
      <c r="FE34" s="7">
        <f>((AVERAGE(EZ29:EZ34)*('Summary Page'!$C$4+1))*('Summary Page'!$C$4+1))*('Summary Page'!$C$4+1)</f>
        <v>116.06400000000001</v>
      </c>
      <c r="FF34" s="13">
        <f t="shared" si="7"/>
        <v>38.475000000000001</v>
      </c>
      <c r="FI34" s="40">
        <f t="shared" si="8"/>
        <v>39</v>
      </c>
      <c r="FJ34" s="7">
        <f>((AVERAGE(C29:C34)*('Summary Page'!$C$2+1))*('Summary Page'!$C$2+1))*('Summary Page'!$C$2+1)</f>
        <v>53.850911999999987</v>
      </c>
      <c r="FK34" s="7">
        <f>((AVERAGE(C29:C34)*('Summary Page'!$C$3+1))*('Summary Page'!$C$3+1))*('Summary Page'!$C$3+1)</f>
        <v>67.3828125</v>
      </c>
      <c r="FL34" s="7">
        <f>((AVERAGE(C29:C34)*('Summary Page'!$C$4+1))*('Summary Page'!$C$4+1))*('Summary Page'!$C$4+1)</f>
        <v>59.616</v>
      </c>
      <c r="FO34" s="40">
        <f t="shared" si="15"/>
        <v>2</v>
      </c>
      <c r="FP34" s="7">
        <f>((AVERAGE(D29:D34)*('Summary Page'!$C$2+1))*('Summary Page'!$C$2+1))*('Summary Page'!$C$2+1)</f>
        <v>11.18642133333333</v>
      </c>
      <c r="FQ34" s="7">
        <f>((AVERAGE(D29:D34)*('Summary Page'!$C$3+1))*('Summary Page'!$C$3+1))*('Summary Page'!$C$3+1)</f>
        <v>13.997395833333336</v>
      </c>
      <c r="FR34" s="7">
        <f>((AVERAGE(D29:D34)*('Summary Page'!$C$4+1))*('Summary Page'!$C$4+1))*('Summary Page'!$C$4+1)</f>
        <v>12.383999999999999</v>
      </c>
      <c r="FU34" s="40">
        <f t="shared" si="16"/>
        <v>10</v>
      </c>
      <c r="FV34" s="7">
        <f>((AVERAGE(E29:E34)*('Summary Page'!$C$2+1))*('Summary Page'!$C$2+1))*('Summary Page'!$C$2+1)</f>
        <v>25.494634666666659</v>
      </c>
      <c r="FW34" s="7">
        <f>((AVERAGE(E29:E34)*('Summary Page'!$C$3+1))*('Summary Page'!$C$3+1))*('Summary Page'!$C$3+1)</f>
        <v>31.901041666666661</v>
      </c>
      <c r="FX34" s="7">
        <f>((AVERAGE(E29:E34)*('Summary Page'!$C$4+1))*('Summary Page'!$C$4+1))*('Summary Page'!$C$4+1)</f>
        <v>28.223999999999993</v>
      </c>
      <c r="GA34" s="40">
        <f t="shared" si="17"/>
        <v>67</v>
      </c>
      <c r="GB34" s="7">
        <f>((AVERAGE(F29:F34)*('Summary Page'!$C$2+1))*('Summary Page'!$C$2+1))*('Summary Page'!$C$2+1)</f>
        <v>106.40107733333332</v>
      </c>
      <c r="GC34" s="7">
        <f>((AVERAGE(F29:F34)*('Summary Page'!$C$3+1))*('Summary Page'!$C$3+1))*('Summary Page'!$C$3+1)</f>
        <v>133.13802083333337</v>
      </c>
      <c r="GD34" s="7">
        <f>((AVERAGE(F29:F34)*('Summary Page'!$C$4+1))*('Summary Page'!$C$4+1))*('Summary Page'!$C$4+1)</f>
        <v>117.79199999999999</v>
      </c>
      <c r="GG34" s="40">
        <f t="shared" si="18"/>
        <v>71</v>
      </c>
      <c r="GH34" s="7">
        <f>((AVERAGE(M29:M34)*('Summary Page'!$C$2+1))*('Summary Page'!$C$2+1))*('Summary Page'!$C$2+1)</f>
        <v>129.03406933333332</v>
      </c>
      <c r="GI34" s="7">
        <f>((AVERAGE(M29:M34)*('Summary Page'!$C$3+1))*('Summary Page'!$C$3+1))*('Summary Page'!$C$3+1)</f>
        <v>161.45833333333337</v>
      </c>
      <c r="GJ34" s="7">
        <f>((AVERAGE(M29:M34)*('Summary Page'!$C$4+1))*('Summary Page'!$C$4+1))*('Summary Page'!$C$4+1)</f>
        <v>142.84799999999998</v>
      </c>
      <c r="GM34" s="40">
        <f t="shared" si="19"/>
        <v>43</v>
      </c>
      <c r="GN34" s="7">
        <f>((AVERAGE(G29:G34)*('Summary Page'!$C$2+1))*('Summary Page'!$C$2+1))*('Summary Page'!$C$2+1)</f>
        <v>89.49137066666664</v>
      </c>
      <c r="GO34" s="7">
        <f>((AVERAGE(G29:G34)*('Summary Page'!$C$3+1))*('Summary Page'!$C$3+1))*('Summary Page'!$C$3+1)</f>
        <v>111.97916666666669</v>
      </c>
      <c r="GP34" s="7">
        <f>((AVERAGE(G29:G34)*('Summary Page'!$C$4+1))*('Summary Page'!$C$4+1))*('Summary Page'!$C$4+1)</f>
        <v>99.071999999999989</v>
      </c>
      <c r="GS34" s="40">
        <f t="shared" si="20"/>
        <v>44</v>
      </c>
      <c r="GT34" s="7">
        <f>((AVERAGE(H29:H34)*('Summary Page'!$C$2+1))*('Summary Page'!$C$2+1))*('Summary Page'!$C$2+1)</f>
        <v>53.850911999999987</v>
      </c>
      <c r="GU34" s="7">
        <f>((AVERAGE(H29:H34)*('Summary Page'!$C$3+1))*('Summary Page'!$C$3+1))*('Summary Page'!$C$3+1)</f>
        <v>67.3828125</v>
      </c>
      <c r="GV34" s="7">
        <f>((AVERAGE(H29:H34)*('Summary Page'!$C$4+1))*('Summary Page'!$C$4+1))*('Summary Page'!$C$4+1)</f>
        <v>59.616</v>
      </c>
      <c r="GY34" s="40">
        <f t="shared" si="21"/>
        <v>14</v>
      </c>
      <c r="GZ34" s="7">
        <f>((AVERAGE(J29:J34)*('Summary Page'!$C$2+1))*('Summary Page'!$C$2+1))*('Summary Page'!$C$2+1)</f>
        <v>11.966869333333332</v>
      </c>
      <c r="HA34" s="7">
        <f>((AVERAGE(J29:J34)*('Summary Page'!$C$3+1))*('Summary Page'!$C$3+1))*('Summary Page'!$C$3+1)</f>
        <v>14.973958333333336</v>
      </c>
      <c r="HB34" s="7">
        <f>((AVERAGE(J29:J34)*('Summary Page'!$C$4+1))*('Summary Page'!$C$4+1))*('Summary Page'!$C$4+1)</f>
        <v>13.247999999999999</v>
      </c>
      <c r="HE34" s="40">
        <f t="shared" si="22"/>
        <v>73</v>
      </c>
      <c r="HF34" s="7">
        <f>((AVERAGE(K29:K34)*('Summary Page'!$C$2+1))*('Summary Page'!$C$2+1))*('Summary Page'!$C$2+1)</f>
        <v>80.646293333333304</v>
      </c>
      <c r="HG34" s="7">
        <f>((AVERAGE(K29:K34)*('Summary Page'!$C$3+1))*('Summary Page'!$C$3+1))*('Summary Page'!$C$3+1)</f>
        <v>100.91145833333331</v>
      </c>
      <c r="HH34" s="7">
        <f>((AVERAGE(K29:K34)*('Summary Page'!$C$4+1))*('Summary Page'!$C$4+1))*('Summary Page'!$C$4+1)</f>
        <v>89.279999999999987</v>
      </c>
      <c r="HL34" s="7" t="e">
        <f>((AVERAGE(L29:L34)*('Summary Page'!$C$2+1))*('Summary Page'!$C$2+1))*('Summary Page'!$C$2+1)</f>
        <v>#DIV/0!</v>
      </c>
      <c r="HM34" s="7" t="e">
        <f>((AVERAGE(L29:L34)*('Summary Page'!$C$3+1))*('Summary Page'!$C$3+1))*('Summary Page'!$C$3+1)</f>
        <v>#DIV/0!</v>
      </c>
      <c r="HN34" s="7" t="e">
        <f>((AVERAGE(L29:L34)*('Summary Page'!$C$4+1))*('Summary Page'!$C$4+1))*('Summary Page'!$C$4+1)</f>
        <v>#DIV/0!</v>
      </c>
      <c r="HQ34" s="40">
        <f t="shared" si="23"/>
        <v>115</v>
      </c>
      <c r="HR34" s="7">
        <f>((AVERAGE(AL29:AL34)*('Summary Page'!$C$2+1))*('Summary Page'!$C$2+1))*('Summary Page'!$C$2+1)</f>
        <v>151.66706133333329</v>
      </c>
      <c r="HS34" s="7">
        <f>((AVERAGE(AL29:AL34)*('Summary Page'!$C$3+1))*('Summary Page'!$C$3+1))*('Summary Page'!$C$3+1)</f>
        <v>189.77864583333337</v>
      </c>
      <c r="HT34" s="7">
        <f>((AVERAGE(AL29:AL34)*('Summary Page'!$C$4+1))*('Summary Page'!$C$4+1))*('Summary Page'!$C$4+1)</f>
        <v>167.90399999999997</v>
      </c>
      <c r="HU34" s="7">
        <f t="shared" si="34"/>
        <v>100</v>
      </c>
      <c r="HV34" s="16">
        <f t="shared" si="32"/>
        <v>13.213483146067414</v>
      </c>
      <c r="HW34" s="16">
        <f t="shared" si="33"/>
        <v>13.992509363295881</v>
      </c>
      <c r="HX34" s="7">
        <f t="shared" si="31"/>
        <v>13.992509363295881</v>
      </c>
      <c r="HY34" s="7">
        <f>((AVERAGE(HV23:HV34,HX23:HX34)*('Summary Page'!$C$2+1))*('Summary Page'!$C$2+1))*('Summary Page'!$C$2+1)</f>
        <v>21.926593997503115</v>
      </c>
      <c r="HZ34" s="7">
        <f>((AVERAGE(HV23:HV34,HX23:HX34)*('Summary Page'!$C$3+1))*('Summary Page'!$C$3+1))*('Summary Page'!$C$3+1)</f>
        <v>27.43640761548065</v>
      </c>
      <c r="IA34" s="7">
        <f>((AVERAGE(HV23:HV34,HX23:HX34)*('Summary Page'!$C$4+1))*('Summary Page'!$C$4+1))*('Summary Page'!$C$4+1)</f>
        <v>24.273977528089883</v>
      </c>
      <c r="IB34" s="11">
        <f t="shared" si="35"/>
        <v>15.415730337078649</v>
      </c>
      <c r="IC34" s="11">
        <f t="shared" si="26"/>
        <v>16.324594257178529</v>
      </c>
      <c r="ID34" s="11">
        <f t="shared" si="27"/>
        <v>16.324594257178529</v>
      </c>
      <c r="IE34" s="11">
        <f t="shared" si="28"/>
        <v>25.5810263304203</v>
      </c>
      <c r="IF34" s="11">
        <f t="shared" si="29"/>
        <v>32.009142218060759</v>
      </c>
      <c r="IG34" s="11">
        <f t="shared" si="30"/>
        <v>28.319640449438197</v>
      </c>
    </row>
    <row r="35" spans="1:241" ht="15.75" x14ac:dyDescent="0.25">
      <c r="A35" s="10">
        <v>43955</v>
      </c>
      <c r="B35" s="10"/>
      <c r="C35" s="40">
        <v>80</v>
      </c>
      <c r="D35" s="40">
        <v>4</v>
      </c>
      <c r="E35" s="40">
        <v>20</v>
      </c>
      <c r="F35" s="40">
        <v>67</v>
      </c>
      <c r="G35" s="40">
        <v>60</v>
      </c>
      <c r="H35" s="40">
        <v>46</v>
      </c>
      <c r="I35" s="7">
        <f t="shared" si="1"/>
        <v>48.25</v>
      </c>
      <c r="J35" s="40">
        <v>16</v>
      </c>
      <c r="K35" s="40">
        <v>63</v>
      </c>
      <c r="M35" s="40">
        <v>79</v>
      </c>
      <c r="N35" s="10"/>
      <c r="O35" s="40">
        <v>45</v>
      </c>
      <c r="P35" s="40">
        <v>2</v>
      </c>
      <c r="Q35" s="40">
        <v>13</v>
      </c>
      <c r="R35" s="40">
        <v>67</v>
      </c>
      <c r="S35" s="40">
        <v>46</v>
      </c>
      <c r="T35" s="40">
        <v>63</v>
      </c>
      <c r="U35" s="7">
        <f t="shared" si="2"/>
        <v>47.25</v>
      </c>
      <c r="V35" s="40">
        <v>23</v>
      </c>
      <c r="W35" s="40">
        <v>64</v>
      </c>
      <c r="Y35" s="69">
        <v>74</v>
      </c>
      <c r="AG35" s="7" t="e">
        <f t="shared" si="3"/>
        <v>#DIV/0!</v>
      </c>
      <c r="AL35" s="40">
        <v>122</v>
      </c>
      <c r="AM35" s="40">
        <v>115</v>
      </c>
      <c r="AN35" s="40"/>
      <c r="AO35" s="40">
        <v>493.5</v>
      </c>
      <c r="AP35">
        <v>493</v>
      </c>
      <c r="EM35" s="13">
        <f t="shared" si="4"/>
        <v>52.375</v>
      </c>
      <c r="EN35" s="13">
        <f t="shared" si="9"/>
        <v>46.75</v>
      </c>
      <c r="EO35" s="13">
        <f t="shared" si="10"/>
        <v>46.75</v>
      </c>
      <c r="EP35" s="30">
        <f>((AVERAGE(EM30:EM35)*('Summary Page'!$C$2+1))*('Summary Page'!$C$2+1))*('Summary Page'!$C$2+1)</f>
        <v>70.890693333333317</v>
      </c>
      <c r="EQ35" s="7">
        <f>((AVERAGE(EM30:EM35)*('Summary Page'!$C$3+1))*('Summary Page'!$C$3+1))*('Summary Page'!$C$3+1)</f>
        <v>88.704427083333314</v>
      </c>
      <c r="ER35" s="7">
        <f>((AVERAGE(EM30:EM35)*('Summary Page'!$C$4+1))*('Summary Page'!$C$4+1))*('Summary Page'!$C$4+1)</f>
        <v>78.47999999999999</v>
      </c>
      <c r="ES35" s="7">
        <v>80</v>
      </c>
      <c r="ET35" s="13">
        <f t="shared" si="5"/>
        <v>48.25</v>
      </c>
      <c r="EU35" s="13">
        <f t="shared" si="11"/>
        <v>47.25</v>
      </c>
      <c r="EV35" s="13">
        <f t="shared" si="12"/>
        <v>47.25</v>
      </c>
      <c r="EW35" s="7">
        <f>((AVERAGE(ET30:ET35)*('Summary Page'!$C$2+1))*('Summary Page'!$C$2+1))*('Summary Page'!$C$2+1)</f>
        <v>68.874535999999992</v>
      </c>
      <c r="EX35" s="7">
        <f>((AVERAGE(ET30:ET35)*('Summary Page'!$C$3+1))*('Summary Page'!$C$3+1))*('Summary Page'!$C$3+1)</f>
        <v>86.181640625</v>
      </c>
      <c r="EY35" s="7">
        <f>((AVERAGE(ET30:ET35)*('Summary Page'!$C$4+1))*('Summary Page'!$C$4+1))*('Summary Page'!$C$4+1)</f>
        <v>76.24799999999999</v>
      </c>
      <c r="EZ35" s="13">
        <f t="shared" si="6"/>
        <v>71</v>
      </c>
      <c r="FA35" s="13">
        <f t="shared" si="13"/>
        <v>69</v>
      </c>
      <c r="FB35" s="13">
        <f t="shared" si="14"/>
        <v>69</v>
      </c>
      <c r="FC35" s="7">
        <f>((AVERAGE(EZ30:EZ35)*('Summary Page'!$C$2+1))*('Summary Page'!$C$2+1))*('Summary Page'!$C$2+1)</f>
        <v>105.10033066666664</v>
      </c>
      <c r="FD35" s="7">
        <f>((AVERAGE(EZ30:EZ35)*('Summary Page'!$C$3+1))*('Summary Page'!$C$3+1))*('Summary Page'!$C$3+1)</f>
        <v>131.51041666666663</v>
      </c>
      <c r="FE35" s="7">
        <f>((AVERAGE(EZ30:EZ35)*('Summary Page'!$C$4+1))*('Summary Page'!$C$4+1))*('Summary Page'!$C$4+1)</f>
        <v>116.35199999999999</v>
      </c>
      <c r="FF35" s="13">
        <f t="shared" si="7"/>
        <v>46.625</v>
      </c>
      <c r="FI35" s="40">
        <f t="shared" si="8"/>
        <v>45</v>
      </c>
      <c r="FJ35" s="7">
        <f>((AVERAGE(C30:C35)*('Summary Page'!$C$2+1))*('Summary Page'!$C$2+1))*('Summary Page'!$C$2+1)</f>
        <v>70.240319999999983</v>
      </c>
      <c r="FK35" s="7">
        <f>((AVERAGE(C30:C35)*('Summary Page'!$C$3+1))*('Summary Page'!$C$3+1))*('Summary Page'!$C$3+1)</f>
        <v>87.890625</v>
      </c>
      <c r="FL35" s="7">
        <f>((AVERAGE(C30:C35)*('Summary Page'!$C$4+1))*('Summary Page'!$C$4+1))*('Summary Page'!$C$4+1)</f>
        <v>77.759999999999991</v>
      </c>
      <c r="FO35" s="40">
        <f t="shared" si="15"/>
        <v>2</v>
      </c>
      <c r="FP35" s="7">
        <f>((AVERAGE(D30:D35)*('Summary Page'!$C$2+1))*('Summary Page'!$C$2+1))*('Summary Page'!$C$2+1)</f>
        <v>11.18642133333333</v>
      </c>
      <c r="FQ35" s="7">
        <f>((AVERAGE(D30:D35)*('Summary Page'!$C$3+1))*('Summary Page'!$C$3+1))*('Summary Page'!$C$3+1)</f>
        <v>13.997395833333336</v>
      </c>
      <c r="FR35" s="7">
        <f>((AVERAGE(D30:D35)*('Summary Page'!$C$4+1))*('Summary Page'!$C$4+1))*('Summary Page'!$C$4+1)</f>
        <v>12.383999999999999</v>
      </c>
      <c r="FU35" s="40">
        <f t="shared" si="16"/>
        <v>13</v>
      </c>
      <c r="FV35" s="7">
        <f>((AVERAGE(E30:E35)*('Summary Page'!$C$2+1))*('Summary Page'!$C$2+1))*('Summary Page'!$C$2+1)</f>
        <v>28.356277333333331</v>
      </c>
      <c r="FW35" s="7">
        <f>((AVERAGE(E30:E35)*('Summary Page'!$C$3+1))*('Summary Page'!$C$3+1))*('Summary Page'!$C$3+1)</f>
        <v>35.481770833333343</v>
      </c>
      <c r="FX35" s="7">
        <f>((AVERAGE(E30:E35)*('Summary Page'!$C$4+1))*('Summary Page'!$C$4+1))*('Summary Page'!$C$4+1)</f>
        <v>31.391999999999999</v>
      </c>
      <c r="GA35" s="40">
        <f t="shared" si="17"/>
        <v>67</v>
      </c>
      <c r="GB35" s="7">
        <f>((AVERAGE(F30:F35)*('Summary Page'!$C$2+1))*('Summary Page'!$C$2+1))*('Summary Page'!$C$2+1)</f>
        <v>99.89734399999999</v>
      </c>
      <c r="GC35" s="7">
        <f>((AVERAGE(F30:F35)*('Summary Page'!$C$3+1))*('Summary Page'!$C$3+1))*('Summary Page'!$C$3+1)</f>
        <v>125</v>
      </c>
      <c r="GD35" s="7">
        <f>((AVERAGE(F30:F35)*('Summary Page'!$C$4+1))*('Summary Page'!$C$4+1))*('Summary Page'!$C$4+1)</f>
        <v>110.592</v>
      </c>
      <c r="GG35" s="40">
        <f t="shared" si="18"/>
        <v>74</v>
      </c>
      <c r="GH35" s="7">
        <f>((AVERAGE(M30:M35)*('Summary Page'!$C$2+1))*('Summary Page'!$C$2+1))*('Summary Page'!$C$2+1)</f>
        <v>125.39197866666663</v>
      </c>
      <c r="GI35" s="7">
        <f>((AVERAGE(M30:M35)*('Summary Page'!$C$3+1))*('Summary Page'!$C$3+1))*('Summary Page'!$C$3+1)</f>
        <v>156.90104166666663</v>
      </c>
      <c r="GJ35" s="7">
        <f>((AVERAGE(M30:M35)*('Summary Page'!$C$4+1))*('Summary Page'!$C$4+1))*('Summary Page'!$C$4+1)</f>
        <v>138.81599999999997</v>
      </c>
      <c r="GM35" s="40">
        <f t="shared" si="19"/>
        <v>46</v>
      </c>
      <c r="GN35" s="7">
        <f>((AVERAGE(G30:G35)*('Summary Page'!$C$2+1))*('Summary Page'!$C$2+1))*('Summary Page'!$C$2+1)</f>
        <v>88.710922666666647</v>
      </c>
      <c r="GO35" s="7">
        <f>((AVERAGE(G30:G35)*('Summary Page'!$C$3+1))*('Summary Page'!$C$3+1))*('Summary Page'!$C$3+1)</f>
        <v>111.00260416666669</v>
      </c>
      <c r="GP35" s="7">
        <f>((AVERAGE(G30:G35)*('Summary Page'!$C$4+1))*('Summary Page'!$C$4+1))*('Summary Page'!$C$4+1)</f>
        <v>98.207999999999998</v>
      </c>
      <c r="GS35" s="40">
        <f t="shared" si="20"/>
        <v>63</v>
      </c>
      <c r="GT35" s="7">
        <f>((AVERAGE(H30:H35)*('Summary Page'!$C$2+1))*('Summary Page'!$C$2+1))*('Summary Page'!$C$2+1)</f>
        <v>58.533599999999986</v>
      </c>
      <c r="GU35" s="7">
        <f>((AVERAGE(H30:H35)*('Summary Page'!$C$3+1))*('Summary Page'!$C$3+1))*('Summary Page'!$C$3+1)</f>
        <v>73.2421875</v>
      </c>
      <c r="GV35" s="7">
        <f>((AVERAGE(H30:H35)*('Summary Page'!$C$4+1))*('Summary Page'!$C$4+1))*('Summary Page'!$C$4+1)</f>
        <v>64.8</v>
      </c>
      <c r="GY35" s="40">
        <f t="shared" si="21"/>
        <v>23</v>
      </c>
      <c r="GZ35" s="7">
        <f>((AVERAGE(J30:J35)*('Summary Page'!$C$2+1))*('Summary Page'!$C$2+1))*('Summary Page'!$C$2+1)</f>
        <v>15.348810666666665</v>
      </c>
      <c r="HA35" s="7">
        <f>((AVERAGE(J30:J35)*('Summary Page'!$C$3+1))*('Summary Page'!$C$3+1))*('Summary Page'!$C$3+1)</f>
        <v>19.205729166666671</v>
      </c>
      <c r="HB35" s="7">
        <f>((AVERAGE(J30:J35)*('Summary Page'!$C$4+1))*('Summary Page'!$C$4+1))*('Summary Page'!$C$4+1)</f>
        <v>16.992000000000001</v>
      </c>
      <c r="HE35" s="40">
        <f t="shared" si="22"/>
        <v>64</v>
      </c>
      <c r="HF35" s="7">
        <f>((AVERAGE(K30:K35)*('Summary Page'!$C$2+1))*('Summary Page'!$C$2+1))*('Summary Page'!$C$2+1)</f>
        <v>84.808682666666641</v>
      </c>
      <c r="HG35" s="7">
        <f>((AVERAGE(K30:K35)*('Summary Page'!$C$3+1))*('Summary Page'!$C$3+1))*('Summary Page'!$C$3+1)</f>
        <v>106.11979166666669</v>
      </c>
      <c r="HH35" s="7">
        <f>((AVERAGE(K30:K35)*('Summary Page'!$C$4+1))*('Summary Page'!$C$4+1))*('Summary Page'!$C$4+1)</f>
        <v>93.887999999999991</v>
      </c>
      <c r="HL35" s="7" t="e">
        <f>((AVERAGE(L30:L35)*('Summary Page'!$C$2+1))*('Summary Page'!$C$2+1))*('Summary Page'!$C$2+1)</f>
        <v>#DIV/0!</v>
      </c>
      <c r="HM35" s="7" t="e">
        <f>((AVERAGE(L30:L35)*('Summary Page'!$C$3+1))*('Summary Page'!$C$3+1))*('Summary Page'!$C$3+1)</f>
        <v>#DIV/0!</v>
      </c>
      <c r="HN35" s="7" t="e">
        <f>((AVERAGE(L30:L35)*('Summary Page'!$C$4+1))*('Summary Page'!$C$4+1))*('Summary Page'!$C$4+1)</f>
        <v>#DIV/0!</v>
      </c>
      <c r="HQ35" s="40">
        <f t="shared" si="23"/>
        <v>115</v>
      </c>
      <c r="HR35" s="7">
        <f>((AVERAGE(AL30:AL35)*('Summary Page'!$C$2+1))*('Summary Page'!$C$2+1))*('Summary Page'!$C$2+1)</f>
        <v>159.73169066666662</v>
      </c>
      <c r="HS35" s="7">
        <f>((AVERAGE(AL30:AL35)*('Summary Page'!$C$3+1))*('Summary Page'!$C$3+1))*('Summary Page'!$C$3+1)</f>
        <v>199.86979166666663</v>
      </c>
      <c r="HT35" s="7">
        <f>((AVERAGE(AL30:AL35)*('Summary Page'!$C$4+1))*('Summary Page'!$C$4+1))*('Summary Page'!$C$4+1)</f>
        <v>176.83199999999997</v>
      </c>
      <c r="HU35" s="7">
        <f t="shared" si="34"/>
        <v>100</v>
      </c>
      <c r="HV35" s="16">
        <f t="shared" si="32"/>
        <v>14.786516853932582</v>
      </c>
      <c r="HW35" s="16">
        <f t="shared" si="33"/>
        <v>14.771535580524343</v>
      </c>
      <c r="HX35" s="7">
        <f t="shared" si="31"/>
        <v>14.771535580524343</v>
      </c>
      <c r="HY35" s="7">
        <f>((AVERAGE(HV24:HV35,HX24:HX35)*('Summary Page'!$C$2+1))*('Summary Page'!$C$2+1))*('Summary Page'!$C$2+1)</f>
        <v>22.040786888389512</v>
      </c>
      <c r="HZ35" s="7">
        <f>((AVERAGE(HV24:HV35,HX24:HX35)*('Summary Page'!$C$3+1))*('Summary Page'!$C$3+1))*('Summary Page'!$C$3+1)</f>
        <v>27.579295411985022</v>
      </c>
      <c r="IA35" s="7">
        <f>((AVERAGE(HV24:HV35,HX24:HX35)*('Summary Page'!$C$4+1))*('Summary Page'!$C$4+1))*('Summary Page'!$C$4+1)</f>
        <v>24.400395505617976</v>
      </c>
      <c r="IB35" s="11">
        <f t="shared" si="35"/>
        <v>17.250936329588011</v>
      </c>
      <c r="IC35" s="11">
        <f t="shared" si="26"/>
        <v>17.233458177278401</v>
      </c>
      <c r="ID35" s="11">
        <f t="shared" si="27"/>
        <v>17.233458177278401</v>
      </c>
      <c r="IE35" s="11">
        <f t="shared" si="28"/>
        <v>25.714251369787764</v>
      </c>
      <c r="IF35" s="11">
        <f t="shared" si="29"/>
        <v>32.175844647315856</v>
      </c>
      <c r="IG35" s="11">
        <f t="shared" si="30"/>
        <v>28.467128089887638</v>
      </c>
    </row>
    <row r="36" spans="1:241" ht="15.75" x14ac:dyDescent="0.25">
      <c r="A36" s="10">
        <v>43984</v>
      </c>
      <c r="B36" s="10"/>
      <c r="C36" s="40">
        <v>93</v>
      </c>
      <c r="D36" s="40">
        <v>1</v>
      </c>
      <c r="E36" s="40">
        <v>19</v>
      </c>
      <c r="F36" s="40">
        <v>63</v>
      </c>
      <c r="G36" s="40">
        <v>63</v>
      </c>
      <c r="H36" s="40">
        <v>55</v>
      </c>
      <c r="I36" s="7">
        <f t="shared" si="1"/>
        <v>50</v>
      </c>
      <c r="J36" s="40">
        <v>24</v>
      </c>
      <c r="K36" s="40">
        <v>66</v>
      </c>
      <c r="M36" s="40">
        <v>77</v>
      </c>
      <c r="N36" s="10"/>
      <c r="O36" s="40">
        <v>52</v>
      </c>
      <c r="P36" s="40">
        <v>1</v>
      </c>
      <c r="Q36" s="40">
        <v>13</v>
      </c>
      <c r="R36" s="40">
        <v>56</v>
      </c>
      <c r="S36" s="40">
        <v>41</v>
      </c>
      <c r="T36" s="40">
        <v>37</v>
      </c>
      <c r="U36" s="7">
        <f t="shared" si="2"/>
        <v>36.75</v>
      </c>
      <c r="V36" s="40">
        <v>11</v>
      </c>
      <c r="W36" s="40">
        <v>54</v>
      </c>
      <c r="Y36" s="69">
        <v>59</v>
      </c>
      <c r="AG36" s="7" t="e">
        <f t="shared" si="3"/>
        <v>#DIV/0!</v>
      </c>
      <c r="AL36" s="40">
        <v>105</v>
      </c>
      <c r="AM36" s="40">
        <v>79</v>
      </c>
      <c r="AN36" s="40"/>
      <c r="AO36" s="40">
        <v>625</v>
      </c>
      <c r="AP36">
        <v>624</v>
      </c>
      <c r="EM36" s="13">
        <f t="shared" si="4"/>
        <v>54.625</v>
      </c>
      <c r="EN36" s="13">
        <f t="shared" si="9"/>
        <v>39.125</v>
      </c>
      <c r="EO36" s="13">
        <f t="shared" si="10"/>
        <v>39.125</v>
      </c>
      <c r="EP36" s="30">
        <f>((AVERAGE(EM31:EM36)*('Summary Page'!$C$2+1))*('Summary Page'!$C$2+1))*('Summary Page'!$C$2+1)</f>
        <v>71.931290666666655</v>
      </c>
      <c r="EQ36" s="7">
        <f>((AVERAGE(EM31:EM36)*('Summary Page'!$C$3+1))*('Summary Page'!$C$3+1))*('Summary Page'!$C$3+1)</f>
        <v>90.006510416666686</v>
      </c>
      <c r="ER36" s="7">
        <f>((AVERAGE(EM31:EM36)*('Summary Page'!$C$4+1))*('Summary Page'!$C$4+1))*('Summary Page'!$C$4+1)</f>
        <v>79.631999999999991</v>
      </c>
      <c r="ES36" s="7">
        <v>80</v>
      </c>
      <c r="ET36" s="13">
        <f t="shared" si="5"/>
        <v>50</v>
      </c>
      <c r="EU36" s="13">
        <f t="shared" si="11"/>
        <v>36.75</v>
      </c>
      <c r="EV36" s="13">
        <f t="shared" si="12"/>
        <v>36.75</v>
      </c>
      <c r="EW36" s="7">
        <f>((AVERAGE(ET31:ET36)*('Summary Page'!$C$2+1))*('Summary Page'!$C$2+1))*('Summary Page'!$C$2+1)</f>
        <v>68.419274666666652</v>
      </c>
      <c r="EX36" s="7">
        <f>((AVERAGE(ET31:ET36)*('Summary Page'!$C$3+1))*('Summary Page'!$C$3+1))*('Summary Page'!$C$3+1)</f>
        <v>85.611979166666686</v>
      </c>
      <c r="EY36" s="7">
        <f>((AVERAGE(ET31:ET36)*('Summary Page'!$C$4+1))*('Summary Page'!$C$4+1))*('Summary Page'!$C$4+1)</f>
        <v>75.744</v>
      </c>
      <c r="EZ36" s="13">
        <f t="shared" si="6"/>
        <v>71.5</v>
      </c>
      <c r="FA36" s="13">
        <f t="shared" si="13"/>
        <v>56.5</v>
      </c>
      <c r="FB36" s="13">
        <f t="shared" si="14"/>
        <v>56.5</v>
      </c>
      <c r="FC36" s="7">
        <f>((AVERAGE(EZ31:EZ36)*('Summary Page'!$C$2+1))*('Summary Page'!$C$2+1))*('Summary Page'!$C$2+1)</f>
        <v>105.23040533333331</v>
      </c>
      <c r="FD36" s="7">
        <f>((AVERAGE(EZ31:EZ36)*('Summary Page'!$C$3+1))*('Summary Page'!$C$3+1))*('Summary Page'!$C$3+1)</f>
        <v>131.67317708333337</v>
      </c>
      <c r="FE36" s="7">
        <f>((AVERAGE(EZ31:EZ36)*('Summary Page'!$C$4+1))*('Summary Page'!$C$4+1))*('Summary Page'!$C$4+1)</f>
        <v>116.496</v>
      </c>
      <c r="FF36" s="13">
        <f t="shared" si="7"/>
        <v>48.4</v>
      </c>
      <c r="FI36" s="40">
        <f t="shared" si="8"/>
        <v>52</v>
      </c>
      <c r="FJ36" s="7">
        <f>((AVERAGE(C31:C36)*('Summary Page'!$C$2+1))*('Summary Page'!$C$2+1))*('Summary Page'!$C$2+1)</f>
        <v>82.207189333333318</v>
      </c>
      <c r="FK36" s="7">
        <f>((AVERAGE(C31:C36)*('Summary Page'!$C$3+1))*('Summary Page'!$C$3+1))*('Summary Page'!$C$3+1)</f>
        <v>102.86458333333331</v>
      </c>
      <c r="FL36" s="7">
        <f>((AVERAGE(C31:C36)*('Summary Page'!$C$4+1))*('Summary Page'!$C$4+1))*('Summary Page'!$C$4+1)</f>
        <v>91.007999999999981</v>
      </c>
      <c r="FO36" s="40">
        <f t="shared" si="15"/>
        <v>1</v>
      </c>
      <c r="FP36" s="7">
        <f>((AVERAGE(D31:D36)*('Summary Page'!$C$2+1))*('Summary Page'!$C$2+1))*('Summary Page'!$C$2+1)</f>
        <v>9.1052266666666632</v>
      </c>
      <c r="FQ36" s="7">
        <f>((AVERAGE(D31:D36)*('Summary Page'!$C$3+1))*('Summary Page'!$C$3+1))*('Summary Page'!$C$3+1)</f>
        <v>11.393229166666664</v>
      </c>
      <c r="FR36" s="7">
        <f>((AVERAGE(D31:D36)*('Summary Page'!$C$4+1))*('Summary Page'!$C$4+1))*('Summary Page'!$C$4+1)</f>
        <v>10.079999999999998</v>
      </c>
      <c r="FU36" s="40">
        <f t="shared" si="16"/>
        <v>13</v>
      </c>
      <c r="FV36" s="7">
        <f>((AVERAGE(E31:E36)*('Summary Page'!$C$2+1))*('Summary Page'!$C$2+1))*('Summary Page'!$C$2+1)</f>
        <v>30.437471999999993</v>
      </c>
      <c r="FW36" s="7">
        <f>((AVERAGE(E31:E36)*('Summary Page'!$C$3+1))*('Summary Page'!$C$3+1))*('Summary Page'!$C$3+1)</f>
        <v>38.0859375</v>
      </c>
      <c r="FX36" s="7">
        <f>((AVERAGE(E31:E36)*('Summary Page'!$C$4+1))*('Summary Page'!$C$4+1))*('Summary Page'!$C$4+1)</f>
        <v>33.695999999999998</v>
      </c>
      <c r="GA36" s="40">
        <f t="shared" si="17"/>
        <v>56</v>
      </c>
      <c r="GB36" s="7">
        <f>((AVERAGE(F31:F36)*('Summary Page'!$C$2+1))*('Summary Page'!$C$2+1))*('Summary Page'!$C$2+1)</f>
        <v>91.572565333333316</v>
      </c>
      <c r="GC36" s="7">
        <f>((AVERAGE(F31:F36)*('Summary Page'!$C$3+1))*('Summary Page'!$C$3+1))*('Summary Page'!$C$3+1)</f>
        <v>114.58333333333331</v>
      </c>
      <c r="GD36" s="7">
        <f>((AVERAGE(F31:F36)*('Summary Page'!$C$4+1))*('Summary Page'!$C$4+1))*('Summary Page'!$C$4+1)</f>
        <v>101.37599999999999</v>
      </c>
      <c r="GG36" s="40">
        <f t="shared" si="18"/>
        <v>59</v>
      </c>
      <c r="GH36" s="7">
        <f>((AVERAGE(M31:M36)*('Summary Page'!$C$2+1))*('Summary Page'!$C$2+1))*('Summary Page'!$C$2+1)</f>
        <v>122.27018666666665</v>
      </c>
      <c r="GI36" s="7">
        <f>((AVERAGE(M31:M36)*('Summary Page'!$C$3+1))*('Summary Page'!$C$3+1))*('Summary Page'!$C$3+1)</f>
        <v>152.99479166666663</v>
      </c>
      <c r="GJ36" s="7">
        <f>((AVERAGE(M31:M36)*('Summary Page'!$C$4+1))*('Summary Page'!$C$4+1))*('Summary Page'!$C$4+1)</f>
        <v>135.35999999999999</v>
      </c>
      <c r="GM36" s="40">
        <f t="shared" si="19"/>
        <v>41</v>
      </c>
      <c r="GN36" s="7">
        <f>((AVERAGE(G31:G36)*('Summary Page'!$C$2+1))*('Summary Page'!$C$2+1))*('Summary Page'!$C$2+1)</f>
        <v>86.629727999999986</v>
      </c>
      <c r="GO36" s="7">
        <f>((AVERAGE(G31:G36)*('Summary Page'!$C$3+1))*('Summary Page'!$C$3+1))*('Summary Page'!$C$3+1)</f>
        <v>108.3984375</v>
      </c>
      <c r="GP36" s="7">
        <f>((AVERAGE(G31:G36)*('Summary Page'!$C$4+1))*('Summary Page'!$C$4+1))*('Summary Page'!$C$4+1)</f>
        <v>95.903999999999982</v>
      </c>
      <c r="GS36" s="40">
        <f t="shared" si="20"/>
        <v>37</v>
      </c>
      <c r="GT36" s="7">
        <f>((AVERAGE(H31:H36)*('Summary Page'!$C$2+1))*('Summary Page'!$C$2+1))*('Summary Page'!$C$2+1)</f>
        <v>65.037333333333322</v>
      </c>
      <c r="GU36" s="7">
        <f>((AVERAGE(H31:H36)*('Summary Page'!$C$3+1))*('Summary Page'!$C$3+1))*('Summary Page'!$C$3+1)</f>
        <v>81.380208333333314</v>
      </c>
      <c r="GV36" s="7">
        <f>((AVERAGE(H31:H36)*('Summary Page'!$C$4+1))*('Summary Page'!$C$4+1))*('Summary Page'!$C$4+1)</f>
        <v>71.999999999999986</v>
      </c>
      <c r="GY36" s="40">
        <f t="shared" si="21"/>
        <v>11</v>
      </c>
      <c r="GZ36" s="7">
        <f>((AVERAGE(J31:J36)*('Summary Page'!$C$2+1))*('Summary Page'!$C$2+1))*('Summary Page'!$C$2+1)</f>
        <v>20.031498666666668</v>
      </c>
      <c r="HA36" s="7">
        <f>((AVERAGE(J31:J36)*('Summary Page'!$C$3+1))*('Summary Page'!$C$3+1))*('Summary Page'!$C$3+1)</f>
        <v>25.065104166666671</v>
      </c>
      <c r="HB36" s="7">
        <f>((AVERAGE(J31:J36)*('Summary Page'!$C$4+1))*('Summary Page'!$C$4+1))*('Summary Page'!$C$4+1)</f>
        <v>22.175999999999998</v>
      </c>
      <c r="HE36" s="40">
        <f t="shared" si="22"/>
        <v>54</v>
      </c>
      <c r="HF36" s="7">
        <f>((AVERAGE(K31:K36)*('Summary Page'!$C$2+1))*('Summary Page'!$C$2+1))*('Summary Page'!$C$2+1)</f>
        <v>88.190623999999971</v>
      </c>
      <c r="HG36" s="7">
        <f>((AVERAGE(K31:K36)*('Summary Page'!$C$3+1))*('Summary Page'!$C$3+1))*('Summary Page'!$C$3+1)</f>
        <v>110.3515625</v>
      </c>
      <c r="HH36" s="7">
        <f>((AVERAGE(K31:K36)*('Summary Page'!$C$4+1))*('Summary Page'!$C$4+1))*('Summary Page'!$C$4+1)</f>
        <v>97.631999999999991</v>
      </c>
      <c r="HL36" s="7" t="e">
        <f>((AVERAGE(L31:L36)*('Summary Page'!$C$2+1))*('Summary Page'!$C$2+1))*('Summary Page'!$C$2+1)</f>
        <v>#DIV/0!</v>
      </c>
      <c r="HM36" s="7" t="e">
        <f>((AVERAGE(L31:L36)*('Summary Page'!$C$3+1))*('Summary Page'!$C$3+1))*('Summary Page'!$C$3+1)</f>
        <v>#DIV/0!</v>
      </c>
      <c r="HN36" s="7" t="e">
        <f>((AVERAGE(L31:L36)*('Summary Page'!$C$4+1))*('Summary Page'!$C$4+1))*('Summary Page'!$C$4+1)</f>
        <v>#DIV/0!</v>
      </c>
      <c r="HQ36" s="40">
        <f t="shared" si="23"/>
        <v>79</v>
      </c>
      <c r="HR36" s="7">
        <f>((AVERAGE(AL31:AL36)*('Summary Page'!$C$2+1))*('Summary Page'!$C$2+1))*('Summary Page'!$C$2+1)</f>
        <v>160.77228799999995</v>
      </c>
      <c r="HS36" s="7">
        <f>((AVERAGE(AL31:AL36)*('Summary Page'!$C$3+1))*('Summary Page'!$C$3+1))*('Summary Page'!$C$3+1)</f>
        <v>201.171875</v>
      </c>
      <c r="HT36" s="7">
        <f>((AVERAGE(AL31:AL36)*('Summary Page'!$C$4+1))*('Summary Page'!$C$4+1))*('Summary Page'!$C$4+1)</f>
        <v>177.98399999999998</v>
      </c>
      <c r="HU36" s="7">
        <f t="shared" si="34"/>
        <v>100</v>
      </c>
      <c r="HV36" s="16">
        <f t="shared" si="32"/>
        <v>18.726591760299623</v>
      </c>
      <c r="HW36" s="16">
        <f t="shared" si="33"/>
        <v>18.696629213483146</v>
      </c>
      <c r="HX36" s="7">
        <f t="shared" si="31"/>
        <v>18.696629213483146</v>
      </c>
      <c r="HY36" s="7">
        <f>((AVERAGE(HV25:HV36,HX25:HX36)*('Summary Page'!$C$2+1))*('Summary Page'!$C$2+1))*('Summary Page'!$C$2+1)</f>
        <v>22.692249713312894</v>
      </c>
      <c r="HZ36" s="7">
        <f>((AVERAGE(HV25:HV36,HX25:HX36)*('Summary Page'!$C$3+1))*('Summary Page'!$C$3+1))*('Summary Page'!$C$3+1)</f>
        <v>28.394460759278175</v>
      </c>
      <c r="IA36" s="7">
        <f>((AVERAGE(HV25:HV36,HX25:HX36)*('Summary Page'!$C$4+1))*('Summary Page'!$C$4+1))*('Summary Page'!$C$4+1)</f>
        <v>25.121601634320729</v>
      </c>
      <c r="IB36" s="11">
        <f t="shared" si="35"/>
        <v>21.847690387016229</v>
      </c>
      <c r="IC36" s="11">
        <f t="shared" si="26"/>
        <v>21.812734082397004</v>
      </c>
      <c r="ID36" s="11">
        <f t="shared" si="27"/>
        <v>21.812734082397004</v>
      </c>
      <c r="IE36" s="11">
        <f t="shared" si="28"/>
        <v>26.474291332198376</v>
      </c>
      <c r="IF36" s="11">
        <f t="shared" si="29"/>
        <v>33.126870885824538</v>
      </c>
      <c r="IG36" s="11">
        <f t="shared" si="30"/>
        <v>29.30853524004085</v>
      </c>
    </row>
    <row r="37" spans="1:241" ht="15.75" x14ac:dyDescent="0.25">
      <c r="A37" s="10">
        <v>44014</v>
      </c>
      <c r="B37" s="10"/>
      <c r="C37" s="40">
        <v>53</v>
      </c>
      <c r="D37" s="40">
        <v>2</v>
      </c>
      <c r="E37" s="40">
        <v>18</v>
      </c>
      <c r="F37" s="40">
        <v>56</v>
      </c>
      <c r="G37" s="40">
        <v>41</v>
      </c>
      <c r="H37" s="40">
        <v>41</v>
      </c>
      <c r="I37" s="7">
        <f t="shared" si="1"/>
        <v>39</v>
      </c>
      <c r="J37" s="40">
        <v>17</v>
      </c>
      <c r="K37" s="40">
        <v>55</v>
      </c>
      <c r="M37" s="40">
        <v>70</v>
      </c>
      <c r="N37" s="10"/>
      <c r="O37" s="40">
        <v>35</v>
      </c>
      <c r="P37" s="40">
        <v>2</v>
      </c>
      <c r="Q37" s="40">
        <v>13</v>
      </c>
      <c r="R37" s="40">
        <v>64</v>
      </c>
      <c r="S37" s="40">
        <v>52</v>
      </c>
      <c r="T37" s="40">
        <v>43</v>
      </c>
      <c r="U37" s="7">
        <f t="shared" si="2"/>
        <v>43</v>
      </c>
      <c r="V37" s="40">
        <v>10</v>
      </c>
      <c r="W37" s="40">
        <v>64</v>
      </c>
      <c r="Y37" s="69">
        <v>71</v>
      </c>
      <c r="AG37" s="7" t="e">
        <f t="shared" si="3"/>
        <v>#DIV/0!</v>
      </c>
      <c r="AL37" s="40">
        <v>83</v>
      </c>
      <c r="AM37" s="40">
        <v>88</v>
      </c>
      <c r="AN37" s="40"/>
      <c r="AO37" s="40">
        <v>634</v>
      </c>
      <c r="AP37">
        <v>546</v>
      </c>
      <c r="EM37" s="13">
        <f t="shared" si="4"/>
        <v>42</v>
      </c>
      <c r="EN37" s="13">
        <f t="shared" si="9"/>
        <v>43</v>
      </c>
      <c r="EO37" s="13">
        <f t="shared" ref="EO37:EO55" si="36">EN37*1.2</f>
        <v>51.6</v>
      </c>
      <c r="EP37" s="30">
        <f>((AVERAGE(EM32:EM37)*('Summary Page'!$C$2+1))*('Summary Page'!$C$2+1))*('Summary Page'!$C$2+1)</f>
        <v>70.56550666666665</v>
      </c>
      <c r="EQ37" s="7">
        <f>((AVERAGE(EM32:EM37)*('Summary Page'!$C$3+1))*('Summary Page'!$C$3+1))*('Summary Page'!$C$3+1)</f>
        <v>88.297526041666686</v>
      </c>
      <c r="ER37" s="7">
        <f>((AVERAGE(EM32:EM37)*('Summary Page'!$C$4+1))*('Summary Page'!$C$4+1))*('Summary Page'!$C$4+1)</f>
        <v>78.11999999999999</v>
      </c>
      <c r="ES37" s="7">
        <v>80</v>
      </c>
      <c r="ET37" s="13">
        <f t="shared" si="5"/>
        <v>39</v>
      </c>
      <c r="EU37" s="13">
        <f t="shared" si="11"/>
        <v>43</v>
      </c>
      <c r="EV37" s="13">
        <f t="shared" ref="EV37:EV55" si="37">EU37*1.2</f>
        <v>51.6</v>
      </c>
      <c r="EW37" s="7">
        <f>((AVERAGE(ET32:ET37)*('Summary Page'!$C$2+1))*('Summary Page'!$C$2+1))*('Summary Page'!$C$2+1)</f>
        <v>65.817781333333315</v>
      </c>
      <c r="EX37" s="7">
        <f>((AVERAGE(ET32:ET37)*('Summary Page'!$C$3+1))*('Summary Page'!$C$3+1))*('Summary Page'!$C$3+1)</f>
        <v>82.356770833333314</v>
      </c>
      <c r="EY37" s="7">
        <f>((AVERAGE(ET32:ET37)*('Summary Page'!$C$4+1))*('Summary Page'!$C$4+1))*('Summary Page'!$C$4+1)</f>
        <v>72.86399999999999</v>
      </c>
      <c r="EZ37" s="13">
        <f t="shared" si="6"/>
        <v>62.5</v>
      </c>
      <c r="FA37" s="13">
        <f t="shared" si="13"/>
        <v>67.5</v>
      </c>
      <c r="FB37" s="13">
        <f t="shared" ref="FB37:FB55" si="38">FA37*1.2</f>
        <v>81</v>
      </c>
      <c r="FC37" s="7">
        <f>((AVERAGE(EZ32:EZ37)*('Summary Page'!$C$2+1))*('Summary Page'!$C$2+1))*('Summary Page'!$C$2+1)</f>
        <v>103.14921066666663</v>
      </c>
      <c r="FD37" s="7">
        <f>((AVERAGE(EZ32:EZ37)*('Summary Page'!$C$3+1))*('Summary Page'!$C$3+1))*('Summary Page'!$C$3+1)</f>
        <v>129.06901041666663</v>
      </c>
      <c r="FE37" s="7">
        <f>((AVERAGE(EZ32:EZ37)*('Summary Page'!$C$4+1))*('Summary Page'!$C$4+1))*('Summary Page'!$C$4+1)</f>
        <v>114.19199999999999</v>
      </c>
      <c r="FF37" s="13">
        <f t="shared" si="7"/>
        <v>39.4</v>
      </c>
      <c r="FI37" s="40">
        <f t="shared" si="8"/>
        <v>35</v>
      </c>
      <c r="FJ37" s="7">
        <f>((AVERAGE(C32:C37)*('Summary Page'!$C$2+1))*('Summary Page'!$C$2+1))*('Summary Page'!$C$2+1)</f>
        <v>87.930474666666655</v>
      </c>
      <c r="FK37" s="7">
        <f>((AVERAGE(C32:C37)*('Summary Page'!$C$3+1))*('Summary Page'!$C$3+1))*('Summary Page'!$C$3+1)</f>
        <v>110.02604166666669</v>
      </c>
      <c r="FL37" s="7">
        <f>((AVERAGE(C32:C37)*('Summary Page'!$C$4+1))*('Summary Page'!$C$4+1))*('Summary Page'!$C$4+1)</f>
        <v>97.34399999999998</v>
      </c>
      <c r="FO37" s="40">
        <f t="shared" si="15"/>
        <v>2</v>
      </c>
      <c r="FP37" s="7">
        <f>((AVERAGE(D32:D37)*('Summary Page'!$C$2+1))*('Summary Page'!$C$2+1))*('Summary Page'!$C$2+1)</f>
        <v>7.0240319999999983</v>
      </c>
      <c r="FQ37" s="7">
        <f>((AVERAGE(D32:D37)*('Summary Page'!$C$3+1))*('Summary Page'!$C$3+1))*('Summary Page'!$C$3+1)</f>
        <v>8.7890625</v>
      </c>
      <c r="FR37" s="7">
        <f>((AVERAGE(D32:D37)*('Summary Page'!$C$4+1))*('Summary Page'!$C$4+1))*('Summary Page'!$C$4+1)</f>
        <v>7.7759999999999989</v>
      </c>
      <c r="FU37" s="40">
        <f t="shared" si="16"/>
        <v>13</v>
      </c>
      <c r="FV37" s="7">
        <f>((AVERAGE(E32:E37)*('Summary Page'!$C$2+1))*('Summary Page'!$C$2+1))*('Summary Page'!$C$2+1)</f>
        <v>28.616426666666658</v>
      </c>
      <c r="FW37" s="7">
        <f>((AVERAGE(E32:E37)*('Summary Page'!$C$3+1))*('Summary Page'!$C$3+1))*('Summary Page'!$C$3+1)</f>
        <v>35.807291666666657</v>
      </c>
      <c r="FX37" s="7">
        <f>((AVERAGE(E32:E37)*('Summary Page'!$C$4+1))*('Summary Page'!$C$4+1))*('Summary Page'!$C$4+1)</f>
        <v>31.679999999999993</v>
      </c>
      <c r="GA37" s="40">
        <f t="shared" si="17"/>
        <v>64</v>
      </c>
      <c r="GB37" s="7">
        <f>((AVERAGE(F32:F37)*('Summary Page'!$C$2+1))*('Summary Page'!$C$2+1))*('Summary Page'!$C$2+1)</f>
        <v>90.792117333333323</v>
      </c>
      <c r="GC37" s="7">
        <f>((AVERAGE(F32:F37)*('Summary Page'!$C$3+1))*('Summary Page'!$C$3+1))*('Summary Page'!$C$3+1)</f>
        <v>113.60677083333331</v>
      </c>
      <c r="GD37" s="7">
        <f>((AVERAGE(F32:F37)*('Summary Page'!$C$4+1))*('Summary Page'!$C$4+1))*('Summary Page'!$C$4+1)</f>
        <v>100.51199999999999</v>
      </c>
      <c r="GG37" s="40">
        <f t="shared" si="18"/>
        <v>71</v>
      </c>
      <c r="GH37" s="7">
        <f>((AVERAGE(M32:M37)*('Summary Page'!$C$2+1))*('Summary Page'!$C$2+1))*('Summary Page'!$C$2+1)</f>
        <v>118.88824533333333</v>
      </c>
      <c r="GI37" s="7">
        <f>((AVERAGE(M32:M37)*('Summary Page'!$C$3+1))*('Summary Page'!$C$3+1))*('Summary Page'!$C$3+1)</f>
        <v>148.76302083333337</v>
      </c>
      <c r="GJ37" s="7">
        <f>((AVERAGE(M32:M37)*('Summary Page'!$C$4+1))*('Summary Page'!$C$4+1))*('Summary Page'!$C$4+1)</f>
        <v>131.61600000000001</v>
      </c>
      <c r="GM37" s="40">
        <f t="shared" si="19"/>
        <v>52</v>
      </c>
      <c r="GN37" s="7">
        <f>((AVERAGE(G32:G37)*('Summary Page'!$C$2+1))*('Summary Page'!$C$2+1))*('Summary Page'!$C$2+1)</f>
        <v>76.744053333333312</v>
      </c>
      <c r="GO37" s="7">
        <f>((AVERAGE(G32:G37)*('Summary Page'!$C$3+1))*('Summary Page'!$C$3+1))*('Summary Page'!$C$3+1)</f>
        <v>96.028645833333314</v>
      </c>
      <c r="GP37" s="7">
        <f>((AVERAGE(G32:G37)*('Summary Page'!$C$4+1))*('Summary Page'!$C$4+1))*('Summary Page'!$C$4+1)</f>
        <v>84.95999999999998</v>
      </c>
      <c r="GS37" s="40">
        <f t="shared" si="20"/>
        <v>43</v>
      </c>
      <c r="GT37" s="7">
        <f>((AVERAGE(H32:H37)*('Summary Page'!$C$2+1))*('Summary Page'!$C$2+1))*('Summary Page'!$C$2+1)</f>
        <v>67.118527999999984</v>
      </c>
      <c r="GU37" s="7">
        <f>((AVERAGE(H32:H37)*('Summary Page'!$C$3+1))*('Summary Page'!$C$3+1))*('Summary Page'!$C$3+1)</f>
        <v>83.984375</v>
      </c>
      <c r="GV37" s="7">
        <f>((AVERAGE(H32:H37)*('Summary Page'!$C$4+1))*('Summary Page'!$C$4+1))*('Summary Page'!$C$4+1)</f>
        <v>74.304000000000002</v>
      </c>
      <c r="GY37" s="40">
        <f t="shared" si="21"/>
        <v>10</v>
      </c>
      <c r="GZ37" s="7">
        <f>((AVERAGE(J32:J37)*('Summary Page'!$C$2+1))*('Summary Page'!$C$2+1))*('Summary Page'!$C$2+1)</f>
        <v>22.632991999999998</v>
      </c>
      <c r="HA37" s="7">
        <f>((AVERAGE(J32:J37)*('Summary Page'!$C$3+1))*('Summary Page'!$C$3+1))*('Summary Page'!$C$3+1)</f>
        <v>28.3203125</v>
      </c>
      <c r="HB37" s="7">
        <f>((AVERAGE(J32:J37)*('Summary Page'!$C$4+1))*('Summary Page'!$C$4+1))*('Summary Page'!$C$4+1)</f>
        <v>25.055999999999997</v>
      </c>
      <c r="HE37" s="40">
        <f t="shared" si="22"/>
        <v>64</v>
      </c>
      <c r="HF37" s="7">
        <f>((AVERAGE(K32:K37)*('Summary Page'!$C$2+1))*('Summary Page'!$C$2+1))*('Summary Page'!$C$2+1)</f>
        <v>87.410175999999979</v>
      </c>
      <c r="HG37" s="7">
        <f>((AVERAGE(K32:K37)*('Summary Page'!$C$3+1))*('Summary Page'!$C$3+1))*('Summary Page'!$C$3+1)</f>
        <v>109.375</v>
      </c>
      <c r="HH37" s="7">
        <f>((AVERAGE(K32:K37)*('Summary Page'!$C$4+1))*('Summary Page'!$C$4+1))*('Summary Page'!$C$4+1)</f>
        <v>96.768000000000001</v>
      </c>
      <c r="HL37" s="7" t="e">
        <f>((AVERAGE(L32:L37)*('Summary Page'!$C$2+1))*('Summary Page'!$C$2+1))*('Summary Page'!$C$2+1)</f>
        <v>#DIV/0!</v>
      </c>
      <c r="HM37" s="7" t="e">
        <f>((AVERAGE(L32:L37)*('Summary Page'!$C$3+1))*('Summary Page'!$C$3+1))*('Summary Page'!$C$3+1)</f>
        <v>#DIV/0!</v>
      </c>
      <c r="HN37" s="7" t="e">
        <f>((AVERAGE(L32:L37)*('Summary Page'!$C$4+1))*('Summary Page'!$C$4+1))*('Summary Page'!$C$4+1)</f>
        <v>#DIV/0!</v>
      </c>
      <c r="HQ37" s="40">
        <f t="shared" ref="HQ37:HQ50" si="39">AM37</f>
        <v>88</v>
      </c>
      <c r="HR37" s="7">
        <f>((AVERAGE(AL32:AL37)*('Summary Page'!$C$2+1))*('Summary Page'!$C$2+1))*('Summary Page'!$C$2+1)</f>
        <v>156.60989866666662</v>
      </c>
      <c r="HS37" s="7">
        <f>((AVERAGE(AL32:AL37)*('Summary Page'!$C$3+1))*('Summary Page'!$C$3+1))*('Summary Page'!$C$3+1)</f>
        <v>195.96354166666663</v>
      </c>
      <c r="HT37" s="7">
        <f>((AVERAGE(AL32:AL37)*('Summary Page'!$C$4+1))*('Summary Page'!$C$4+1))*('Summary Page'!$C$4+1)</f>
        <v>173.37599999999998</v>
      </c>
      <c r="HU37" s="7">
        <f t="shared" si="34"/>
        <v>100</v>
      </c>
      <c r="HV37" s="16">
        <f t="shared" si="32"/>
        <v>18.99625468164794</v>
      </c>
      <c r="HW37" s="16">
        <f t="shared" si="33"/>
        <v>16.359550561797754</v>
      </c>
      <c r="HX37" s="7">
        <f t="shared" ref="HX37:HX50" si="40">HW37</f>
        <v>16.359550561797754</v>
      </c>
      <c r="HY37" s="7">
        <f>((AVERAGE(HV26:HV37,HX26:HX37)*('Summary Page'!$C$2+1))*('Summary Page'!$C$2+1))*('Summary Page'!$C$2+1)</f>
        <v>23.100676194756549</v>
      </c>
      <c r="HZ37" s="7">
        <f>((AVERAGE(HV26:HV37,HX26:HX37)*('Summary Page'!$C$3+1))*('Summary Page'!$C$3+1))*('Summary Page'!$C$3+1)</f>
        <v>28.905518492509366</v>
      </c>
      <c r="IA37" s="7">
        <f>((AVERAGE(HV26:HV37,HX26:HX37)*('Summary Page'!$C$4+1))*('Summary Page'!$C$4+1))*('Summary Page'!$C$4+1)</f>
        <v>25.573752808988761</v>
      </c>
      <c r="IB37" s="11">
        <f t="shared" si="35"/>
        <v>22.162297128589262</v>
      </c>
      <c r="IC37" s="11">
        <f t="shared" si="26"/>
        <v>19.08614232209738</v>
      </c>
      <c r="ID37" s="11">
        <f t="shared" si="27"/>
        <v>19.08614232209738</v>
      </c>
      <c r="IE37" s="11">
        <f t="shared" si="28"/>
        <v>26.950788893882638</v>
      </c>
      <c r="IF37" s="11">
        <f t="shared" si="29"/>
        <v>33.723104907927592</v>
      </c>
      <c r="IG37" s="11">
        <f t="shared" si="30"/>
        <v>29.83604494382022</v>
      </c>
    </row>
    <row r="38" spans="1:241" ht="15.75" x14ac:dyDescent="0.25">
      <c r="A38" s="10">
        <v>44054</v>
      </c>
      <c r="B38" s="10"/>
      <c r="C38" s="40">
        <v>31</v>
      </c>
      <c r="D38" s="40">
        <v>2</v>
      </c>
      <c r="E38" s="40">
        <v>17</v>
      </c>
      <c r="F38" s="40">
        <v>43</v>
      </c>
      <c r="G38" s="40">
        <v>39</v>
      </c>
      <c r="H38" s="40">
        <v>30</v>
      </c>
      <c r="I38" s="7">
        <f t="shared" si="1"/>
        <v>32.25</v>
      </c>
      <c r="J38" s="40">
        <v>7</v>
      </c>
      <c r="K38" s="40">
        <v>54</v>
      </c>
      <c r="M38" s="40">
        <v>53</v>
      </c>
      <c r="N38" s="10"/>
      <c r="O38" s="40">
        <v>40</v>
      </c>
      <c r="P38" s="40">
        <v>1</v>
      </c>
      <c r="Q38" s="40">
        <v>12</v>
      </c>
      <c r="R38" s="40">
        <v>40</v>
      </c>
      <c r="S38" s="40">
        <v>45</v>
      </c>
      <c r="T38" s="40">
        <v>29</v>
      </c>
      <c r="U38" s="7">
        <f t="shared" si="2"/>
        <v>31.5</v>
      </c>
      <c r="V38" s="40">
        <v>7</v>
      </c>
      <c r="W38" s="40">
        <v>53</v>
      </c>
      <c r="Y38" s="69">
        <v>54</v>
      </c>
      <c r="AG38" s="7" t="e">
        <f t="shared" si="3"/>
        <v>#DIV/0!</v>
      </c>
      <c r="AL38" s="40">
        <v>85</v>
      </c>
      <c r="AM38" s="40">
        <v>88</v>
      </c>
      <c r="AN38" s="40"/>
      <c r="AO38" s="40">
        <v>526</v>
      </c>
      <c r="AP38">
        <v>495</v>
      </c>
      <c r="EM38" s="13">
        <f t="shared" si="4"/>
        <v>33.625</v>
      </c>
      <c r="EN38" s="13">
        <f t="shared" si="9"/>
        <v>34.25</v>
      </c>
      <c r="EO38" s="13">
        <f t="shared" si="36"/>
        <v>41.1</v>
      </c>
      <c r="EP38" s="30">
        <f>((AVERAGE(EM33:EM38)*('Summary Page'!$C$2+1))*('Summary Page'!$C$2+1))*('Summary Page'!$C$2+1)</f>
        <v>68.972091999999975</v>
      </c>
      <c r="EQ38" s="7">
        <f>((AVERAGE(EM33:EM38)*('Summary Page'!$C$3+1))*('Summary Page'!$C$3+1))*('Summary Page'!$C$3+1)</f>
        <v>86.3037109375</v>
      </c>
      <c r="ER38" s="7">
        <f>((AVERAGE(EM33:EM38)*('Summary Page'!$C$4+1))*('Summary Page'!$C$4+1))*('Summary Page'!$C$4+1)</f>
        <v>76.355999999999995</v>
      </c>
      <c r="ES38" s="7">
        <v>80</v>
      </c>
      <c r="ET38" s="13">
        <f t="shared" si="5"/>
        <v>32.25</v>
      </c>
      <c r="EU38" s="13">
        <f t="shared" si="11"/>
        <v>31.5</v>
      </c>
      <c r="EV38" s="13">
        <f t="shared" si="37"/>
        <v>37.799999999999997</v>
      </c>
      <c r="EW38" s="7">
        <f>((AVERAGE(ET33:ET38)*('Summary Page'!$C$2+1))*('Summary Page'!$C$2+1))*('Summary Page'!$C$2+1)</f>
        <v>63.80162399999999</v>
      </c>
      <c r="EX38" s="7">
        <f>((AVERAGE(ET33:ET38)*('Summary Page'!$C$3+1))*('Summary Page'!$C$3+1))*('Summary Page'!$C$3+1)</f>
        <v>79.833984375</v>
      </c>
      <c r="EY38" s="7">
        <f>((AVERAGE(ET33:ET38)*('Summary Page'!$C$4+1))*('Summary Page'!$C$4+1))*('Summary Page'!$C$4+1)</f>
        <v>70.631999999999991</v>
      </c>
      <c r="EZ38" s="13">
        <f t="shared" si="6"/>
        <v>53.5</v>
      </c>
      <c r="FA38" s="13">
        <f t="shared" si="13"/>
        <v>53.5</v>
      </c>
      <c r="FB38" s="13">
        <f t="shared" si="38"/>
        <v>64.2</v>
      </c>
      <c r="FC38" s="7">
        <f>((AVERAGE(EZ33:EZ38)*('Summary Page'!$C$2+1))*('Summary Page'!$C$2+1))*('Summary Page'!$C$2+1)</f>
        <v>100.02741866666663</v>
      </c>
      <c r="FD38" s="7">
        <f>((AVERAGE(EZ33:EZ38)*('Summary Page'!$C$3+1))*('Summary Page'!$C$3+1))*('Summary Page'!$C$3+1)</f>
        <v>125.16276041666664</v>
      </c>
      <c r="FE38" s="7">
        <f>((AVERAGE(EZ33:EZ38)*('Summary Page'!$C$4+1))*('Summary Page'!$C$4+1))*('Summary Page'!$C$4+1)</f>
        <v>110.73599999999998</v>
      </c>
      <c r="FF38" s="13">
        <f t="shared" si="7"/>
        <v>33.125</v>
      </c>
      <c r="FI38" s="40">
        <f t="shared" si="8"/>
        <v>40</v>
      </c>
      <c r="FJ38" s="7">
        <f>((AVERAGE(C33:C38)*('Summary Page'!$C$2+1))*('Summary Page'!$C$2+1))*('Summary Page'!$C$2+1)</f>
        <v>92.873311999999984</v>
      </c>
      <c r="FK38" s="7">
        <f>((AVERAGE(C33:C38)*('Summary Page'!$C$3+1))*('Summary Page'!$C$3+1))*('Summary Page'!$C$3+1)</f>
        <v>116.2109375</v>
      </c>
      <c r="FL38" s="7">
        <f>((AVERAGE(C33:C38)*('Summary Page'!$C$4+1))*('Summary Page'!$C$4+1))*('Summary Page'!$C$4+1)</f>
        <v>102.81599999999999</v>
      </c>
      <c r="FO38" s="40">
        <f t="shared" si="15"/>
        <v>1</v>
      </c>
      <c r="FP38" s="7">
        <f>((AVERAGE(D33:D38)*('Summary Page'!$C$2+1))*('Summary Page'!$C$2+1))*('Summary Page'!$C$2+1)</f>
        <v>3.6420906666666659</v>
      </c>
      <c r="FQ38" s="7">
        <f>((AVERAGE(D33:D38)*('Summary Page'!$C$3+1))*('Summary Page'!$C$3+1))*('Summary Page'!$C$3+1)</f>
        <v>4.5572916666666679</v>
      </c>
      <c r="FR38" s="7">
        <f>((AVERAGE(D33:D38)*('Summary Page'!$C$4+1))*('Summary Page'!$C$4+1))*('Summary Page'!$C$4+1)</f>
        <v>4.032</v>
      </c>
      <c r="FU38" s="40">
        <f t="shared" si="16"/>
        <v>12</v>
      </c>
      <c r="FV38" s="7">
        <f>((AVERAGE(E33:E38)*('Summary Page'!$C$2+1))*('Summary Page'!$C$2+1))*('Summary Page'!$C$2+1)</f>
        <v>27.835978666666659</v>
      </c>
      <c r="FW38" s="7">
        <f>((AVERAGE(E33:E38)*('Summary Page'!$C$3+1))*('Summary Page'!$C$3+1))*('Summary Page'!$C$3+1)</f>
        <v>34.830729166666657</v>
      </c>
      <c r="FX38" s="7">
        <f>((AVERAGE(E33:E38)*('Summary Page'!$C$4+1))*('Summary Page'!$C$4+1))*('Summary Page'!$C$4+1)</f>
        <v>30.815999999999995</v>
      </c>
      <c r="GA38" s="40">
        <f t="shared" si="17"/>
        <v>40</v>
      </c>
      <c r="GB38" s="7">
        <f>((AVERAGE(F33:F38)*('Summary Page'!$C$2+1))*('Summary Page'!$C$2+1))*('Summary Page'!$C$2+1)</f>
        <v>87.930474666666655</v>
      </c>
      <c r="GC38" s="7">
        <f>((AVERAGE(F33:F38)*('Summary Page'!$C$3+1))*('Summary Page'!$C$3+1))*('Summary Page'!$C$3+1)</f>
        <v>110.02604166666669</v>
      </c>
      <c r="GD38" s="7">
        <f>((AVERAGE(F33:F38)*('Summary Page'!$C$4+1))*('Summary Page'!$C$4+1))*('Summary Page'!$C$4+1)</f>
        <v>97.34399999999998</v>
      </c>
      <c r="GG38" s="40">
        <f t="shared" si="18"/>
        <v>54</v>
      </c>
      <c r="GH38" s="7">
        <f>((AVERAGE(M33:M38)*('Summary Page'!$C$2+1))*('Summary Page'!$C$2+1))*('Summary Page'!$C$2+1)</f>
        <v>113.68525866666664</v>
      </c>
      <c r="GI38" s="7">
        <f>((AVERAGE(M33:M38)*('Summary Page'!$C$3+1))*('Summary Page'!$C$3+1))*('Summary Page'!$C$3+1)</f>
        <v>142.25260416666663</v>
      </c>
      <c r="GJ38" s="7">
        <f>((AVERAGE(M33:M38)*('Summary Page'!$C$4+1))*('Summary Page'!$C$4+1))*('Summary Page'!$C$4+1)</f>
        <v>125.85599999999997</v>
      </c>
      <c r="GM38" s="40">
        <f t="shared" si="19"/>
        <v>45</v>
      </c>
      <c r="GN38" s="7">
        <f>((AVERAGE(G33:G38)*('Summary Page'!$C$2+1))*('Summary Page'!$C$2+1))*('Summary Page'!$C$2+1)</f>
        <v>72.581663999999989</v>
      </c>
      <c r="GO38" s="7">
        <f>((AVERAGE(G33:G38)*('Summary Page'!$C$3+1))*('Summary Page'!$C$3+1))*('Summary Page'!$C$3+1)</f>
        <v>90.8203125</v>
      </c>
      <c r="GP38" s="7">
        <f>((AVERAGE(G33:G38)*('Summary Page'!$C$4+1))*('Summary Page'!$C$4+1))*('Summary Page'!$C$4+1)</f>
        <v>80.35199999999999</v>
      </c>
      <c r="GS38" s="40">
        <f t="shared" si="20"/>
        <v>29</v>
      </c>
      <c r="GT38" s="7">
        <f>((AVERAGE(H33:H38)*('Summary Page'!$C$2+1))*('Summary Page'!$C$2+1))*('Summary Page'!$C$2+1)</f>
        <v>66.858378666666667</v>
      </c>
      <c r="GU38" s="7">
        <f>((AVERAGE(H33:H38)*('Summary Page'!$C$3+1))*('Summary Page'!$C$3+1))*('Summary Page'!$C$3+1)</f>
        <v>83.658854166666686</v>
      </c>
      <c r="GV38" s="7">
        <f>((AVERAGE(H33:H38)*('Summary Page'!$C$4+1))*('Summary Page'!$C$4+1))*('Summary Page'!$C$4+1)</f>
        <v>74.015999999999991</v>
      </c>
      <c r="GY38" s="40">
        <f t="shared" si="21"/>
        <v>7</v>
      </c>
      <c r="GZ38" s="7">
        <f>((AVERAGE(J33:J38)*('Summary Page'!$C$2+1))*('Summary Page'!$C$2+1))*('Summary Page'!$C$2+1)</f>
        <v>22.893141333333329</v>
      </c>
      <c r="HA38" s="7">
        <f>((AVERAGE(J33:J38)*('Summary Page'!$C$3+1))*('Summary Page'!$C$3+1))*('Summary Page'!$C$3+1)</f>
        <v>28.645833333333329</v>
      </c>
      <c r="HB38" s="7">
        <f>((AVERAGE(J33:J38)*('Summary Page'!$C$4+1))*('Summary Page'!$C$4+1))*('Summary Page'!$C$4+1)</f>
        <v>25.343999999999998</v>
      </c>
      <c r="HE38" s="40">
        <f t="shared" si="22"/>
        <v>53</v>
      </c>
      <c r="HF38" s="7">
        <f>((AVERAGE(K33:K38)*('Summary Page'!$C$2+1))*('Summary Page'!$C$2+1))*('Summary Page'!$C$2+1)</f>
        <v>86.369578666666655</v>
      </c>
      <c r="HG38" s="7">
        <f>((AVERAGE(K33:K38)*('Summary Page'!$C$3+1))*('Summary Page'!$C$3+1))*('Summary Page'!$C$3+1)</f>
        <v>108.07291666666669</v>
      </c>
      <c r="HH38" s="7">
        <f>((AVERAGE(K33:K38)*('Summary Page'!$C$4+1))*('Summary Page'!$C$4+1))*('Summary Page'!$C$4+1)</f>
        <v>95.616</v>
      </c>
      <c r="HL38" s="7" t="e">
        <f>((AVERAGE(L33:L38)*('Summary Page'!$C$2+1))*('Summary Page'!$C$2+1))*('Summary Page'!$C$2+1)</f>
        <v>#DIV/0!</v>
      </c>
      <c r="HM38" s="7" t="e">
        <f>((AVERAGE(L33:L38)*('Summary Page'!$C$3+1))*('Summary Page'!$C$3+1))*('Summary Page'!$C$3+1)</f>
        <v>#DIV/0!</v>
      </c>
      <c r="HN38" s="7" t="e">
        <f>((AVERAGE(L33:L38)*('Summary Page'!$C$4+1))*('Summary Page'!$C$4+1))*('Summary Page'!$C$4+1)</f>
        <v>#DIV/0!</v>
      </c>
      <c r="HQ38" s="40">
        <f t="shared" si="39"/>
        <v>88</v>
      </c>
      <c r="HR38" s="7">
        <f>((AVERAGE(AL33:AL38)*('Summary Page'!$C$2+1))*('Summary Page'!$C$2+1))*('Summary Page'!$C$2+1)</f>
        <v>155.5693013333333</v>
      </c>
      <c r="HS38" s="7">
        <f>((AVERAGE(AL33:AL38)*('Summary Page'!$C$3+1))*('Summary Page'!$C$3+1))*('Summary Page'!$C$3+1)</f>
        <v>194.66145833333337</v>
      </c>
      <c r="HT38" s="7">
        <f>((AVERAGE(AL33:AL38)*('Summary Page'!$C$4+1))*('Summary Page'!$C$4+1))*('Summary Page'!$C$4+1)</f>
        <v>172.22399999999996</v>
      </c>
      <c r="HU38" s="7">
        <f t="shared" si="34"/>
        <v>100</v>
      </c>
      <c r="HV38" s="16">
        <f t="shared" si="32"/>
        <v>15.760299625468168</v>
      </c>
      <c r="HW38" s="16">
        <f t="shared" si="33"/>
        <v>14.831460674157304</v>
      </c>
      <c r="HX38" s="7">
        <f t="shared" si="40"/>
        <v>14.831460674157304</v>
      </c>
      <c r="HY38" s="7">
        <f>((AVERAGE(HV27:HV38,HX27:HX38)*('Summary Page'!$C$2+1))*('Summary Page'!$C$2+1))*('Summary Page'!$C$2+1)</f>
        <v>23.270211715355796</v>
      </c>
      <c r="HZ38" s="7">
        <f>((AVERAGE(HV27:HV38,HX27:HX38)*('Summary Page'!$C$3+1))*('Summary Page'!$C$3+1))*('Summary Page'!$C$3+1)</f>
        <v>29.117655664794007</v>
      </c>
      <c r="IA38" s="7">
        <f>((AVERAGE(HV27:HV38,HX27:HX38)*('Summary Page'!$C$4+1))*('Summary Page'!$C$4+1))*('Summary Page'!$C$4+1)</f>
        <v>25.761438202247181</v>
      </c>
      <c r="IB38" s="11">
        <f t="shared" si="35"/>
        <v>18.387016229712863</v>
      </c>
      <c r="IC38" s="11">
        <f t="shared" si="26"/>
        <v>17.303370786516854</v>
      </c>
      <c r="ID38" s="11">
        <f t="shared" si="27"/>
        <v>17.303370786516854</v>
      </c>
      <c r="IE38" s="11">
        <f t="shared" si="28"/>
        <v>27.148580334581762</v>
      </c>
      <c r="IF38" s="11">
        <f t="shared" si="29"/>
        <v>33.970598275593005</v>
      </c>
      <c r="IG38" s="11">
        <f t="shared" si="30"/>
        <v>30.055011235955043</v>
      </c>
    </row>
    <row r="39" spans="1:241" ht="15.75" x14ac:dyDescent="0.25">
      <c r="A39" s="10">
        <v>44078</v>
      </c>
      <c r="B39" s="40">
        <v>16</v>
      </c>
      <c r="C39" s="40">
        <v>54</v>
      </c>
      <c r="D39" s="40">
        <v>3</v>
      </c>
      <c r="E39" s="40">
        <v>14</v>
      </c>
      <c r="F39" s="40">
        <v>32</v>
      </c>
      <c r="G39" s="40">
        <v>36</v>
      </c>
      <c r="H39" s="40">
        <v>26</v>
      </c>
      <c r="I39" s="7">
        <f t="shared" si="1"/>
        <v>27</v>
      </c>
      <c r="J39" s="40">
        <v>6</v>
      </c>
      <c r="K39" s="40">
        <v>39</v>
      </c>
      <c r="L39" s="40">
        <v>39</v>
      </c>
      <c r="M39" s="40">
        <v>90</v>
      </c>
      <c r="N39" s="40"/>
      <c r="O39" s="40">
        <v>49</v>
      </c>
      <c r="P39" s="40">
        <v>1</v>
      </c>
      <c r="Q39" s="40">
        <v>15</v>
      </c>
      <c r="R39" s="40">
        <v>54</v>
      </c>
      <c r="S39" s="40">
        <v>45</v>
      </c>
      <c r="T39" s="40">
        <v>40</v>
      </c>
      <c r="U39" s="7">
        <f t="shared" si="2"/>
        <v>38.5</v>
      </c>
      <c r="V39" s="40">
        <v>13</v>
      </c>
      <c r="W39" s="40">
        <v>25</v>
      </c>
      <c r="X39" s="40">
        <v>38</v>
      </c>
      <c r="Y39" s="69">
        <v>68</v>
      </c>
      <c r="Z39" s="40"/>
      <c r="AA39" s="40"/>
      <c r="AB39" s="40"/>
      <c r="AC39" s="40"/>
      <c r="AD39" s="40"/>
      <c r="AE39" s="40"/>
      <c r="AF39" s="40"/>
      <c r="AG39" s="7" t="e">
        <f t="shared" si="3"/>
        <v>#DIV/0!</v>
      </c>
      <c r="AH39" s="40"/>
      <c r="AI39" s="40"/>
      <c r="AJ39" s="40"/>
      <c r="AK39" s="40"/>
      <c r="AL39" s="40">
        <v>102</v>
      </c>
      <c r="AM39" s="40">
        <v>102</v>
      </c>
      <c r="AN39" s="40"/>
      <c r="AO39" s="40">
        <v>434</v>
      </c>
      <c r="AP39" s="40">
        <v>428</v>
      </c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13">
        <f t="shared" si="4"/>
        <v>37</v>
      </c>
      <c r="EN39" s="13">
        <f t="shared" si="9"/>
        <v>37.222222222222221</v>
      </c>
      <c r="EO39" s="13">
        <f t="shared" si="36"/>
        <v>44.666666666666664</v>
      </c>
      <c r="EP39" s="30">
        <f>((AVERAGE(EM34:EM39)*('Summary Page'!$C$2+1))*('Summary Page'!$C$2+1))*('Summary Page'!$C$2+1)</f>
        <v>68.484311999999989</v>
      </c>
      <c r="EQ39" s="7">
        <f>((AVERAGE(EM34:EM39)*('Summary Page'!$C$3+1))*('Summary Page'!$C$3+1))*('Summary Page'!$C$3+1)</f>
        <v>85.693359375</v>
      </c>
      <c r="ER39" s="7">
        <f>((AVERAGE(EM34:EM39)*('Summary Page'!$C$4+1))*('Summary Page'!$C$4+1))*('Summary Page'!$C$4+1)</f>
        <v>75.815999999999988</v>
      </c>
      <c r="ES39" s="7">
        <v>80</v>
      </c>
      <c r="ET39" s="13">
        <f t="shared" si="5"/>
        <v>27</v>
      </c>
      <c r="EU39" s="13">
        <f t="shared" si="11"/>
        <v>38.5</v>
      </c>
      <c r="EV39" s="13">
        <f t="shared" si="37"/>
        <v>46.199999999999996</v>
      </c>
      <c r="EW39" s="7">
        <f>((AVERAGE(ET34:ET39)*('Summary Page'!$C$2+1))*('Summary Page'!$C$2+1))*('Summary Page'!$C$2+1)</f>
        <v>61.720429333333314</v>
      </c>
      <c r="EX39" s="7">
        <f>((AVERAGE(ET34:ET39)*('Summary Page'!$C$3+1))*('Summary Page'!$C$3+1))*('Summary Page'!$C$3+1)</f>
        <v>77.229817708333314</v>
      </c>
      <c r="EY39" s="7">
        <f>((AVERAGE(ET34:ET39)*('Summary Page'!$C$4+1))*('Summary Page'!$C$4+1))*('Summary Page'!$C$4+1)</f>
        <v>68.327999999999989</v>
      </c>
      <c r="EZ39" s="13">
        <f t="shared" si="6"/>
        <v>56</v>
      </c>
      <c r="FA39" s="13">
        <f t="shared" si="13"/>
        <v>43.666666666666664</v>
      </c>
      <c r="FB39" s="13">
        <f t="shared" si="38"/>
        <v>52.4</v>
      </c>
      <c r="FC39" s="7">
        <f>((AVERAGE(EZ34:EZ39)*('Summary Page'!$C$2+1))*('Summary Page'!$C$2+1))*('Summary Page'!$C$2+1)</f>
        <v>97.425925333333311</v>
      </c>
      <c r="FD39" s="7">
        <f>((AVERAGE(EZ34:EZ39)*('Summary Page'!$C$3+1))*('Summary Page'!$C$3+1))*('Summary Page'!$C$3+1)</f>
        <v>121.90755208333331</v>
      </c>
      <c r="FE39" s="7">
        <f>((AVERAGE(EZ34:EZ39)*('Summary Page'!$C$4+1))*('Summary Page'!$C$4+1))*('Summary Page'!$C$4+1)</f>
        <v>107.85599999999998</v>
      </c>
      <c r="FF39" s="13">
        <f t="shared" si="7"/>
        <v>31.90909090909091</v>
      </c>
      <c r="FI39" s="40">
        <f t="shared" si="8"/>
        <v>49</v>
      </c>
      <c r="FJ39" s="7">
        <f>((AVERAGE(C34:C39)*('Summary Page'!$C$2+1))*('Summary Page'!$C$2+1))*('Summary Page'!$C$2+1)</f>
        <v>97.295850666666638</v>
      </c>
      <c r="FK39" s="7">
        <f>((AVERAGE(C34:C39)*('Summary Page'!$C$3+1))*('Summary Page'!$C$3+1))*('Summary Page'!$C$3+1)</f>
        <v>121.74479166666669</v>
      </c>
      <c r="FL39" s="7">
        <f>((AVERAGE(C34:C39)*('Summary Page'!$C$4+1))*('Summary Page'!$C$4+1))*('Summary Page'!$C$4+1)</f>
        <v>107.71199999999999</v>
      </c>
      <c r="FO39" s="40">
        <f t="shared" si="15"/>
        <v>1</v>
      </c>
      <c r="FP39" s="7">
        <f>((AVERAGE(D34:D39)*('Summary Page'!$C$2+1))*('Summary Page'!$C$2+1))*('Summary Page'!$C$2+1)</f>
        <v>3.9022399999999995</v>
      </c>
      <c r="FQ39" s="7">
        <f>((AVERAGE(D34:D39)*('Summary Page'!$C$3+1))*('Summary Page'!$C$3+1))*('Summary Page'!$C$3+1)</f>
        <v>4.8828125</v>
      </c>
      <c r="FR39" s="7">
        <f>((AVERAGE(D34:D39)*('Summary Page'!$C$4+1))*('Summary Page'!$C$4+1))*('Summary Page'!$C$4+1)</f>
        <v>4.3199999999999994</v>
      </c>
      <c r="FU39" s="40">
        <f t="shared" si="16"/>
        <v>15</v>
      </c>
      <c r="FV39" s="7">
        <f>((AVERAGE(E34:E39)*('Summary Page'!$C$2+1))*('Summary Page'!$C$2+1))*('Summary Page'!$C$2+1)</f>
        <v>28.096127999999993</v>
      </c>
      <c r="FW39" s="7">
        <f>((AVERAGE(E34:E39)*('Summary Page'!$C$3+1))*('Summary Page'!$C$3+1))*('Summary Page'!$C$3+1)</f>
        <v>35.15625</v>
      </c>
      <c r="FX39" s="7">
        <f>((AVERAGE(E34:E39)*('Summary Page'!$C$4+1))*('Summary Page'!$C$4+1))*('Summary Page'!$C$4+1)</f>
        <v>31.103999999999996</v>
      </c>
      <c r="GA39" s="40">
        <f t="shared" si="17"/>
        <v>54</v>
      </c>
      <c r="GB39" s="7">
        <f>((AVERAGE(F34:F39)*('Summary Page'!$C$2+1))*('Summary Page'!$C$2+1))*('Summary Page'!$C$2+1)</f>
        <v>80.906442666666663</v>
      </c>
      <c r="GC39" s="7">
        <f>((AVERAGE(F34:F39)*('Summary Page'!$C$3+1))*('Summary Page'!$C$3+1))*('Summary Page'!$C$3+1)</f>
        <v>101.23697916666669</v>
      </c>
      <c r="GD39" s="7">
        <f>((AVERAGE(F34:F39)*('Summary Page'!$C$4+1))*('Summary Page'!$C$4+1))*('Summary Page'!$C$4+1)</f>
        <v>89.567999999999998</v>
      </c>
      <c r="GG39" s="40">
        <f t="shared" si="18"/>
        <v>68</v>
      </c>
      <c r="GH39" s="7">
        <f>((AVERAGE(M34:M39)*('Summary Page'!$C$2+1))*('Summary Page'!$C$2+1))*('Summary Page'!$C$2+1)</f>
        <v>116.28675199999996</v>
      </c>
      <c r="GI39" s="7">
        <f>((AVERAGE(M34:M39)*('Summary Page'!$C$3+1))*('Summary Page'!$C$3+1))*('Summary Page'!$C$3+1)</f>
        <v>145.5078125</v>
      </c>
      <c r="GJ39" s="7">
        <f>((AVERAGE(M34:M39)*('Summary Page'!$C$4+1))*('Summary Page'!$C$4+1))*('Summary Page'!$C$4+1)</f>
        <v>128.73599999999999</v>
      </c>
      <c r="GM39" s="40">
        <f t="shared" si="19"/>
        <v>45</v>
      </c>
      <c r="GN39" s="7">
        <f>((AVERAGE(G34:G39)*('Summary Page'!$C$2+1))*('Summary Page'!$C$2+1))*('Summary Page'!$C$2+1)</f>
        <v>73.882410666666658</v>
      </c>
      <c r="GO39" s="7">
        <f>((AVERAGE(G34:G39)*('Summary Page'!$C$3+1))*('Summary Page'!$C$3+1))*('Summary Page'!$C$3+1)</f>
        <v>92.447916666666686</v>
      </c>
      <c r="GP39" s="7">
        <f>((AVERAGE(G34:G39)*('Summary Page'!$C$4+1))*('Summary Page'!$C$4+1))*('Summary Page'!$C$4+1)</f>
        <v>81.791999999999987</v>
      </c>
      <c r="GS39" s="40">
        <f t="shared" si="20"/>
        <v>40</v>
      </c>
      <c r="GT39" s="7">
        <f>((AVERAGE(H34:H39)*('Summary Page'!$C$2+1))*('Summary Page'!$C$2+1))*('Summary Page'!$C$2+1)</f>
        <v>63.996735999999984</v>
      </c>
      <c r="GU39" s="7">
        <f>((AVERAGE(H34:H39)*('Summary Page'!$C$3+1))*('Summary Page'!$C$3+1))*('Summary Page'!$C$3+1)</f>
        <v>80.078125</v>
      </c>
      <c r="GV39" s="7">
        <f>((AVERAGE(H34:H39)*('Summary Page'!$C$4+1))*('Summary Page'!$C$4+1))*('Summary Page'!$C$4+1)</f>
        <v>70.847999999999985</v>
      </c>
      <c r="GY39" s="40">
        <f t="shared" si="21"/>
        <v>13</v>
      </c>
      <c r="GZ39" s="7">
        <f>((AVERAGE(J34:J39)*('Summary Page'!$C$2+1))*('Summary Page'!$C$2+1))*('Summary Page'!$C$2+1)</f>
        <v>22.37284266666666</v>
      </c>
      <c r="HA39" s="7">
        <f>((AVERAGE(J34:J39)*('Summary Page'!$C$3+1))*('Summary Page'!$C$3+1))*('Summary Page'!$C$3+1)</f>
        <v>27.994791666666671</v>
      </c>
      <c r="HB39" s="7">
        <f>((AVERAGE(J34:J39)*('Summary Page'!$C$4+1))*('Summary Page'!$C$4+1))*('Summary Page'!$C$4+1)</f>
        <v>24.767999999999997</v>
      </c>
      <c r="HE39" s="40">
        <f t="shared" si="22"/>
        <v>25</v>
      </c>
      <c r="HF39" s="7">
        <f>((AVERAGE(K34:K39)*('Summary Page'!$C$2+1))*('Summary Page'!$C$2+1))*('Summary Page'!$C$2+1)</f>
        <v>82.987637333333311</v>
      </c>
      <c r="HG39" s="7">
        <f>((AVERAGE(K34:K39)*('Summary Page'!$C$3+1))*('Summary Page'!$C$3+1))*('Summary Page'!$C$3+1)</f>
        <v>103.84114583333331</v>
      </c>
      <c r="HH39" s="7">
        <f>((AVERAGE(K34:K39)*('Summary Page'!$C$4+1))*('Summary Page'!$C$4+1))*('Summary Page'!$C$4+1)</f>
        <v>91.871999999999986</v>
      </c>
      <c r="HL39" s="7">
        <f>((AVERAGE(L34:L39)*('Summary Page'!$C$2+1))*('Summary Page'!$C$2+1))*('Summary Page'!$C$2+1)</f>
        <v>60.874943999999985</v>
      </c>
      <c r="HM39" s="7">
        <f>((AVERAGE(L34:L39)*('Summary Page'!$C$3+1))*('Summary Page'!$C$3+1))*('Summary Page'!$C$3+1)</f>
        <v>76.171875</v>
      </c>
      <c r="HN39" s="7">
        <f>((AVERAGE(L34:L39)*('Summary Page'!$C$4+1))*('Summary Page'!$C$4+1))*('Summary Page'!$C$4+1)</f>
        <v>67.391999999999996</v>
      </c>
      <c r="HQ39" s="40">
        <f t="shared" si="39"/>
        <v>102</v>
      </c>
      <c r="HR39" s="7">
        <f>((AVERAGE(AL34:AL39)*('Summary Page'!$C$2+1))*('Summary Page'!$C$2+1))*('Summary Page'!$C$2+1)</f>
        <v>156.60989866666662</v>
      </c>
      <c r="HS39" s="7">
        <f>((AVERAGE(AL34:AL39)*('Summary Page'!$C$3+1))*('Summary Page'!$C$3+1))*('Summary Page'!$C$3+1)</f>
        <v>195.96354166666663</v>
      </c>
      <c r="HT39" s="7">
        <f>((AVERAGE(AL34:AL39)*('Summary Page'!$C$4+1))*('Summary Page'!$C$4+1))*('Summary Page'!$C$4+1)</f>
        <v>173.37599999999998</v>
      </c>
      <c r="HU39" s="7">
        <f t="shared" si="34"/>
        <v>100</v>
      </c>
      <c r="HV39" s="16">
        <f t="shared" si="32"/>
        <v>13.00374531835206</v>
      </c>
      <c r="HW39" s="16">
        <f t="shared" si="33"/>
        <v>12.823970037453185</v>
      </c>
      <c r="HX39" s="7">
        <f t="shared" si="40"/>
        <v>12.823970037453185</v>
      </c>
      <c r="HY39" s="7">
        <f>((AVERAGE(HV28:HV39,HX28:HX39)*('Summary Page'!$C$2+1))*('Summary Page'!$C$2+1))*('Summary Page'!$C$2+1)</f>
        <v>23.129906456928836</v>
      </c>
      <c r="HZ39" s="7">
        <f>((AVERAGE(HV28:HV39,HX28:HX39)*('Summary Page'!$C$3+1))*('Summary Page'!$C$3+1))*('Summary Page'!$C$3+1)</f>
        <v>28.942093867041201</v>
      </c>
      <c r="IA39" s="7">
        <f>((AVERAGE(HV28:HV39,HX28:HX39)*('Summary Page'!$C$4+1))*('Summary Page'!$C$4+1))*('Summary Page'!$C$4+1)</f>
        <v>25.606112359550561</v>
      </c>
      <c r="IB39" s="11">
        <f t="shared" si="35"/>
        <v>15.17103620474407</v>
      </c>
      <c r="IC39" s="11">
        <f t="shared" si="26"/>
        <v>14.961298377028715</v>
      </c>
      <c r="ID39" s="11">
        <f t="shared" si="27"/>
        <v>14.961298377028715</v>
      </c>
      <c r="IE39" s="11">
        <f t="shared" si="28"/>
        <v>26.984890866416976</v>
      </c>
      <c r="IF39" s="11">
        <f t="shared" si="29"/>
        <v>33.765776178214736</v>
      </c>
      <c r="IG39" s="11">
        <f t="shared" si="30"/>
        <v>29.87379775280899</v>
      </c>
    </row>
    <row r="40" spans="1:241" ht="15.75" x14ac:dyDescent="0.25">
      <c r="A40" s="10">
        <v>44105</v>
      </c>
      <c r="B40" s="40">
        <v>12</v>
      </c>
      <c r="C40" s="40">
        <v>58</v>
      </c>
      <c r="D40" s="40">
        <v>3</v>
      </c>
      <c r="E40" s="40">
        <v>14</v>
      </c>
      <c r="F40" s="40">
        <v>39</v>
      </c>
      <c r="G40" s="40">
        <v>33</v>
      </c>
      <c r="H40" s="40">
        <v>31</v>
      </c>
      <c r="I40" s="7">
        <f t="shared" si="1"/>
        <v>29.25</v>
      </c>
      <c r="J40" s="40">
        <v>8</v>
      </c>
      <c r="K40" s="40">
        <v>36</v>
      </c>
      <c r="L40" s="40">
        <v>45</v>
      </c>
      <c r="M40" s="40">
        <v>89</v>
      </c>
      <c r="N40" s="40">
        <v>8</v>
      </c>
      <c r="O40" s="40">
        <v>42</v>
      </c>
      <c r="P40" s="40">
        <v>1</v>
      </c>
      <c r="Q40" s="40">
        <v>10</v>
      </c>
      <c r="R40" s="40">
        <v>35</v>
      </c>
      <c r="S40" s="40">
        <v>42</v>
      </c>
      <c r="T40" s="40">
        <v>35</v>
      </c>
      <c r="U40" s="7">
        <f t="shared" si="2"/>
        <v>30.5</v>
      </c>
      <c r="V40" s="40">
        <v>12</v>
      </c>
      <c r="W40" s="40">
        <v>23</v>
      </c>
      <c r="X40" s="40">
        <v>33</v>
      </c>
      <c r="Y40" s="69">
        <v>63</v>
      </c>
      <c r="Z40" s="40"/>
      <c r="AA40" s="40"/>
      <c r="AB40" s="40"/>
      <c r="AC40" s="40"/>
      <c r="AD40" s="40"/>
      <c r="AE40" s="40"/>
      <c r="AF40" s="40"/>
      <c r="AG40" s="7" t="e">
        <f t="shared" si="3"/>
        <v>#DIV/0!</v>
      </c>
      <c r="AH40" s="40"/>
      <c r="AI40" s="40"/>
      <c r="AJ40" s="40"/>
      <c r="AK40" s="40"/>
      <c r="AL40" s="40">
        <v>103</v>
      </c>
      <c r="AM40" s="40">
        <v>84</v>
      </c>
      <c r="AN40" s="40"/>
      <c r="AO40" s="40">
        <v>431</v>
      </c>
      <c r="AP40" s="40">
        <v>438</v>
      </c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13">
        <f t="shared" si="4"/>
        <v>38.666666666666664</v>
      </c>
      <c r="EN40" s="13">
        <f t="shared" si="9"/>
        <v>31.555555555555557</v>
      </c>
      <c r="EO40" s="13">
        <f t="shared" si="36"/>
        <v>37.866666666666667</v>
      </c>
      <c r="EP40" s="30">
        <f>((AVERAGE(EM35:EM40)*('Summary Page'!$C$2+1))*('Summary Page'!$C$2+1))*('Summary Page'!$C$2+1)</f>
        <v>67.194404888888883</v>
      </c>
      <c r="EQ40" s="7">
        <f>((AVERAGE(EM35:EM40)*('Summary Page'!$C$3+1))*('Summary Page'!$C$3+1))*('Summary Page'!$C$3+1)</f>
        <v>84.079318576388886</v>
      </c>
      <c r="ER40" s="7">
        <f>((AVERAGE(EM35:EM40)*('Summary Page'!$C$4+1))*('Summary Page'!$C$4+1))*('Summary Page'!$C$4+1)</f>
        <v>74.388000000000005</v>
      </c>
      <c r="ES40" s="7">
        <v>80</v>
      </c>
      <c r="ET40" s="13">
        <f t="shared" si="5"/>
        <v>29.25</v>
      </c>
      <c r="EU40" s="13">
        <f t="shared" si="11"/>
        <v>30.5</v>
      </c>
      <c r="EV40" s="13">
        <f t="shared" si="37"/>
        <v>36.6</v>
      </c>
      <c r="EW40" s="7">
        <f>((AVERAGE(ET35:ET40)*('Summary Page'!$C$2+1))*('Summary Page'!$C$2+1))*('Summary Page'!$C$2+1)</f>
        <v>58.728711999999987</v>
      </c>
      <c r="EX40" s="7">
        <f>((AVERAGE(ET35:ET40)*('Summary Page'!$C$3+1))*('Summary Page'!$C$3+1))*('Summary Page'!$C$3+1)</f>
        <v>73.486328125</v>
      </c>
      <c r="EY40" s="7">
        <f>((AVERAGE(ET35:ET40)*('Summary Page'!$C$4+1))*('Summary Page'!$C$4+1))*('Summary Page'!$C$4+1)</f>
        <v>65.015999999999991</v>
      </c>
      <c r="EZ40" s="13">
        <f t="shared" si="6"/>
        <v>56.666666666666664</v>
      </c>
      <c r="FA40" s="13">
        <f t="shared" si="13"/>
        <v>39.666666666666664</v>
      </c>
      <c r="FB40" s="13">
        <f t="shared" si="38"/>
        <v>47.599999999999994</v>
      </c>
      <c r="FC40" s="7">
        <f>((AVERAGE(EZ35:EZ40)*('Summary Page'!$C$2+1))*('Summary Page'!$C$2+1))*('Summary Page'!$C$2+1)</f>
        <v>96.558760888888884</v>
      </c>
      <c r="FD40" s="7">
        <f>((AVERAGE(EZ35:EZ40)*('Summary Page'!$C$3+1))*('Summary Page'!$C$3+1))*('Summary Page'!$C$3+1)</f>
        <v>120.82248263888889</v>
      </c>
      <c r="FE40" s="7">
        <f>((AVERAGE(EZ35:EZ40)*('Summary Page'!$C$4+1))*('Summary Page'!$C$4+1))*('Summary Page'!$C$4+1)</f>
        <v>106.896</v>
      </c>
      <c r="FF40" s="13">
        <f t="shared" si="7"/>
        <v>33.022727272727273</v>
      </c>
      <c r="FI40" s="40">
        <f t="shared" si="8"/>
        <v>42</v>
      </c>
      <c r="FJ40" s="7">
        <f>((AVERAGE(C35:C40)*('Summary Page'!$C$2+1))*('Summary Page'!$C$2+1))*('Summary Page'!$C$2+1)</f>
        <v>95.995103999999969</v>
      </c>
      <c r="FK40" s="7">
        <f>((AVERAGE(C35:C40)*('Summary Page'!$C$3+1))*('Summary Page'!$C$3+1))*('Summary Page'!$C$3+1)</f>
        <v>120.1171875</v>
      </c>
      <c r="FL40" s="7">
        <f>((AVERAGE(C35:C40)*('Summary Page'!$C$4+1))*('Summary Page'!$C$4+1))*('Summary Page'!$C$4+1)</f>
        <v>106.27199999999998</v>
      </c>
      <c r="FO40" s="40">
        <f t="shared" si="15"/>
        <v>1</v>
      </c>
      <c r="FP40" s="7">
        <f>((AVERAGE(D35:D40)*('Summary Page'!$C$2+1))*('Summary Page'!$C$2+1))*('Summary Page'!$C$2+1)</f>
        <v>3.9022399999999995</v>
      </c>
      <c r="FQ40" s="7">
        <f>((AVERAGE(D35:D40)*('Summary Page'!$C$3+1))*('Summary Page'!$C$3+1))*('Summary Page'!$C$3+1)</f>
        <v>4.8828125</v>
      </c>
      <c r="FR40" s="7">
        <f>((AVERAGE(D35:D40)*('Summary Page'!$C$4+1))*('Summary Page'!$C$4+1))*('Summary Page'!$C$4+1)</f>
        <v>4.3199999999999994</v>
      </c>
      <c r="FU40" s="40">
        <f t="shared" si="16"/>
        <v>10</v>
      </c>
      <c r="FV40" s="7">
        <f>((AVERAGE(E35:E40)*('Summary Page'!$C$2+1))*('Summary Page'!$C$2+1))*('Summary Page'!$C$2+1)</f>
        <v>26.535231999999993</v>
      </c>
      <c r="FW40" s="7">
        <f>((AVERAGE(E35:E40)*('Summary Page'!$C$3+1))*('Summary Page'!$C$3+1))*('Summary Page'!$C$3+1)</f>
        <v>33.203125</v>
      </c>
      <c r="FX40" s="7">
        <f>((AVERAGE(E35:E40)*('Summary Page'!$C$4+1))*('Summary Page'!$C$4+1))*('Summary Page'!$C$4+1)</f>
        <v>29.375999999999994</v>
      </c>
      <c r="GA40" s="40">
        <f t="shared" si="17"/>
        <v>35</v>
      </c>
      <c r="GB40" s="7">
        <f>((AVERAGE(F35:F40)*('Summary Page'!$C$2+1))*('Summary Page'!$C$2+1))*('Summary Page'!$C$2+1)</f>
        <v>78.044799999999981</v>
      </c>
      <c r="GC40" s="7">
        <f>((AVERAGE(F35:F40)*('Summary Page'!$C$3+1))*('Summary Page'!$C$3+1))*('Summary Page'!$C$3+1)</f>
        <v>97.65625</v>
      </c>
      <c r="GD40" s="7">
        <f>((AVERAGE(F35:F40)*('Summary Page'!$C$4+1))*('Summary Page'!$C$4+1))*('Summary Page'!$C$4+1)</f>
        <v>86.399999999999991</v>
      </c>
      <c r="GG40" s="40">
        <f t="shared" si="18"/>
        <v>63</v>
      </c>
      <c r="GH40" s="7">
        <f>((AVERAGE(M35:M40)*('Summary Page'!$C$2+1))*('Summary Page'!$C$2+1))*('Summary Page'!$C$2+1)</f>
        <v>119.14839466666663</v>
      </c>
      <c r="GI40" s="7">
        <f>((AVERAGE(M35:M40)*('Summary Page'!$C$3+1))*('Summary Page'!$C$3+1))*('Summary Page'!$C$3+1)</f>
        <v>149.08854166666663</v>
      </c>
      <c r="GJ40" s="7">
        <f>((AVERAGE(M35:M40)*('Summary Page'!$C$4+1))*('Summary Page'!$C$4+1))*('Summary Page'!$C$4+1)</f>
        <v>131.90399999999997</v>
      </c>
      <c r="GM40" s="40">
        <f t="shared" si="19"/>
        <v>42</v>
      </c>
      <c r="GN40" s="7">
        <f>((AVERAGE(G35:G40)*('Summary Page'!$C$2+1))*('Summary Page'!$C$2+1))*('Summary Page'!$C$2+1)</f>
        <v>70.760618666666659</v>
      </c>
      <c r="GO40" s="7">
        <f>((AVERAGE(G35:G40)*('Summary Page'!$C$3+1))*('Summary Page'!$C$3+1))*('Summary Page'!$C$3+1)</f>
        <v>88.541666666666686</v>
      </c>
      <c r="GP40" s="7">
        <f>((AVERAGE(G35:G40)*('Summary Page'!$C$4+1))*('Summary Page'!$C$4+1))*('Summary Page'!$C$4+1)</f>
        <v>78.335999999999999</v>
      </c>
      <c r="GS40" s="40">
        <f t="shared" si="20"/>
        <v>35</v>
      </c>
      <c r="GT40" s="7">
        <f>((AVERAGE(H35:H40)*('Summary Page'!$C$2+1))*('Summary Page'!$C$2+1))*('Summary Page'!$C$2+1)</f>
        <v>59.574197333333316</v>
      </c>
      <c r="GU40" s="7">
        <f>((AVERAGE(H35:H40)*('Summary Page'!$C$3+1))*('Summary Page'!$C$3+1))*('Summary Page'!$C$3+1)</f>
        <v>74.544270833333314</v>
      </c>
      <c r="GV40" s="7">
        <f>((AVERAGE(H35:H40)*('Summary Page'!$C$4+1))*('Summary Page'!$C$4+1))*('Summary Page'!$C$4+1)</f>
        <v>65.951999999999984</v>
      </c>
      <c r="GY40" s="40">
        <f t="shared" si="21"/>
        <v>12</v>
      </c>
      <c r="GZ40" s="7">
        <f>((AVERAGE(J35:J40)*('Summary Page'!$C$2+1))*('Summary Page'!$C$2+1))*('Summary Page'!$C$2+1)</f>
        <v>20.291647999999995</v>
      </c>
      <c r="HA40" s="7">
        <f>((AVERAGE(J35:J40)*('Summary Page'!$C$3+1))*('Summary Page'!$C$3+1))*('Summary Page'!$C$3+1)</f>
        <v>25.390625</v>
      </c>
      <c r="HB40" s="7">
        <f>((AVERAGE(J35:J40)*('Summary Page'!$C$4+1))*('Summary Page'!$C$4+1))*('Summary Page'!$C$4+1)</f>
        <v>22.463999999999999</v>
      </c>
      <c r="HE40" s="40">
        <f t="shared" si="22"/>
        <v>23</v>
      </c>
      <c r="HF40" s="7">
        <f>((AVERAGE(K35:K40)*('Summary Page'!$C$2+1))*('Summary Page'!$C$2+1))*('Summary Page'!$C$2+1)</f>
        <v>81.426741333333325</v>
      </c>
      <c r="HG40" s="7">
        <f>((AVERAGE(K35:K40)*('Summary Page'!$C$3+1))*('Summary Page'!$C$3+1))*('Summary Page'!$C$3+1)</f>
        <v>101.88802083333331</v>
      </c>
      <c r="HH40" s="7">
        <f>((AVERAGE(K35:K40)*('Summary Page'!$C$4+1))*('Summary Page'!$C$4+1))*('Summary Page'!$C$4+1)</f>
        <v>90.143999999999991</v>
      </c>
      <c r="HL40" s="7">
        <f>((AVERAGE(L35:L40)*('Summary Page'!$C$2+1))*('Summary Page'!$C$2+1))*('Summary Page'!$C$2+1)</f>
        <v>65.557631999999984</v>
      </c>
      <c r="HM40" s="7">
        <f>((AVERAGE(L35:L40)*('Summary Page'!$C$3+1))*('Summary Page'!$C$3+1))*('Summary Page'!$C$3+1)</f>
        <v>82.03125</v>
      </c>
      <c r="HN40" s="7">
        <f>((AVERAGE(L35:L40)*('Summary Page'!$C$4+1))*('Summary Page'!$C$4+1))*('Summary Page'!$C$4+1)</f>
        <v>72.575999999999993</v>
      </c>
      <c r="HQ40" s="40">
        <f t="shared" si="39"/>
        <v>84</v>
      </c>
      <c r="HR40" s="7">
        <f>((AVERAGE(AL35:AL40)*('Summary Page'!$C$2+1))*('Summary Page'!$C$2+1))*('Summary Page'!$C$2+1)</f>
        <v>156.08959999999996</v>
      </c>
      <c r="HS40" s="7">
        <f>((AVERAGE(AL35:AL40)*('Summary Page'!$C$3+1))*('Summary Page'!$C$3+1))*('Summary Page'!$C$3+1)</f>
        <v>195.3125</v>
      </c>
      <c r="HT40" s="7">
        <f>((AVERAGE(AL35:AL40)*('Summary Page'!$C$4+1))*('Summary Page'!$C$4+1))*('Summary Page'!$C$4+1)</f>
        <v>172.79999999999998</v>
      </c>
      <c r="HU40" s="7">
        <f t="shared" si="34"/>
        <v>100</v>
      </c>
      <c r="HV40" s="16">
        <f t="shared" si="32"/>
        <v>12.913857677902621</v>
      </c>
      <c r="HW40" s="16">
        <f t="shared" si="33"/>
        <v>13.123595505617976</v>
      </c>
      <c r="HX40" s="7">
        <f t="shared" si="40"/>
        <v>13.123595505617976</v>
      </c>
      <c r="HY40" s="7">
        <f>((AVERAGE(HV29:HV40,HX29:HX40)*('Summary Page'!$C$2+1))*('Summary Page'!$C$2+1))*('Summary Page'!$C$2+1)</f>
        <v>22.935038042446937</v>
      </c>
      <c r="HZ40" s="7">
        <f>((AVERAGE(HV29:HV40,HX29:HX40)*('Summary Page'!$C$3+1))*('Summary Page'!$C$3+1))*('Summary Page'!$C$3+1)</f>
        <v>28.698258036828967</v>
      </c>
      <c r="IA40" s="7">
        <f>((AVERAGE(HV29:HV40,HX29:HX40)*('Summary Page'!$C$4+1))*('Summary Page'!$C$4+1))*('Summary Page'!$C$4+1)</f>
        <v>25.390382022471908</v>
      </c>
      <c r="IB40" s="11">
        <f t="shared" si="35"/>
        <v>15.066167290886391</v>
      </c>
      <c r="IC40" s="11">
        <f t="shared" si="26"/>
        <v>15.310861423220972</v>
      </c>
      <c r="ID40" s="11">
        <f t="shared" si="27"/>
        <v>15.310861423220972</v>
      </c>
      <c r="IE40" s="11">
        <f t="shared" si="28"/>
        <v>26.757544382854761</v>
      </c>
      <c r="IF40" s="11">
        <f t="shared" si="29"/>
        <v>33.481301042967132</v>
      </c>
      <c r="IG40" s="11">
        <f t="shared" si="30"/>
        <v>29.62211235955056</v>
      </c>
    </row>
    <row r="41" spans="1:241" ht="15.75" x14ac:dyDescent="0.25">
      <c r="A41" s="10">
        <v>44138</v>
      </c>
      <c r="B41" s="40">
        <v>7</v>
      </c>
      <c r="C41" s="40">
        <v>44</v>
      </c>
      <c r="D41" s="40">
        <v>2</v>
      </c>
      <c r="E41" s="40">
        <v>16</v>
      </c>
      <c r="F41" s="40">
        <v>37</v>
      </c>
      <c r="G41" s="40">
        <v>39</v>
      </c>
      <c r="H41" s="40">
        <v>28</v>
      </c>
      <c r="I41" s="7">
        <f t="shared" si="1"/>
        <v>30</v>
      </c>
      <c r="J41" s="40">
        <v>9</v>
      </c>
      <c r="K41" s="40">
        <v>31</v>
      </c>
      <c r="L41" s="40">
        <v>21</v>
      </c>
      <c r="M41" s="40">
        <v>77</v>
      </c>
      <c r="N41" s="40">
        <v>7</v>
      </c>
      <c r="O41" s="40">
        <v>37</v>
      </c>
      <c r="P41" s="40">
        <v>1</v>
      </c>
      <c r="Q41" s="40">
        <v>7</v>
      </c>
      <c r="R41" s="40">
        <v>37</v>
      </c>
      <c r="S41" s="40">
        <v>26</v>
      </c>
      <c r="T41" s="40">
        <v>36</v>
      </c>
      <c r="U41" s="7">
        <f t="shared" si="2"/>
        <v>26.5</v>
      </c>
      <c r="V41" s="40">
        <v>10</v>
      </c>
      <c r="W41" s="40">
        <v>24</v>
      </c>
      <c r="X41" s="40">
        <v>33</v>
      </c>
      <c r="Y41" s="69">
        <v>76</v>
      </c>
      <c r="Z41" s="40"/>
      <c r="AA41" s="40"/>
      <c r="AB41" s="40"/>
      <c r="AC41" s="40"/>
      <c r="AD41" s="40"/>
      <c r="AE41" s="40"/>
      <c r="AF41" s="40"/>
      <c r="AG41" s="7" t="e">
        <f t="shared" si="3"/>
        <v>#DIV/0!</v>
      </c>
      <c r="AH41" s="40"/>
      <c r="AI41" s="40"/>
      <c r="AJ41" s="40"/>
      <c r="AK41" s="40"/>
      <c r="AL41" s="40">
        <v>100</v>
      </c>
      <c r="AM41" s="40">
        <v>97</v>
      </c>
      <c r="AN41" s="40"/>
      <c r="AO41" s="40">
        <v>367</v>
      </c>
      <c r="AP41" s="40">
        <v>376</v>
      </c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13">
        <f t="shared" si="4"/>
        <v>32.777777777777779</v>
      </c>
      <c r="EN41" s="13">
        <f t="shared" si="9"/>
        <v>30.777777777777779</v>
      </c>
      <c r="EO41" s="13">
        <f t="shared" si="36"/>
        <v>36.93333333333333</v>
      </c>
      <c r="EP41" s="30">
        <f>((AVERAGE(EM36:EM41)*('Summary Page'!$C$2+1))*('Summary Page'!$C$2+1))*('Summary Page'!$C$2+1)</f>
        <v>62.096200592592581</v>
      </c>
      <c r="EQ41" s="7">
        <f>((AVERAGE(EM36:EM41)*('Summary Page'!$C$3+1))*('Summary Page'!$C$3+1))*('Summary Page'!$C$3+1)</f>
        <v>77.700014467592581</v>
      </c>
      <c r="ER41" s="7">
        <f>((AVERAGE(EM36:EM41)*('Summary Page'!$C$4+1))*('Summary Page'!$C$4+1))*('Summary Page'!$C$4+1)</f>
        <v>68.743999999999986</v>
      </c>
      <c r="ES41" s="7">
        <v>80</v>
      </c>
      <c r="ET41" s="13">
        <f t="shared" si="5"/>
        <v>30</v>
      </c>
      <c r="EU41" s="13">
        <f t="shared" si="11"/>
        <v>26.5</v>
      </c>
      <c r="EV41" s="13">
        <f t="shared" si="37"/>
        <v>31.799999999999997</v>
      </c>
      <c r="EW41" s="7">
        <f>((AVERAGE(ET36:ET41)*('Summary Page'!$C$2+1))*('Summary Page'!$C$2+1))*('Summary Page'!$C$2+1)</f>
        <v>53.980986666666666</v>
      </c>
      <c r="EX41" s="7">
        <f>((AVERAGE(ET36:ET41)*('Summary Page'!$C$3+1))*('Summary Page'!$C$3+1))*('Summary Page'!$C$3+1)</f>
        <v>67.545572916666686</v>
      </c>
      <c r="EY41" s="7">
        <f>((AVERAGE(ET36:ET41)*('Summary Page'!$C$4+1))*('Summary Page'!$C$4+1))*('Summary Page'!$C$4+1)</f>
        <v>59.759999999999991</v>
      </c>
      <c r="EZ41" s="13">
        <f t="shared" si="6"/>
        <v>43</v>
      </c>
      <c r="FA41" s="13">
        <f t="shared" si="13"/>
        <v>44.333333333333336</v>
      </c>
      <c r="FB41" s="13">
        <f t="shared" si="38"/>
        <v>53.2</v>
      </c>
      <c r="FC41" s="7">
        <f>((AVERAGE(EZ36:EZ41)*('Summary Page'!$C$2+1))*('Summary Page'!$C$2+1))*('Summary Page'!$C$2+1)</f>
        <v>89.274579555555547</v>
      </c>
      <c r="FD41" s="7">
        <f>((AVERAGE(EZ36:EZ41)*('Summary Page'!$C$3+1))*('Summary Page'!$C$3+1))*('Summary Page'!$C$3+1)</f>
        <v>111.70789930555556</v>
      </c>
      <c r="FE41" s="7">
        <f>((AVERAGE(EZ36:EZ41)*('Summary Page'!$C$4+1))*('Summary Page'!$C$4+1))*('Summary Page'!$C$4+1)</f>
        <v>98.831999999999994</v>
      </c>
      <c r="FF41" s="13">
        <f t="shared" si="7"/>
        <v>29.181818181818183</v>
      </c>
      <c r="FI41" s="40">
        <f t="shared" si="8"/>
        <v>37</v>
      </c>
      <c r="FJ41" s="7">
        <f>((AVERAGE(C36:C41)*('Summary Page'!$C$2+1))*('Summary Page'!$C$2+1))*('Summary Page'!$C$2+1)</f>
        <v>86.629727999999986</v>
      </c>
      <c r="FK41" s="7">
        <f>((AVERAGE(C36:C41)*('Summary Page'!$C$3+1))*('Summary Page'!$C$3+1))*('Summary Page'!$C$3+1)</f>
        <v>108.3984375</v>
      </c>
      <c r="FL41" s="7">
        <f>((AVERAGE(C36:C41)*('Summary Page'!$C$4+1))*('Summary Page'!$C$4+1))*('Summary Page'!$C$4+1)</f>
        <v>95.903999999999982</v>
      </c>
      <c r="FO41" s="40">
        <f t="shared" si="15"/>
        <v>1</v>
      </c>
      <c r="FP41" s="7">
        <f>((AVERAGE(D36:D41)*('Summary Page'!$C$2+1))*('Summary Page'!$C$2+1))*('Summary Page'!$C$2+1)</f>
        <v>3.3819413333333324</v>
      </c>
      <c r="FQ41" s="7">
        <f>((AVERAGE(D36:D41)*('Summary Page'!$C$3+1))*('Summary Page'!$C$3+1))*('Summary Page'!$C$3+1)</f>
        <v>4.2317708333333321</v>
      </c>
      <c r="FR41" s="7">
        <f>((AVERAGE(D36:D41)*('Summary Page'!$C$4+1))*('Summary Page'!$C$4+1))*('Summary Page'!$C$4+1)</f>
        <v>3.7439999999999993</v>
      </c>
      <c r="FU41" s="40">
        <f t="shared" si="16"/>
        <v>7</v>
      </c>
      <c r="FV41" s="7">
        <f>((AVERAGE(E36:E41)*('Summary Page'!$C$2+1))*('Summary Page'!$C$2+1))*('Summary Page'!$C$2+1)</f>
        <v>25.494634666666659</v>
      </c>
      <c r="FW41" s="7">
        <f>((AVERAGE(E36:E41)*('Summary Page'!$C$3+1))*('Summary Page'!$C$3+1))*('Summary Page'!$C$3+1)</f>
        <v>31.901041666666661</v>
      </c>
      <c r="FX41" s="7">
        <f>((AVERAGE(E36:E41)*('Summary Page'!$C$4+1))*('Summary Page'!$C$4+1))*('Summary Page'!$C$4+1)</f>
        <v>28.223999999999993</v>
      </c>
      <c r="GA41" s="40">
        <f t="shared" si="17"/>
        <v>37</v>
      </c>
      <c r="GB41" s="7">
        <f>((AVERAGE(F36:F41)*('Summary Page'!$C$2+1))*('Summary Page'!$C$2+1))*('Summary Page'!$C$2+1)</f>
        <v>70.240319999999983</v>
      </c>
      <c r="GC41" s="7">
        <f>((AVERAGE(F36:F41)*('Summary Page'!$C$3+1))*('Summary Page'!$C$3+1))*('Summary Page'!$C$3+1)</f>
        <v>87.890625</v>
      </c>
      <c r="GD41" s="7">
        <f>((AVERAGE(F36:F41)*('Summary Page'!$C$4+1))*('Summary Page'!$C$4+1))*('Summary Page'!$C$4+1)</f>
        <v>77.759999999999991</v>
      </c>
      <c r="GG41" s="40">
        <f t="shared" si="18"/>
        <v>76</v>
      </c>
      <c r="GH41" s="7">
        <f>((AVERAGE(M36:M41)*('Summary Page'!$C$2+1))*('Summary Page'!$C$2+1))*('Summary Page'!$C$2+1)</f>
        <v>118.62809599999999</v>
      </c>
      <c r="GI41" s="7">
        <f>((AVERAGE(M36:M41)*('Summary Page'!$C$3+1))*('Summary Page'!$C$3+1))*('Summary Page'!$C$3+1)</f>
        <v>148.4375</v>
      </c>
      <c r="GJ41" s="7">
        <f>((AVERAGE(M36:M41)*('Summary Page'!$C$4+1))*('Summary Page'!$C$4+1))*('Summary Page'!$C$4+1)</f>
        <v>131.328</v>
      </c>
      <c r="GM41" s="40">
        <f t="shared" si="19"/>
        <v>26</v>
      </c>
      <c r="GN41" s="7">
        <f>((AVERAGE(G36:G41)*('Summary Page'!$C$2+1))*('Summary Page'!$C$2+1))*('Summary Page'!$C$2+1)</f>
        <v>65.297482666666653</v>
      </c>
      <c r="GO41" s="7">
        <f>((AVERAGE(G36:G41)*('Summary Page'!$C$3+1))*('Summary Page'!$C$3+1))*('Summary Page'!$C$3+1)</f>
        <v>81.705729166666686</v>
      </c>
      <c r="GP41" s="7">
        <f>((AVERAGE(G36:G41)*('Summary Page'!$C$4+1))*('Summary Page'!$C$4+1))*('Summary Page'!$C$4+1)</f>
        <v>72.287999999999997</v>
      </c>
      <c r="GS41" s="40">
        <f t="shared" si="20"/>
        <v>36</v>
      </c>
      <c r="GT41" s="7">
        <f>((AVERAGE(H36:H41)*('Summary Page'!$C$2+1))*('Summary Page'!$C$2+1))*('Summary Page'!$C$2+1)</f>
        <v>54.891509333333325</v>
      </c>
      <c r="GU41" s="7">
        <f>((AVERAGE(H36:H41)*('Summary Page'!$C$3+1))*('Summary Page'!$C$3+1))*('Summary Page'!$C$3+1)</f>
        <v>68.684895833333314</v>
      </c>
      <c r="GV41" s="7">
        <f>((AVERAGE(H36:H41)*('Summary Page'!$C$4+1))*('Summary Page'!$C$4+1))*('Summary Page'!$C$4+1)</f>
        <v>60.767999999999986</v>
      </c>
      <c r="GY41" s="40">
        <f t="shared" si="21"/>
        <v>10</v>
      </c>
      <c r="GZ41" s="7">
        <f>((AVERAGE(J36:J41)*('Summary Page'!$C$2+1))*('Summary Page'!$C$2+1))*('Summary Page'!$C$2+1)</f>
        <v>18.470602666666665</v>
      </c>
      <c r="HA41" s="7">
        <f>((AVERAGE(J36:J41)*('Summary Page'!$C$3+1))*('Summary Page'!$C$3+1))*('Summary Page'!$C$3+1)</f>
        <v>23.111979166666671</v>
      </c>
      <c r="HB41" s="7">
        <f>((AVERAGE(J36:J41)*('Summary Page'!$C$4+1))*('Summary Page'!$C$4+1))*('Summary Page'!$C$4+1)</f>
        <v>20.447999999999997</v>
      </c>
      <c r="HE41" s="40">
        <f t="shared" si="22"/>
        <v>24</v>
      </c>
      <c r="HF41" s="7">
        <f>((AVERAGE(K36:K41)*('Summary Page'!$C$2+1))*('Summary Page'!$C$2+1))*('Summary Page'!$C$2+1)</f>
        <v>73.101962666666651</v>
      </c>
      <c r="HG41" s="7">
        <f>((AVERAGE(K36:K41)*('Summary Page'!$C$3+1))*('Summary Page'!$C$3+1))*('Summary Page'!$C$3+1)</f>
        <v>91.471354166666686</v>
      </c>
      <c r="HH41" s="7">
        <f>((AVERAGE(K36:K41)*('Summary Page'!$C$4+1))*('Summary Page'!$C$4+1))*('Summary Page'!$C$4+1)</f>
        <v>80.927999999999997</v>
      </c>
      <c r="HL41" s="7">
        <f>((AVERAGE(L36:L41)*('Summary Page'!$C$2+1))*('Summary Page'!$C$2+1))*('Summary Page'!$C$2+1)</f>
        <v>54.631359999999987</v>
      </c>
      <c r="HM41" s="7">
        <f>((AVERAGE(L36:L41)*('Summary Page'!$C$3+1))*('Summary Page'!$C$3+1))*('Summary Page'!$C$3+1)</f>
        <v>68.359375</v>
      </c>
      <c r="HN41" s="7">
        <f>((AVERAGE(L36:L41)*('Summary Page'!$C$4+1))*('Summary Page'!$C$4+1))*('Summary Page'!$C$4+1)</f>
        <v>60.48</v>
      </c>
      <c r="HQ41" s="40">
        <f t="shared" si="39"/>
        <v>97</v>
      </c>
      <c r="HR41" s="7">
        <f>((AVERAGE(AL36:AL41)*('Summary Page'!$C$2+1))*('Summary Page'!$C$2+1))*('Summary Page'!$C$2+1)</f>
        <v>150.36631466666663</v>
      </c>
      <c r="HS41" s="7">
        <f>((AVERAGE(AL36:AL41)*('Summary Page'!$C$3+1))*('Summary Page'!$C$3+1))*('Summary Page'!$C$3+1)</f>
        <v>188.15104166666663</v>
      </c>
      <c r="HT41" s="7">
        <f>((AVERAGE(AL36:AL41)*('Summary Page'!$C$4+1))*('Summary Page'!$C$4+1))*('Summary Page'!$C$4+1)</f>
        <v>166.464</v>
      </c>
      <c r="HU41" s="7">
        <f t="shared" si="34"/>
        <v>100</v>
      </c>
      <c r="HV41" s="16">
        <f t="shared" si="32"/>
        <v>10.996254681647939</v>
      </c>
      <c r="HW41" s="16">
        <f t="shared" si="33"/>
        <v>11.265917602996254</v>
      </c>
      <c r="HX41" s="7">
        <f t="shared" si="40"/>
        <v>11.265917602996254</v>
      </c>
      <c r="HY41" s="7">
        <f>((AVERAGE(HV30:HV41,HX30:HX41)*('Summary Page'!$C$2+1))*('Summary Page'!$C$2+1))*('Summary Page'!$C$2+1)</f>
        <v>22.420585428214732</v>
      </c>
      <c r="HZ41" s="7">
        <f>((AVERAGE(HV30:HV41,HX30:HX41)*('Summary Page'!$C$3+1))*('Summary Page'!$C$3+1))*('Summary Page'!$C$3+1)</f>
        <v>28.054531445068665</v>
      </c>
      <c r="IA41" s="7">
        <f>((AVERAGE(HV30:HV41,HX30:HX41)*('Summary Page'!$C$4+1))*('Summary Page'!$C$4+1))*('Summary Page'!$C$4+1)</f>
        <v>24.820853932584271</v>
      </c>
      <c r="IB41" s="11">
        <f t="shared" si="35"/>
        <v>12.828963795255929</v>
      </c>
      <c r="IC41" s="11">
        <f t="shared" si="26"/>
        <v>13.143570536828962</v>
      </c>
      <c r="ID41" s="11">
        <f t="shared" si="27"/>
        <v>13.143570536828962</v>
      </c>
      <c r="IE41" s="11">
        <f t="shared" si="28"/>
        <v>26.157349666250521</v>
      </c>
      <c r="IF41" s="11">
        <f t="shared" si="29"/>
        <v>32.730286685913441</v>
      </c>
      <c r="IG41" s="11">
        <f t="shared" si="30"/>
        <v>28.957662921348316</v>
      </c>
    </row>
    <row r="42" spans="1:241" ht="15.75" x14ac:dyDescent="0.25">
      <c r="A42" s="10">
        <v>44166</v>
      </c>
      <c r="B42" s="40">
        <v>7</v>
      </c>
      <c r="C42" s="40">
        <v>43</v>
      </c>
      <c r="D42" s="40">
        <v>1</v>
      </c>
      <c r="E42" s="40">
        <v>15</v>
      </c>
      <c r="F42" s="40">
        <v>29</v>
      </c>
      <c r="G42" s="40">
        <v>24</v>
      </c>
      <c r="H42" s="40">
        <v>28</v>
      </c>
      <c r="I42" s="7">
        <f t="shared" si="1"/>
        <v>24</v>
      </c>
      <c r="J42" s="40">
        <v>12</v>
      </c>
      <c r="K42" s="40">
        <v>25</v>
      </c>
      <c r="L42" s="40">
        <v>27</v>
      </c>
      <c r="M42" s="40">
        <v>77</v>
      </c>
      <c r="N42" s="40">
        <v>5</v>
      </c>
      <c r="O42" s="40">
        <v>33</v>
      </c>
      <c r="P42" s="40">
        <v>1</v>
      </c>
      <c r="Q42" s="40">
        <v>6</v>
      </c>
      <c r="R42" s="40">
        <v>37</v>
      </c>
      <c r="S42" s="40">
        <v>31</v>
      </c>
      <c r="T42" s="40">
        <v>26</v>
      </c>
      <c r="U42" s="7">
        <f t="shared" si="2"/>
        <v>25</v>
      </c>
      <c r="V42" s="40">
        <v>12</v>
      </c>
      <c r="W42" s="40">
        <v>21</v>
      </c>
      <c r="X42" s="40">
        <v>24</v>
      </c>
      <c r="Y42" s="69">
        <v>54</v>
      </c>
      <c r="Z42" s="40"/>
      <c r="AA42" s="40"/>
      <c r="AB42" s="40"/>
      <c r="AC42" s="40"/>
      <c r="AD42" s="40"/>
      <c r="AE42" s="40"/>
      <c r="AF42" s="40"/>
      <c r="AG42" s="7" t="e">
        <f t="shared" si="3"/>
        <v>#DIV/0!</v>
      </c>
      <c r="AH42" s="40"/>
      <c r="AI42" s="40"/>
      <c r="AJ42" s="40"/>
      <c r="AK42" s="40"/>
      <c r="AL42" s="40">
        <v>102</v>
      </c>
      <c r="AM42" s="40">
        <v>85</v>
      </c>
      <c r="AN42" s="40"/>
      <c r="AO42" s="40">
        <v>361</v>
      </c>
      <c r="AP42" s="40">
        <v>382</v>
      </c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13">
        <f t="shared" si="4"/>
        <v>29.888888888888889</v>
      </c>
      <c r="EN42" s="13">
        <f t="shared" si="9"/>
        <v>25.888888888888889</v>
      </c>
      <c r="EO42" s="13">
        <f t="shared" si="36"/>
        <v>31.066666666666666</v>
      </c>
      <c r="EP42" s="30">
        <f>((AVERAGE(EM37:EM42)*('Summary Page'!$C$2+1))*('Summary Page'!$C$2+1))*('Summary Page'!$C$2+1)</f>
        <v>55.661117777777768</v>
      </c>
      <c r="EQ42" s="7">
        <f>((AVERAGE(EM37:EM42)*('Summary Page'!$C$3+1))*('Summary Page'!$C$3+1))*('Summary Page'!$C$3+1)</f>
        <v>69.647894965277771</v>
      </c>
      <c r="ER42" s="7">
        <f>((AVERAGE(EM37:EM42)*('Summary Page'!$C$4+1))*('Summary Page'!$C$4+1))*('Summary Page'!$C$4+1)</f>
        <v>61.61999999999999</v>
      </c>
      <c r="ES42" s="7">
        <v>80</v>
      </c>
      <c r="ET42" s="13">
        <f t="shared" si="5"/>
        <v>24</v>
      </c>
      <c r="EU42" s="13">
        <f t="shared" si="11"/>
        <v>25</v>
      </c>
      <c r="EV42" s="13">
        <f t="shared" si="37"/>
        <v>30</v>
      </c>
      <c r="EW42" s="7">
        <f>((AVERAGE(ET37:ET42)*('Summary Page'!$C$2+1))*('Summary Page'!$C$2+1))*('Summary Page'!$C$2+1)</f>
        <v>47.217103999999985</v>
      </c>
      <c r="EX42" s="7">
        <f>((AVERAGE(ET37:ET42)*('Summary Page'!$C$3+1))*('Summary Page'!$C$3+1))*('Summary Page'!$C$3+1)</f>
        <v>59.08203125</v>
      </c>
      <c r="EY42" s="7">
        <f>((AVERAGE(ET37:ET42)*('Summary Page'!$C$4+1))*('Summary Page'!$C$4+1))*('Summary Page'!$C$4+1)</f>
        <v>52.271999999999991</v>
      </c>
      <c r="EZ42" s="13">
        <f t="shared" si="6"/>
        <v>43</v>
      </c>
      <c r="FA42" s="13">
        <f t="shared" si="13"/>
        <v>33</v>
      </c>
      <c r="FB42" s="13">
        <f t="shared" si="38"/>
        <v>39.6</v>
      </c>
      <c r="FC42" s="7">
        <f>((AVERAGE(EZ37:EZ42)*('Summary Page'!$C$2+1))*('Summary Page'!$C$2+1))*('Summary Page'!$C$2+1)</f>
        <v>81.860323555555524</v>
      </c>
      <c r="FD42" s="7">
        <f>((AVERAGE(EZ37:EZ42)*('Summary Page'!$C$3+1))*('Summary Page'!$C$3+1))*('Summary Page'!$C$3+1)</f>
        <v>102.43055555555554</v>
      </c>
      <c r="FE42" s="7">
        <f>((AVERAGE(EZ37:EZ42)*('Summary Page'!$C$4+1))*('Summary Page'!$C$4+1))*('Summary Page'!$C$4+1)</f>
        <v>90.623999999999981</v>
      </c>
      <c r="FF42" s="13">
        <f t="shared" si="7"/>
        <v>26.09090909090909</v>
      </c>
      <c r="FI42" s="40">
        <f t="shared" si="8"/>
        <v>33</v>
      </c>
      <c r="FJ42" s="7">
        <f>((AVERAGE(C37:C42)*('Summary Page'!$C$2+1))*('Summary Page'!$C$2+1))*('Summary Page'!$C$2+1)</f>
        <v>73.622261333333313</v>
      </c>
      <c r="FK42" s="7">
        <f>((AVERAGE(C37:C42)*('Summary Page'!$C$3+1))*('Summary Page'!$C$3+1))*('Summary Page'!$C$3+1)</f>
        <v>92.122395833333314</v>
      </c>
      <c r="FL42" s="7">
        <f>((AVERAGE(C37:C42)*('Summary Page'!$C$4+1))*('Summary Page'!$C$4+1))*('Summary Page'!$C$4+1)</f>
        <v>81.503999999999976</v>
      </c>
      <c r="FO42" s="40">
        <f t="shared" si="15"/>
        <v>1</v>
      </c>
      <c r="FP42" s="7">
        <f>((AVERAGE(D37:D42)*('Summary Page'!$C$2+1))*('Summary Page'!$C$2+1))*('Summary Page'!$C$2+1)</f>
        <v>3.3819413333333324</v>
      </c>
      <c r="FQ42" s="7">
        <f>((AVERAGE(D37:D42)*('Summary Page'!$C$3+1))*('Summary Page'!$C$3+1))*('Summary Page'!$C$3+1)</f>
        <v>4.2317708333333321</v>
      </c>
      <c r="FR42" s="7">
        <f>((AVERAGE(D37:D42)*('Summary Page'!$C$4+1))*('Summary Page'!$C$4+1))*('Summary Page'!$C$4+1)</f>
        <v>3.7439999999999993</v>
      </c>
      <c r="FU42" s="40">
        <f t="shared" si="16"/>
        <v>6</v>
      </c>
      <c r="FV42" s="7">
        <f>((AVERAGE(E37:E42)*('Summary Page'!$C$2+1))*('Summary Page'!$C$2+1))*('Summary Page'!$C$2+1)</f>
        <v>24.454037333333329</v>
      </c>
      <c r="FW42" s="7">
        <f>((AVERAGE(E37:E42)*('Summary Page'!$C$3+1))*('Summary Page'!$C$3+1))*('Summary Page'!$C$3+1)</f>
        <v>30.598958333333329</v>
      </c>
      <c r="FX42" s="7">
        <f>((AVERAGE(E37:E42)*('Summary Page'!$C$4+1))*('Summary Page'!$C$4+1))*('Summary Page'!$C$4+1)</f>
        <v>27.071999999999992</v>
      </c>
      <c r="GA42" s="40">
        <f t="shared" si="17"/>
        <v>37</v>
      </c>
      <c r="GB42" s="7">
        <f>((AVERAGE(F37:F42)*('Summary Page'!$C$2+1))*('Summary Page'!$C$2+1))*('Summary Page'!$C$2+1)</f>
        <v>61.395242666666661</v>
      </c>
      <c r="GC42" s="7">
        <f>((AVERAGE(F37:F42)*('Summary Page'!$C$3+1))*('Summary Page'!$C$3+1))*('Summary Page'!$C$3+1)</f>
        <v>76.822916666666686</v>
      </c>
      <c r="GD42" s="7">
        <f>((AVERAGE(F37:F42)*('Summary Page'!$C$4+1))*('Summary Page'!$C$4+1))*('Summary Page'!$C$4+1)</f>
        <v>67.968000000000004</v>
      </c>
      <c r="GG42" s="40">
        <f t="shared" si="18"/>
        <v>54</v>
      </c>
      <c r="GH42" s="7">
        <f>((AVERAGE(M37:M42)*('Summary Page'!$C$2+1))*('Summary Page'!$C$2+1))*('Summary Page'!$C$2+1)</f>
        <v>118.62809599999999</v>
      </c>
      <c r="GI42" s="7">
        <f>((AVERAGE(M37:M42)*('Summary Page'!$C$3+1))*('Summary Page'!$C$3+1))*('Summary Page'!$C$3+1)</f>
        <v>148.4375</v>
      </c>
      <c r="GJ42" s="7">
        <f>((AVERAGE(M37:M42)*('Summary Page'!$C$4+1))*('Summary Page'!$C$4+1))*('Summary Page'!$C$4+1)</f>
        <v>131.328</v>
      </c>
      <c r="GM42" s="40">
        <f t="shared" si="19"/>
        <v>31</v>
      </c>
      <c r="GN42" s="7">
        <f>((AVERAGE(G37:G42)*('Summary Page'!$C$2+1))*('Summary Page'!$C$2+1))*('Summary Page'!$C$2+1)</f>
        <v>55.151658666666656</v>
      </c>
      <c r="GO42" s="7">
        <f>((AVERAGE(G37:G42)*('Summary Page'!$C$3+1))*('Summary Page'!$C$3+1))*('Summary Page'!$C$3+1)</f>
        <v>69.010416666666686</v>
      </c>
      <c r="GP42" s="7">
        <f>((AVERAGE(G37:G42)*('Summary Page'!$C$4+1))*('Summary Page'!$C$4+1))*('Summary Page'!$C$4+1)</f>
        <v>61.05599999999999</v>
      </c>
      <c r="GS42" s="40">
        <f t="shared" si="20"/>
        <v>26</v>
      </c>
      <c r="GT42" s="7">
        <f>((AVERAGE(H37:H42)*('Summary Page'!$C$2+1))*('Summary Page'!$C$2+1))*('Summary Page'!$C$2+1)</f>
        <v>47.867477333333326</v>
      </c>
      <c r="GU42" s="7">
        <f>((AVERAGE(H37:H42)*('Summary Page'!$C$3+1))*('Summary Page'!$C$3+1))*('Summary Page'!$C$3+1)</f>
        <v>59.895833333333343</v>
      </c>
      <c r="GV42" s="7">
        <f>((AVERAGE(H37:H42)*('Summary Page'!$C$4+1))*('Summary Page'!$C$4+1))*('Summary Page'!$C$4+1)</f>
        <v>52.991999999999997</v>
      </c>
      <c r="GY42" s="40">
        <f t="shared" si="21"/>
        <v>12</v>
      </c>
      <c r="GZ42" s="7">
        <f>((AVERAGE(J37:J42)*('Summary Page'!$C$2+1))*('Summary Page'!$C$2+1))*('Summary Page'!$C$2+1)</f>
        <v>15.348810666666665</v>
      </c>
      <c r="HA42" s="7">
        <f>((AVERAGE(J37:J42)*('Summary Page'!$C$3+1))*('Summary Page'!$C$3+1))*('Summary Page'!$C$3+1)</f>
        <v>19.205729166666671</v>
      </c>
      <c r="HB42" s="7">
        <f>((AVERAGE(J37:J42)*('Summary Page'!$C$4+1))*('Summary Page'!$C$4+1))*('Summary Page'!$C$4+1)</f>
        <v>16.992000000000001</v>
      </c>
      <c r="HE42" s="40">
        <f t="shared" si="22"/>
        <v>21</v>
      </c>
      <c r="HF42" s="7">
        <f>((AVERAGE(K37:K42)*('Summary Page'!$C$2+1))*('Summary Page'!$C$2+1))*('Summary Page'!$C$2+1)</f>
        <v>62.435839999999992</v>
      </c>
      <c r="HG42" s="7">
        <f>((AVERAGE(K37:K42)*('Summary Page'!$C$3+1))*('Summary Page'!$C$3+1))*('Summary Page'!$C$3+1)</f>
        <v>78.125</v>
      </c>
      <c r="HH42" s="7">
        <f>((AVERAGE(K37:K42)*('Summary Page'!$C$4+1))*('Summary Page'!$C$4+1))*('Summary Page'!$C$4+1)</f>
        <v>69.11999999999999</v>
      </c>
      <c r="HL42" s="7">
        <f>((AVERAGE(L37:L42)*('Summary Page'!$C$2+1))*('Summary Page'!$C$2+1))*('Summary Page'!$C$2+1)</f>
        <v>51.50956799999998</v>
      </c>
      <c r="HM42" s="7">
        <f>((AVERAGE(L37:L42)*('Summary Page'!$C$3+1))*('Summary Page'!$C$3+1))*('Summary Page'!$C$3+1)</f>
        <v>64.453125</v>
      </c>
      <c r="HN42" s="7">
        <f>((AVERAGE(L37:L42)*('Summary Page'!$C$4+1))*('Summary Page'!$C$4+1))*('Summary Page'!$C$4+1)</f>
        <v>57.024000000000001</v>
      </c>
      <c r="HQ42" s="40">
        <f t="shared" si="39"/>
        <v>85</v>
      </c>
      <c r="HR42" s="7">
        <f>((AVERAGE(AL37:AL42)*('Summary Page'!$C$2+1))*('Summary Page'!$C$2+1))*('Summary Page'!$C$2+1)</f>
        <v>149.58586666666665</v>
      </c>
      <c r="HS42" s="7">
        <f>((AVERAGE(AL37:AL42)*('Summary Page'!$C$3+1))*('Summary Page'!$C$3+1))*('Summary Page'!$C$3+1)</f>
        <v>187.17447916666663</v>
      </c>
      <c r="HT42" s="7">
        <f>((AVERAGE(AL37:AL42)*('Summary Page'!$C$4+1))*('Summary Page'!$C$4+1))*('Summary Page'!$C$4+1)</f>
        <v>165.59999999999997</v>
      </c>
      <c r="HU42" s="7">
        <f t="shared" si="34"/>
        <v>100</v>
      </c>
      <c r="HV42" s="16">
        <f t="shared" si="32"/>
        <v>10.816479400749063</v>
      </c>
      <c r="HW42" s="16">
        <f t="shared" si="33"/>
        <v>11.445692883895131</v>
      </c>
      <c r="HX42" s="7">
        <f t="shared" si="40"/>
        <v>11.445692883895131</v>
      </c>
      <c r="HY42" s="7">
        <f>((AVERAGE(HV31:HV42,HX31:HX42)*('Summary Page'!$C$2+1))*('Summary Page'!$C$2+1))*('Summary Page'!$C$2+1)</f>
        <v>22.194538067415724</v>
      </c>
      <c r="HZ42" s="7">
        <f>((AVERAGE(HV31:HV42,HX31:HX42)*('Summary Page'!$C$3+1))*('Summary Page'!$C$3+1))*('Summary Page'!$C$3+1)</f>
        <v>27.77168188202247</v>
      </c>
      <c r="IA42" s="7">
        <f>((AVERAGE(HV31:HV42,HX31:HX42)*('Summary Page'!$C$4+1))*('Summary Page'!$C$4+1))*('Summary Page'!$C$4+1)</f>
        <v>24.570606741573034</v>
      </c>
      <c r="IB42" s="11">
        <f t="shared" si="35"/>
        <v>12.619225967540574</v>
      </c>
      <c r="IC42" s="11">
        <f t="shared" si="26"/>
        <v>13.353308364544318</v>
      </c>
      <c r="ID42" s="11">
        <f t="shared" si="27"/>
        <v>13.353308364544318</v>
      </c>
      <c r="IE42" s="11">
        <f t="shared" si="28"/>
        <v>25.893627745318344</v>
      </c>
      <c r="IF42" s="11">
        <f t="shared" si="29"/>
        <v>32.400295529026216</v>
      </c>
      <c r="IG42" s="11">
        <f t="shared" si="30"/>
        <v>28.665707865168539</v>
      </c>
    </row>
    <row r="43" spans="1:241" ht="15.75" x14ac:dyDescent="0.25">
      <c r="A43" s="10">
        <v>44230</v>
      </c>
      <c r="B43" s="40">
        <v>14</v>
      </c>
      <c r="C43" s="40">
        <v>53</v>
      </c>
      <c r="D43" s="40">
        <v>2</v>
      </c>
      <c r="E43" s="40">
        <v>12</v>
      </c>
      <c r="F43" s="40">
        <v>38</v>
      </c>
      <c r="G43" s="40">
        <v>31</v>
      </c>
      <c r="H43" s="40">
        <v>30</v>
      </c>
      <c r="I43" s="7">
        <f t="shared" si="1"/>
        <v>27.75</v>
      </c>
      <c r="J43" s="40">
        <v>13</v>
      </c>
      <c r="K43" s="40">
        <v>21</v>
      </c>
      <c r="L43" s="40">
        <v>27.5</v>
      </c>
      <c r="M43" s="40">
        <v>52</v>
      </c>
      <c r="N43" s="40">
        <v>13</v>
      </c>
      <c r="O43" s="40">
        <v>37</v>
      </c>
      <c r="P43" s="40">
        <v>2</v>
      </c>
      <c r="Q43" s="40">
        <v>5</v>
      </c>
      <c r="R43" s="40">
        <v>35</v>
      </c>
      <c r="S43" s="40">
        <v>30</v>
      </c>
      <c r="T43" s="40">
        <v>31</v>
      </c>
      <c r="U43" s="7">
        <f t="shared" si="2"/>
        <v>25.25</v>
      </c>
      <c r="V43" s="40">
        <v>10</v>
      </c>
      <c r="W43" s="40">
        <v>30</v>
      </c>
      <c r="X43" s="40">
        <v>30.5</v>
      </c>
      <c r="Y43" s="69">
        <v>45</v>
      </c>
      <c r="Z43" s="40"/>
      <c r="AA43" s="40"/>
      <c r="AB43" s="40"/>
      <c r="AC43" s="40"/>
      <c r="AD43" s="40"/>
      <c r="AE43" s="40"/>
      <c r="AF43" s="40"/>
      <c r="AG43" s="7" t="e">
        <f t="shared" si="3"/>
        <v>#DIV/0!</v>
      </c>
      <c r="AH43" s="40"/>
      <c r="AI43" s="40"/>
      <c r="AJ43" s="40"/>
      <c r="AK43" s="40"/>
      <c r="AL43" s="40">
        <v>99</v>
      </c>
      <c r="AM43" s="40">
        <v>90</v>
      </c>
      <c r="AN43" s="40"/>
      <c r="AO43" s="40">
        <v>378</v>
      </c>
      <c r="AP43" s="40">
        <v>394</v>
      </c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13">
        <f t="shared" si="4"/>
        <v>29.611111111111111</v>
      </c>
      <c r="EN43" s="13">
        <f t="shared" si="9"/>
        <v>27.277777777777779</v>
      </c>
      <c r="EO43" s="13">
        <f t="shared" si="36"/>
        <v>32.733333333333334</v>
      </c>
      <c r="EP43" s="30">
        <f>((AVERAGE(EM38:EM43)*('Summary Page'!$C$2+1))*('Summary Page'!$C$2+1))*('Summary Page'!$C$2+1)</f>
        <v>52.438156592592577</v>
      </c>
      <c r="EQ43" s="7">
        <f>((AVERAGE(EM38:EM43)*('Summary Page'!$C$3+1))*('Summary Page'!$C$3+1))*('Summary Page'!$C$3+1)</f>
        <v>65.615053530092581</v>
      </c>
      <c r="ER43" s="7">
        <f>((AVERAGE(EM38:EM43)*('Summary Page'!$C$4+1))*('Summary Page'!$C$4+1))*('Summary Page'!$C$4+1)</f>
        <v>58.051999999999985</v>
      </c>
      <c r="ES43" s="7">
        <v>80</v>
      </c>
      <c r="ET43" s="13">
        <f t="shared" si="5"/>
        <v>27.75</v>
      </c>
      <c r="EU43" s="13">
        <f t="shared" si="11"/>
        <v>25.25</v>
      </c>
      <c r="EV43" s="13">
        <f t="shared" si="37"/>
        <v>30.299999999999997</v>
      </c>
      <c r="EW43" s="7">
        <f>((AVERAGE(ET38:ET43)*('Summary Page'!$C$2+1))*('Summary Page'!$C$2+1))*('Summary Page'!$C$2+1)</f>
        <v>44.290423999999994</v>
      </c>
      <c r="EX43" s="7">
        <f>((AVERAGE(ET38:ET43)*('Summary Page'!$C$3+1))*('Summary Page'!$C$3+1))*('Summary Page'!$C$3+1)</f>
        <v>55.419921875</v>
      </c>
      <c r="EY43" s="7">
        <f>((AVERAGE(ET38:ET43)*('Summary Page'!$C$4+1))*('Summary Page'!$C$4+1))*('Summary Page'!$C$4+1)</f>
        <v>49.031999999999989</v>
      </c>
      <c r="EZ43" s="13">
        <f t="shared" si="6"/>
        <v>33.5</v>
      </c>
      <c r="FA43" s="13">
        <f t="shared" si="13"/>
        <v>35.166666666666664</v>
      </c>
      <c r="FB43" s="13">
        <f t="shared" si="38"/>
        <v>42.199999999999996</v>
      </c>
      <c r="FC43" s="7">
        <f>((AVERAGE(EZ38:EZ43)*('Summary Page'!$C$2+1))*('Summary Page'!$C$2+1))*('Summary Page'!$C$2+1)</f>
        <v>74.315992888888857</v>
      </c>
      <c r="FD43" s="7">
        <f>((AVERAGE(EZ38:EZ43)*('Summary Page'!$C$3+1))*('Summary Page'!$C$3+1))*('Summary Page'!$C$3+1)</f>
        <v>92.990451388888886</v>
      </c>
      <c r="FE43" s="7">
        <f>((AVERAGE(EZ38:EZ43)*('Summary Page'!$C$4+1))*('Summary Page'!$C$4+1))*('Summary Page'!$C$4+1)</f>
        <v>82.271999999999977</v>
      </c>
      <c r="FF43" s="13">
        <f t="shared" si="7"/>
        <v>25.022727272727273</v>
      </c>
      <c r="FI43" s="40">
        <f t="shared" si="8"/>
        <v>37</v>
      </c>
      <c r="FJ43" s="7">
        <f>((AVERAGE(C38:C43)*('Summary Page'!$C$2+1))*('Summary Page'!$C$2+1))*('Summary Page'!$C$2+1)</f>
        <v>73.622261333333313</v>
      </c>
      <c r="FK43" s="7">
        <f>((AVERAGE(C38:C43)*('Summary Page'!$C$3+1))*('Summary Page'!$C$3+1))*('Summary Page'!$C$3+1)</f>
        <v>92.122395833333314</v>
      </c>
      <c r="FL43" s="7">
        <f>((AVERAGE(C38:C43)*('Summary Page'!$C$4+1))*('Summary Page'!$C$4+1))*('Summary Page'!$C$4+1)</f>
        <v>81.503999999999976</v>
      </c>
      <c r="FO43" s="40">
        <f t="shared" si="15"/>
        <v>2</v>
      </c>
      <c r="FP43" s="7">
        <f>((AVERAGE(D38:D43)*('Summary Page'!$C$2+1))*('Summary Page'!$C$2+1))*('Summary Page'!$C$2+1)</f>
        <v>3.3819413333333324</v>
      </c>
      <c r="FQ43" s="7">
        <f>((AVERAGE(D38:D43)*('Summary Page'!$C$3+1))*('Summary Page'!$C$3+1))*('Summary Page'!$C$3+1)</f>
        <v>4.2317708333333321</v>
      </c>
      <c r="FR43" s="7">
        <f>((AVERAGE(D38:D43)*('Summary Page'!$C$4+1))*('Summary Page'!$C$4+1))*('Summary Page'!$C$4+1)</f>
        <v>3.7439999999999993</v>
      </c>
      <c r="FU43" s="40">
        <f t="shared" si="16"/>
        <v>5</v>
      </c>
      <c r="FV43" s="7">
        <f>((AVERAGE(E38:E43)*('Summary Page'!$C$2+1))*('Summary Page'!$C$2+1))*('Summary Page'!$C$2+1)</f>
        <v>22.893141333333329</v>
      </c>
      <c r="FW43" s="7">
        <f>((AVERAGE(E38:E43)*('Summary Page'!$C$3+1))*('Summary Page'!$C$3+1))*('Summary Page'!$C$3+1)</f>
        <v>28.645833333333329</v>
      </c>
      <c r="FX43" s="7">
        <f>((AVERAGE(E38:E43)*('Summary Page'!$C$4+1))*('Summary Page'!$C$4+1))*('Summary Page'!$C$4+1)</f>
        <v>25.343999999999998</v>
      </c>
      <c r="GA43" s="40">
        <f t="shared" si="17"/>
        <v>35</v>
      </c>
      <c r="GB43" s="7">
        <f>((AVERAGE(F38:F43)*('Summary Page'!$C$2+1))*('Summary Page'!$C$2+1))*('Summary Page'!$C$2+1)</f>
        <v>56.712554666666662</v>
      </c>
      <c r="GC43" s="7">
        <f>((AVERAGE(F38:F43)*('Summary Page'!$C$3+1))*('Summary Page'!$C$3+1))*('Summary Page'!$C$3+1)</f>
        <v>70.963541666666686</v>
      </c>
      <c r="GD43" s="7">
        <f>((AVERAGE(F38:F43)*('Summary Page'!$C$4+1))*('Summary Page'!$C$4+1))*('Summary Page'!$C$4+1)</f>
        <v>62.783999999999999</v>
      </c>
      <c r="GG43" s="40">
        <f t="shared" si="18"/>
        <v>45</v>
      </c>
      <c r="GH43" s="7">
        <f>((AVERAGE(M38:M43)*('Summary Page'!$C$2+1))*('Summary Page'!$C$2+1))*('Summary Page'!$C$2+1)</f>
        <v>113.94540799999997</v>
      </c>
      <c r="GI43" s="7">
        <f>((AVERAGE(M38:M43)*('Summary Page'!$C$3+1))*('Summary Page'!$C$3+1))*('Summary Page'!$C$3+1)</f>
        <v>142.578125</v>
      </c>
      <c r="GJ43" s="7">
        <f>((AVERAGE(M38:M43)*('Summary Page'!$C$4+1))*('Summary Page'!$C$4+1))*('Summary Page'!$C$4+1)</f>
        <v>126.14399999999998</v>
      </c>
      <c r="GM43" s="40">
        <f t="shared" si="19"/>
        <v>30</v>
      </c>
      <c r="GN43" s="7">
        <f>((AVERAGE(G38:G43)*('Summary Page'!$C$2+1))*('Summary Page'!$C$2+1))*('Summary Page'!$C$2+1)</f>
        <v>52.550165333333318</v>
      </c>
      <c r="GO43" s="7">
        <f>((AVERAGE(G38:G43)*('Summary Page'!$C$3+1))*('Summary Page'!$C$3+1))*('Summary Page'!$C$3+1)</f>
        <v>65.755208333333314</v>
      </c>
      <c r="GP43" s="7">
        <f>((AVERAGE(G38:G43)*('Summary Page'!$C$4+1))*('Summary Page'!$C$4+1))*('Summary Page'!$C$4+1)</f>
        <v>58.175999999999995</v>
      </c>
      <c r="GS43" s="40">
        <f t="shared" si="20"/>
        <v>31</v>
      </c>
      <c r="GT43" s="7">
        <f>((AVERAGE(H38:H43)*('Summary Page'!$C$2+1))*('Summary Page'!$C$2+1))*('Summary Page'!$C$2+1)</f>
        <v>45.005834666666665</v>
      </c>
      <c r="GU43" s="7">
        <f>((AVERAGE(H38:H43)*('Summary Page'!$C$3+1))*('Summary Page'!$C$3+1))*('Summary Page'!$C$3+1)</f>
        <v>56.315104166666657</v>
      </c>
      <c r="GV43" s="7">
        <f>((AVERAGE(H38:H43)*('Summary Page'!$C$4+1))*('Summary Page'!$C$4+1))*('Summary Page'!$C$4+1)</f>
        <v>49.823999999999984</v>
      </c>
      <c r="GY43" s="40">
        <f t="shared" si="21"/>
        <v>10</v>
      </c>
      <c r="GZ43" s="7">
        <f>((AVERAGE(J38:J43)*('Summary Page'!$C$2+1))*('Summary Page'!$C$2+1))*('Summary Page'!$C$2+1)</f>
        <v>14.308213333333329</v>
      </c>
      <c r="HA43" s="7">
        <f>((AVERAGE(J38:J43)*('Summary Page'!$C$3+1))*('Summary Page'!$C$3+1))*('Summary Page'!$C$3+1)</f>
        <v>17.903645833333329</v>
      </c>
      <c r="HB43" s="7">
        <f>((AVERAGE(J38:J43)*('Summary Page'!$C$4+1))*('Summary Page'!$C$4+1))*('Summary Page'!$C$4+1)</f>
        <v>15.839999999999996</v>
      </c>
      <c r="HE43" s="40">
        <f t="shared" si="22"/>
        <v>30</v>
      </c>
      <c r="HF43" s="7">
        <f>((AVERAGE(K38:K43)*('Summary Page'!$C$2+1))*('Summary Page'!$C$2+1))*('Summary Page'!$C$2+1)</f>
        <v>53.590762666666656</v>
      </c>
      <c r="HG43" s="7">
        <f>((AVERAGE(K38:K43)*('Summary Page'!$C$3+1))*('Summary Page'!$C$3+1))*('Summary Page'!$C$3+1)</f>
        <v>67.057291666666686</v>
      </c>
      <c r="HH43" s="7">
        <f>((AVERAGE(K38:K43)*('Summary Page'!$C$4+1))*('Summary Page'!$C$4+1))*('Summary Page'!$C$4+1)</f>
        <v>59.328000000000003</v>
      </c>
      <c r="HL43" s="7">
        <f>((AVERAGE(L38:L43)*('Summary Page'!$C$2+1))*('Summary Page'!$C$2+1))*('Summary Page'!$C$2+1)</f>
        <v>49.792582399999993</v>
      </c>
      <c r="HM43" s="7">
        <f>((AVERAGE(L38:L43)*('Summary Page'!$C$3+1))*('Summary Page'!$C$3+1))*('Summary Page'!$C$3+1)</f>
        <v>62.3046875</v>
      </c>
      <c r="HN43" s="7">
        <f>((AVERAGE(L38:L43)*('Summary Page'!$C$4+1))*('Summary Page'!$C$4+1))*('Summary Page'!$C$4+1)</f>
        <v>55.12319999999999</v>
      </c>
      <c r="HQ43" s="40">
        <f t="shared" si="39"/>
        <v>90</v>
      </c>
      <c r="HR43" s="7">
        <f>((AVERAGE(AL38:AL43)*('Summary Page'!$C$2+1))*('Summary Page'!$C$2+1))*('Summary Page'!$C$2+1)</f>
        <v>153.74825599999997</v>
      </c>
      <c r="HS43" s="7">
        <f>((AVERAGE(AL38:AL43)*('Summary Page'!$C$3+1))*('Summary Page'!$C$3+1))*('Summary Page'!$C$3+1)</f>
        <v>192.3828125</v>
      </c>
      <c r="HT43" s="7">
        <f>((AVERAGE(AL38:AL43)*('Summary Page'!$C$4+1))*('Summary Page'!$C$4+1))*('Summary Page'!$C$4+1)</f>
        <v>170.20799999999997</v>
      </c>
      <c r="HU43" s="7">
        <f t="shared" si="34"/>
        <v>100</v>
      </c>
      <c r="HV43" s="16">
        <f t="shared" si="32"/>
        <v>11.325842696629213</v>
      </c>
      <c r="HW43" s="16">
        <f t="shared" si="33"/>
        <v>11.805243445692884</v>
      </c>
      <c r="HX43" s="7">
        <f t="shared" si="40"/>
        <v>11.805243445692884</v>
      </c>
      <c r="HY43" s="7">
        <f>((AVERAGE(HV32:HV43,HX32:HX43)*('Summary Page'!$C$2+1))*('Summary Page'!$C$2+1))*('Summary Page'!$C$2+1)</f>
        <v>21.756084134831461</v>
      </c>
      <c r="HZ43" s="7">
        <f>((AVERAGE(HV32:HV43,HX32:HX43)*('Summary Page'!$C$3+1))*('Summary Page'!$C$3+1))*('Summary Page'!$C$3+1)</f>
        <v>27.223051264044944</v>
      </c>
      <c r="IA43" s="7">
        <f>((AVERAGE(HV32:HV43,HX32:HX43)*('Summary Page'!$C$4+1))*('Summary Page'!$C$4+1))*('Summary Page'!$C$4+1)</f>
        <v>24.08521348314607</v>
      </c>
      <c r="IB43" s="11">
        <f t="shared" si="35"/>
        <v>13.213483146067414</v>
      </c>
      <c r="IC43" s="11">
        <f t="shared" si="26"/>
        <v>13.772784019975031</v>
      </c>
      <c r="ID43" s="11">
        <f t="shared" si="27"/>
        <v>13.772784019975031</v>
      </c>
      <c r="IE43" s="11">
        <f t="shared" si="28"/>
        <v>25.382098157303371</v>
      </c>
      <c r="IF43" s="11">
        <f t="shared" si="29"/>
        <v>31.760226474719101</v>
      </c>
      <c r="IG43" s="11">
        <f t="shared" si="30"/>
        <v>28.099415730337082</v>
      </c>
    </row>
    <row r="44" spans="1:241" ht="15.75" x14ac:dyDescent="0.25">
      <c r="A44" s="10">
        <v>44292</v>
      </c>
      <c r="B44" s="40">
        <v>12</v>
      </c>
      <c r="C44" s="40">
        <v>31</v>
      </c>
      <c r="D44" s="40">
        <v>2</v>
      </c>
      <c r="E44" s="40">
        <v>16</v>
      </c>
      <c r="F44" s="40">
        <v>41</v>
      </c>
      <c r="G44" s="40">
        <v>30</v>
      </c>
      <c r="H44" s="40">
        <v>26</v>
      </c>
      <c r="I44" s="7">
        <f t="shared" si="1"/>
        <v>28.25</v>
      </c>
      <c r="J44" s="40">
        <v>8</v>
      </c>
      <c r="K44" s="40">
        <v>24</v>
      </c>
      <c r="L44" s="40">
        <v>28</v>
      </c>
      <c r="M44" s="40">
        <v>55</v>
      </c>
      <c r="N44" s="40">
        <v>10</v>
      </c>
      <c r="O44" s="40">
        <v>33</v>
      </c>
      <c r="P44" s="40">
        <v>1</v>
      </c>
      <c r="Q44" s="40">
        <v>21</v>
      </c>
      <c r="R44" s="40">
        <v>43</v>
      </c>
      <c r="S44" s="40">
        <v>37</v>
      </c>
      <c r="T44" s="40">
        <v>29</v>
      </c>
      <c r="U44" s="7">
        <f t="shared" si="2"/>
        <v>32.5</v>
      </c>
      <c r="V44" s="40">
        <v>10</v>
      </c>
      <c r="W44" s="40">
        <v>32</v>
      </c>
      <c r="X44" s="40">
        <v>30.5</v>
      </c>
      <c r="Y44" s="69">
        <v>37</v>
      </c>
      <c r="Z44" s="40"/>
      <c r="AA44" s="40"/>
      <c r="AB44" s="40"/>
      <c r="AC44" s="40"/>
      <c r="AD44" s="40"/>
      <c r="AE44" s="40"/>
      <c r="AF44" s="40"/>
      <c r="AG44" s="7" t="e">
        <f t="shared" si="3"/>
        <v>#DIV/0!</v>
      </c>
      <c r="AH44" s="40"/>
      <c r="AI44" s="40"/>
      <c r="AJ44" s="40"/>
      <c r="AK44" s="40"/>
      <c r="AL44" s="40">
        <v>100</v>
      </c>
      <c r="AM44" s="40">
        <v>101</v>
      </c>
      <c r="AN44" s="40"/>
      <c r="AO44" s="40">
        <v>364</v>
      </c>
      <c r="AP44" s="40">
        <v>370</v>
      </c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13">
        <f t="shared" si="4"/>
        <v>28.111111111111111</v>
      </c>
      <c r="EN44" s="13">
        <f t="shared" si="9"/>
        <v>29.277777777777779</v>
      </c>
      <c r="EO44" s="13">
        <f t="shared" si="36"/>
        <v>35.133333333333333</v>
      </c>
      <c r="EP44" s="30">
        <f>((AVERAGE(EM39:EM44)*('Summary Page'!$C$2+1))*('Summary Page'!$C$2+1))*('Summary Page'!$C$2+1)</f>
        <v>51.003722074074062</v>
      </c>
      <c r="EQ44" s="7">
        <f>((AVERAGE(EM39:EM44)*('Summary Page'!$C$3+1))*('Summary Page'!$C$3+1))*('Summary Page'!$C$3+1)</f>
        <v>63.820167824074062</v>
      </c>
      <c r="ER44" s="7">
        <f>((AVERAGE(EM39:EM44)*('Summary Page'!$C$4+1))*('Summary Page'!$C$4+1))*('Summary Page'!$C$4+1)</f>
        <v>56.463999999999992</v>
      </c>
      <c r="ES44" s="7">
        <v>80</v>
      </c>
      <c r="ET44" s="13">
        <f t="shared" si="5"/>
        <v>28.25</v>
      </c>
      <c r="EU44" s="13">
        <f t="shared" si="11"/>
        <v>32.5</v>
      </c>
      <c r="EV44" s="13">
        <f t="shared" si="37"/>
        <v>39</v>
      </c>
      <c r="EW44" s="7">
        <f>((AVERAGE(ET39:ET44)*('Summary Page'!$C$2+1))*('Summary Page'!$C$2+1))*('Summary Page'!$C$2+1)</f>
        <v>43.249826666666657</v>
      </c>
      <c r="EX44" s="7">
        <f>((AVERAGE(ET39:ET44)*('Summary Page'!$C$3+1))*('Summary Page'!$C$3+1))*('Summary Page'!$C$3+1)</f>
        <v>54.117838541666657</v>
      </c>
      <c r="EY44" s="7">
        <f>((AVERAGE(ET39:ET44)*('Summary Page'!$C$4+1))*('Summary Page'!$C$4+1))*('Summary Page'!$C$4+1)</f>
        <v>47.879999999999995</v>
      </c>
      <c r="EZ44" s="13">
        <f t="shared" si="6"/>
        <v>35.666666666666664</v>
      </c>
      <c r="FA44" s="13">
        <f t="shared" si="13"/>
        <v>33.166666666666664</v>
      </c>
      <c r="FB44" s="13">
        <f t="shared" si="38"/>
        <v>39.799999999999997</v>
      </c>
      <c r="FC44" s="7">
        <f>((AVERAGE(EZ39:EZ44)*('Summary Page'!$C$2+1))*('Summary Page'!$C$2+1))*('Summary Page'!$C$2+1)</f>
        <v>69.676663111111083</v>
      </c>
      <c r="FD44" s="7">
        <f>((AVERAGE(EZ39:EZ44)*('Summary Page'!$C$3+1))*('Summary Page'!$C$3+1))*('Summary Page'!$C$3+1)</f>
        <v>87.185329861111114</v>
      </c>
      <c r="FE44" s="7">
        <f>((AVERAGE(EZ39:EZ44)*('Summary Page'!$C$4+1))*('Summary Page'!$C$4+1))*('Summary Page'!$C$4+1)</f>
        <v>77.135999999999981</v>
      </c>
      <c r="FF44" s="13">
        <f t="shared" si="7"/>
        <v>25.65909090909091</v>
      </c>
      <c r="FI44" s="40">
        <f t="shared" si="8"/>
        <v>33</v>
      </c>
      <c r="FJ44" s="7">
        <f>((AVERAGE(C39:C44)*('Summary Page'!$C$2+1))*('Summary Page'!$C$2+1))*('Summary Page'!$C$2+1)</f>
        <v>73.622261333333313</v>
      </c>
      <c r="FK44" s="7">
        <f>((AVERAGE(C39:C44)*('Summary Page'!$C$3+1))*('Summary Page'!$C$3+1))*('Summary Page'!$C$3+1)</f>
        <v>92.122395833333314</v>
      </c>
      <c r="FL44" s="7">
        <f>((AVERAGE(C39:C44)*('Summary Page'!$C$4+1))*('Summary Page'!$C$4+1))*('Summary Page'!$C$4+1)</f>
        <v>81.503999999999976</v>
      </c>
      <c r="FO44" s="40">
        <f t="shared" si="15"/>
        <v>1</v>
      </c>
      <c r="FP44" s="7">
        <f>((AVERAGE(D39:D44)*('Summary Page'!$C$2+1))*('Summary Page'!$C$2+1))*('Summary Page'!$C$2+1)</f>
        <v>3.3819413333333324</v>
      </c>
      <c r="FQ44" s="7">
        <f>((AVERAGE(D39:D44)*('Summary Page'!$C$3+1))*('Summary Page'!$C$3+1))*('Summary Page'!$C$3+1)</f>
        <v>4.2317708333333321</v>
      </c>
      <c r="FR44" s="7">
        <f>((AVERAGE(D39:D44)*('Summary Page'!$C$4+1))*('Summary Page'!$C$4+1))*('Summary Page'!$C$4+1)</f>
        <v>3.7439999999999993</v>
      </c>
      <c r="FU44" s="40">
        <f t="shared" si="16"/>
        <v>21</v>
      </c>
      <c r="FV44" s="7">
        <f>((AVERAGE(E39:E44)*('Summary Page'!$C$2+1))*('Summary Page'!$C$2+1))*('Summary Page'!$C$2+1)</f>
        <v>22.632991999999998</v>
      </c>
      <c r="FW44" s="7">
        <f>((AVERAGE(E39:E44)*('Summary Page'!$C$3+1))*('Summary Page'!$C$3+1))*('Summary Page'!$C$3+1)</f>
        <v>28.3203125</v>
      </c>
      <c r="FX44" s="7">
        <f>((AVERAGE(E39:E44)*('Summary Page'!$C$4+1))*('Summary Page'!$C$4+1))*('Summary Page'!$C$4+1)</f>
        <v>25.055999999999997</v>
      </c>
      <c r="GA44" s="40">
        <f t="shared" si="17"/>
        <v>43</v>
      </c>
      <c r="GB44" s="7">
        <f>((AVERAGE(F39:F44)*('Summary Page'!$C$2+1))*('Summary Page'!$C$2+1))*('Summary Page'!$C$2+1)</f>
        <v>56.192255999999986</v>
      </c>
      <c r="GC44" s="7">
        <f>((AVERAGE(F39:F44)*('Summary Page'!$C$3+1))*('Summary Page'!$C$3+1))*('Summary Page'!$C$3+1)</f>
        <v>70.3125</v>
      </c>
      <c r="GD44" s="7">
        <f>((AVERAGE(F39:F44)*('Summary Page'!$C$4+1))*('Summary Page'!$C$4+1))*('Summary Page'!$C$4+1)</f>
        <v>62.207999999999991</v>
      </c>
      <c r="GG44" s="40">
        <f t="shared" si="18"/>
        <v>37</v>
      </c>
      <c r="GH44" s="7">
        <f>((AVERAGE(M39:M44)*('Summary Page'!$C$2+1))*('Summary Page'!$C$2+1))*('Summary Page'!$C$2+1)</f>
        <v>114.46570666666663</v>
      </c>
      <c r="GI44" s="7">
        <f>((AVERAGE(M39:M44)*('Summary Page'!$C$3+1))*('Summary Page'!$C$3+1))*('Summary Page'!$C$3+1)</f>
        <v>143.22916666666663</v>
      </c>
      <c r="GJ44" s="7">
        <f>((AVERAGE(M39:M44)*('Summary Page'!$C$4+1))*('Summary Page'!$C$4+1))*('Summary Page'!$C$4+1)</f>
        <v>126.71999999999997</v>
      </c>
      <c r="GM44" s="40">
        <f t="shared" si="19"/>
        <v>37</v>
      </c>
      <c r="GN44" s="7">
        <f>((AVERAGE(G39:G44)*('Summary Page'!$C$2+1))*('Summary Page'!$C$2+1))*('Summary Page'!$C$2+1)</f>
        <v>50.208821333333319</v>
      </c>
      <c r="GO44" s="7">
        <f>((AVERAGE(G39:G44)*('Summary Page'!$C$3+1))*('Summary Page'!$C$3+1))*('Summary Page'!$C$3+1)</f>
        <v>62.825520833333321</v>
      </c>
      <c r="GP44" s="7">
        <f>((AVERAGE(G39:G44)*('Summary Page'!$C$4+1))*('Summary Page'!$C$4+1))*('Summary Page'!$C$4+1)</f>
        <v>55.583999999999989</v>
      </c>
      <c r="GS44" s="40">
        <f t="shared" si="20"/>
        <v>29</v>
      </c>
      <c r="GT44" s="7">
        <f>((AVERAGE(H39:H44)*('Summary Page'!$C$2+1))*('Summary Page'!$C$2+1))*('Summary Page'!$C$2+1)</f>
        <v>43.965237333333327</v>
      </c>
      <c r="GU44" s="7">
        <f>((AVERAGE(H39:H44)*('Summary Page'!$C$3+1))*('Summary Page'!$C$3+1))*('Summary Page'!$C$3+1)</f>
        <v>55.013020833333343</v>
      </c>
      <c r="GV44" s="7">
        <f>((AVERAGE(H39:H44)*('Summary Page'!$C$4+1))*('Summary Page'!$C$4+1))*('Summary Page'!$C$4+1)</f>
        <v>48.67199999999999</v>
      </c>
      <c r="GY44" s="40">
        <f t="shared" si="21"/>
        <v>10</v>
      </c>
      <c r="GZ44" s="7">
        <f>((AVERAGE(J39:J44)*('Summary Page'!$C$2+1))*('Summary Page'!$C$2+1))*('Summary Page'!$C$2+1)</f>
        <v>14.568362666666664</v>
      </c>
      <c r="HA44" s="7">
        <f>((AVERAGE(J39:J44)*('Summary Page'!$C$3+1))*('Summary Page'!$C$3+1))*('Summary Page'!$C$3+1)</f>
        <v>18.229166666666671</v>
      </c>
      <c r="HB44" s="7">
        <f>((AVERAGE(J39:J44)*('Summary Page'!$C$4+1))*('Summary Page'!$C$4+1))*('Summary Page'!$C$4+1)</f>
        <v>16.128</v>
      </c>
      <c r="HE44" s="40">
        <f t="shared" si="22"/>
        <v>32</v>
      </c>
      <c r="HF44" s="7">
        <f>((AVERAGE(K39:K44)*('Summary Page'!$C$2+1))*('Summary Page'!$C$2+1))*('Summary Page'!$C$2+1)</f>
        <v>45.786282666666658</v>
      </c>
      <c r="HG44" s="7">
        <f>((AVERAGE(K39:K44)*('Summary Page'!$C$3+1))*('Summary Page'!$C$3+1))*('Summary Page'!$C$3+1)</f>
        <v>57.291666666666657</v>
      </c>
      <c r="HH44" s="7">
        <f>((AVERAGE(K39:K44)*('Summary Page'!$C$4+1))*('Summary Page'!$C$4+1))*('Summary Page'!$C$4+1)</f>
        <v>50.687999999999995</v>
      </c>
      <c r="HL44" s="7">
        <f>((AVERAGE(L39:L44)*('Summary Page'!$C$2+1))*('Summary Page'!$C$2+1))*('Summary Page'!$C$2+1)</f>
        <v>48.777999999999992</v>
      </c>
      <c r="HM44" s="7">
        <f>((AVERAGE(L39:L44)*('Summary Page'!$C$3+1))*('Summary Page'!$C$3+1))*('Summary Page'!$C$3+1)</f>
        <v>61.03515625</v>
      </c>
      <c r="HN44" s="7">
        <f>((AVERAGE(L39:L44)*('Summary Page'!$C$4+1))*('Summary Page'!$C$4+1))*('Summary Page'!$C$4+1)</f>
        <v>54</v>
      </c>
      <c r="HQ44" s="40">
        <f t="shared" si="39"/>
        <v>101</v>
      </c>
      <c r="HR44" s="7">
        <f>((AVERAGE(AL39:AL44)*('Summary Page'!$C$2+1))*('Summary Page'!$C$2+1))*('Summary Page'!$C$2+1)</f>
        <v>157.65049599999998</v>
      </c>
      <c r="HS44" s="7">
        <f>((AVERAGE(AL39:AL44)*('Summary Page'!$C$3+1))*('Summary Page'!$C$3+1))*('Summary Page'!$C$3+1)</f>
        <v>197.265625</v>
      </c>
      <c r="HT44" s="7">
        <f>((AVERAGE(AL39:AL44)*('Summary Page'!$C$4+1))*('Summary Page'!$C$4+1))*('Summary Page'!$C$4+1)</f>
        <v>174.52799999999996</v>
      </c>
      <c r="HU44" s="7">
        <f t="shared" si="34"/>
        <v>100</v>
      </c>
      <c r="HV44" s="16">
        <f t="shared" si="32"/>
        <v>10.906367041198502</v>
      </c>
      <c r="HW44" s="16">
        <f t="shared" si="33"/>
        <v>11.086142322097379</v>
      </c>
      <c r="HX44" s="7">
        <f t="shared" si="40"/>
        <v>11.086142322097379</v>
      </c>
      <c r="HY44" s="7">
        <f>((AVERAGE(HV33:HV44,HX33:HX44)*('Summary Page'!$C$2+1))*('Summary Page'!$C$2+1))*('Summary Page'!$C$2+1)</f>
        <v>21.194863101123591</v>
      </c>
      <c r="HZ44" s="7">
        <f>((AVERAGE(HV33:HV44,HX33:HX44)*('Summary Page'!$C$3+1))*('Summary Page'!$C$3+1))*('Summary Page'!$C$3+1)</f>
        <v>26.520804073033712</v>
      </c>
      <c r="IA44" s="7">
        <f>((AVERAGE(HV33:HV44,HX33:HX44)*('Summary Page'!$C$4+1))*('Summary Page'!$C$4+1))*('Summary Page'!$C$4+1)</f>
        <v>23.463910112359549</v>
      </c>
      <c r="IB44" s="11">
        <f t="shared" si="35"/>
        <v>12.724094881398251</v>
      </c>
      <c r="IC44" s="11">
        <f t="shared" si="26"/>
        <v>12.933832709113609</v>
      </c>
      <c r="ID44" s="11">
        <f t="shared" si="27"/>
        <v>12.933832709113609</v>
      </c>
      <c r="IE44" s="11">
        <f t="shared" si="28"/>
        <v>24.727340284644189</v>
      </c>
      <c r="IF44" s="11">
        <f t="shared" si="29"/>
        <v>30.940938085206</v>
      </c>
      <c r="IG44" s="11">
        <f t="shared" si="30"/>
        <v>27.374561797752808</v>
      </c>
    </row>
    <row r="45" spans="1:241" ht="15.75" x14ac:dyDescent="0.25">
      <c r="A45" s="10">
        <v>44363</v>
      </c>
      <c r="B45" s="40">
        <v>18</v>
      </c>
      <c r="C45" s="40">
        <v>61</v>
      </c>
      <c r="D45" s="40">
        <v>3</v>
      </c>
      <c r="E45" s="40">
        <v>23</v>
      </c>
      <c r="F45" s="40">
        <v>80</v>
      </c>
      <c r="G45" s="40">
        <v>50</v>
      </c>
      <c r="H45" s="40">
        <v>55</v>
      </c>
      <c r="I45" s="7">
        <f t="shared" si="1"/>
        <v>52</v>
      </c>
      <c r="J45" s="40">
        <v>11</v>
      </c>
      <c r="K45" s="40">
        <v>36</v>
      </c>
      <c r="L45" s="40">
        <v>51.5</v>
      </c>
      <c r="M45" s="40">
        <v>61.5</v>
      </c>
      <c r="N45" s="40">
        <v>24</v>
      </c>
      <c r="O45" s="40">
        <v>36</v>
      </c>
      <c r="P45" s="40">
        <v>3</v>
      </c>
      <c r="Q45" s="40">
        <v>17</v>
      </c>
      <c r="R45" s="40">
        <v>63</v>
      </c>
      <c r="S45" s="40">
        <v>69</v>
      </c>
      <c r="T45" s="40">
        <v>44</v>
      </c>
      <c r="U45" s="7">
        <f t="shared" si="2"/>
        <v>48.25</v>
      </c>
      <c r="V45" s="40">
        <v>8</v>
      </c>
      <c r="W45" s="40">
        <v>34</v>
      </c>
      <c r="X45" s="40">
        <v>74</v>
      </c>
      <c r="Y45" s="69">
        <v>80</v>
      </c>
      <c r="Z45" s="40"/>
      <c r="AA45" s="40"/>
      <c r="AB45" s="40"/>
      <c r="AC45" s="40"/>
      <c r="AD45" s="40"/>
      <c r="AE45" s="40"/>
      <c r="AF45" s="40"/>
      <c r="AG45" s="7" t="e">
        <f t="shared" si="3"/>
        <v>#DIV/0!</v>
      </c>
      <c r="AH45" s="40"/>
      <c r="AI45" s="40"/>
      <c r="AJ45" s="40"/>
      <c r="AK45" s="40"/>
      <c r="AL45" s="40">
        <v>158</v>
      </c>
      <c r="AM45" s="40">
        <v>159</v>
      </c>
      <c r="AN45" s="40"/>
      <c r="AO45" s="40">
        <v>400.5</v>
      </c>
      <c r="AP45" s="40">
        <v>394</v>
      </c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13">
        <f t="shared" si="4"/>
        <v>46.777777777777779</v>
      </c>
      <c r="EN45" s="13">
        <f t="shared" si="9"/>
        <v>46.666666666666664</v>
      </c>
      <c r="EO45" s="13">
        <f t="shared" si="36"/>
        <v>55.999999999999993</v>
      </c>
      <c r="EP45" s="30">
        <f>((AVERAGE(EM40:EM45)*('Summary Page'!$C$2+1))*('Summary Page'!$C$2+1))*('Summary Page'!$C$2+1)</f>
        <v>53.547404444444425</v>
      </c>
      <c r="EQ45" s="7">
        <f>((AVERAGE(EM40:EM45)*('Summary Page'!$C$3+1))*('Summary Page'!$C$3+1))*('Summary Page'!$C$3+1)</f>
        <v>67.003038194444429</v>
      </c>
      <c r="ER45" s="7">
        <f>((AVERAGE(EM40:EM45)*('Summary Page'!$C$4+1))*('Summary Page'!$C$4+1))*('Summary Page'!$C$4+1)</f>
        <v>59.27999999999998</v>
      </c>
      <c r="ES45" s="7">
        <v>80</v>
      </c>
      <c r="ET45" s="13">
        <f t="shared" si="5"/>
        <v>52</v>
      </c>
      <c r="EU45" s="13">
        <f t="shared" si="11"/>
        <v>48.25</v>
      </c>
      <c r="EV45" s="13">
        <f t="shared" si="37"/>
        <v>57.9</v>
      </c>
      <c r="EW45" s="7">
        <f>((AVERAGE(ET40:ET45)*('Summary Page'!$C$2+1))*('Summary Page'!$C$2+1))*('Summary Page'!$C$2+1)</f>
        <v>49.753559999999986</v>
      </c>
      <c r="EX45" s="7">
        <f>((AVERAGE(ET40:ET45)*('Summary Page'!$C$3+1))*('Summary Page'!$C$3+1))*('Summary Page'!$C$3+1)</f>
        <v>62.255859375</v>
      </c>
      <c r="EY45" s="7">
        <f>((AVERAGE(ET40:ET45)*('Summary Page'!$C$4+1))*('Summary Page'!$C$4+1))*('Summary Page'!$C$4+1)</f>
        <v>55.08</v>
      </c>
      <c r="EZ45" s="13">
        <f t="shared" si="6"/>
        <v>49.666666666666664</v>
      </c>
      <c r="FA45" s="13">
        <f t="shared" si="13"/>
        <v>62.666666666666664</v>
      </c>
      <c r="FB45" s="13">
        <f t="shared" si="38"/>
        <v>75.199999999999989</v>
      </c>
      <c r="FC45" s="7">
        <f>((AVERAGE(EZ40:EZ45)*('Summary Page'!$C$2+1))*('Summary Page'!$C$2+1))*('Summary Page'!$C$2+1)</f>
        <v>68.029050666666649</v>
      </c>
      <c r="FD45" s="7">
        <f>((AVERAGE(EZ40:EZ45)*('Summary Page'!$C$3+1))*('Summary Page'!$C$3+1))*('Summary Page'!$C$3+1)</f>
        <v>85.123697916666686</v>
      </c>
      <c r="FE45" s="7">
        <f>((AVERAGE(EZ40:EZ45)*('Summary Page'!$C$4+1))*('Summary Page'!$C$4+1))*('Summary Page'!$C$4+1)</f>
        <v>75.311999999999998</v>
      </c>
      <c r="FF45" s="13">
        <f t="shared" si="7"/>
        <v>41.727272727272727</v>
      </c>
      <c r="FI45" s="40">
        <f t="shared" si="8"/>
        <v>36</v>
      </c>
      <c r="FJ45" s="7">
        <f>((AVERAGE(C40:C45)*('Summary Page'!$C$2+1))*('Summary Page'!$C$2+1))*('Summary Page'!$C$2+1)</f>
        <v>75.443306666666643</v>
      </c>
      <c r="FK45" s="7">
        <f>((AVERAGE(C40:C45)*('Summary Page'!$C$3+1))*('Summary Page'!$C$3+1))*('Summary Page'!$C$3+1)</f>
        <v>94.401041666666686</v>
      </c>
      <c r="FL45" s="7">
        <f>((AVERAGE(C40:C45)*('Summary Page'!$C$4+1))*('Summary Page'!$C$4+1))*('Summary Page'!$C$4+1)</f>
        <v>83.52</v>
      </c>
      <c r="FO45" s="40">
        <f t="shared" si="15"/>
        <v>3</v>
      </c>
      <c r="FP45" s="7">
        <f>((AVERAGE(D40:D45)*('Summary Page'!$C$2+1))*('Summary Page'!$C$2+1))*('Summary Page'!$C$2+1)</f>
        <v>3.3819413333333324</v>
      </c>
      <c r="FQ45" s="7">
        <f>((AVERAGE(D40:D45)*('Summary Page'!$C$3+1))*('Summary Page'!$C$3+1))*('Summary Page'!$C$3+1)</f>
        <v>4.2317708333333321</v>
      </c>
      <c r="FR45" s="7">
        <f>((AVERAGE(D40:D45)*('Summary Page'!$C$4+1))*('Summary Page'!$C$4+1))*('Summary Page'!$C$4+1)</f>
        <v>3.7439999999999993</v>
      </c>
      <c r="FU45" s="40">
        <f t="shared" si="16"/>
        <v>17</v>
      </c>
      <c r="FV45" s="7">
        <f>((AVERAGE(E40:E45)*('Summary Page'!$C$2+1))*('Summary Page'!$C$2+1))*('Summary Page'!$C$2+1)</f>
        <v>24.974335999999997</v>
      </c>
      <c r="FW45" s="7">
        <f>((AVERAGE(E40:E45)*('Summary Page'!$C$3+1))*('Summary Page'!$C$3+1))*('Summary Page'!$C$3+1)</f>
        <v>31.25</v>
      </c>
      <c r="FX45" s="7">
        <f>((AVERAGE(E40:E45)*('Summary Page'!$C$4+1))*('Summary Page'!$C$4+1))*('Summary Page'!$C$4+1)</f>
        <v>27.648</v>
      </c>
      <c r="GA45" s="40">
        <f t="shared" si="17"/>
        <v>63</v>
      </c>
      <c r="GB45" s="7">
        <f>((AVERAGE(F40:F45)*('Summary Page'!$C$2+1))*('Summary Page'!$C$2+1))*('Summary Page'!$C$2+1)</f>
        <v>68.679423999999983</v>
      </c>
      <c r="GC45" s="7">
        <f>((AVERAGE(F40:F45)*('Summary Page'!$C$3+1))*('Summary Page'!$C$3+1))*('Summary Page'!$C$3+1)</f>
        <v>85.9375</v>
      </c>
      <c r="GD45" s="7">
        <f>((AVERAGE(F40:F45)*('Summary Page'!$C$4+1))*('Summary Page'!$C$4+1))*('Summary Page'!$C$4+1)</f>
        <v>76.031999999999982</v>
      </c>
      <c r="GG45" s="40">
        <f t="shared" si="18"/>
        <v>80</v>
      </c>
      <c r="GH45" s="7">
        <f>((AVERAGE(M40:M45)*('Summary Page'!$C$2+1))*('Summary Page'!$C$2+1))*('Summary Page'!$C$2+1)</f>
        <v>107.05145066666664</v>
      </c>
      <c r="GI45" s="7">
        <f>((AVERAGE(M40:M45)*('Summary Page'!$C$3+1))*('Summary Page'!$C$3+1))*('Summary Page'!$C$3+1)</f>
        <v>133.95182291666663</v>
      </c>
      <c r="GJ45" s="7">
        <f>((AVERAGE(M40:M45)*('Summary Page'!$C$4+1))*('Summary Page'!$C$4+1))*('Summary Page'!$C$4+1)</f>
        <v>118.51199999999999</v>
      </c>
      <c r="GM45" s="40">
        <f t="shared" si="19"/>
        <v>69</v>
      </c>
      <c r="GN45" s="7">
        <f>((AVERAGE(G40:G45)*('Summary Page'!$C$2+1))*('Summary Page'!$C$2+1))*('Summary Page'!$C$2+1)</f>
        <v>53.850911999999987</v>
      </c>
      <c r="GO45" s="7">
        <f>((AVERAGE(G40:G45)*('Summary Page'!$C$3+1))*('Summary Page'!$C$3+1))*('Summary Page'!$C$3+1)</f>
        <v>67.3828125</v>
      </c>
      <c r="GP45" s="7">
        <f>((AVERAGE(G40:G45)*('Summary Page'!$C$4+1))*('Summary Page'!$C$4+1))*('Summary Page'!$C$4+1)</f>
        <v>59.616</v>
      </c>
      <c r="GS45" s="40">
        <f t="shared" si="20"/>
        <v>44</v>
      </c>
      <c r="GT45" s="7">
        <f>((AVERAGE(H40:H45)*('Summary Page'!$C$2+1))*('Summary Page'!$C$2+1))*('Summary Page'!$C$2+1)</f>
        <v>51.50956799999998</v>
      </c>
      <c r="GU45" s="7">
        <f>((AVERAGE(H40:H45)*('Summary Page'!$C$3+1))*('Summary Page'!$C$3+1))*('Summary Page'!$C$3+1)</f>
        <v>64.453125</v>
      </c>
      <c r="GV45" s="7">
        <f>((AVERAGE(H40:H45)*('Summary Page'!$C$4+1))*('Summary Page'!$C$4+1))*('Summary Page'!$C$4+1)</f>
        <v>57.024000000000001</v>
      </c>
      <c r="GY45" s="40">
        <f t="shared" si="21"/>
        <v>8</v>
      </c>
      <c r="GZ45" s="7">
        <f>((AVERAGE(J40:J45)*('Summary Page'!$C$2+1))*('Summary Page'!$C$2+1))*('Summary Page'!$C$2+1)</f>
        <v>15.869109333333327</v>
      </c>
      <c r="HA45" s="7">
        <f>((AVERAGE(J40:J45)*('Summary Page'!$C$3+1))*('Summary Page'!$C$3+1))*('Summary Page'!$C$3+1)</f>
        <v>19.856770833333329</v>
      </c>
      <c r="HB45" s="7">
        <f>((AVERAGE(J40:J45)*('Summary Page'!$C$4+1))*('Summary Page'!$C$4+1))*('Summary Page'!$C$4+1)</f>
        <v>17.567999999999998</v>
      </c>
      <c r="HE45" s="40">
        <f t="shared" si="22"/>
        <v>34</v>
      </c>
      <c r="HF45" s="7">
        <f>((AVERAGE(K40:K45)*('Summary Page'!$C$2+1))*('Summary Page'!$C$2+1))*('Summary Page'!$C$2+1)</f>
        <v>45.005834666666665</v>
      </c>
      <c r="HG45" s="7">
        <f>((AVERAGE(K40:K45)*('Summary Page'!$C$3+1))*('Summary Page'!$C$3+1))*('Summary Page'!$C$3+1)</f>
        <v>56.315104166666657</v>
      </c>
      <c r="HH45" s="7">
        <f>((AVERAGE(K40:K45)*('Summary Page'!$C$4+1))*('Summary Page'!$C$4+1))*('Summary Page'!$C$4+1)</f>
        <v>49.823999999999984</v>
      </c>
      <c r="HL45" s="7">
        <f>((AVERAGE(L40:L45)*('Summary Page'!$C$2+1))*('Summary Page'!$C$2+1))*('Summary Page'!$C$2+1)</f>
        <v>52.029866666666656</v>
      </c>
      <c r="HM45" s="7">
        <f>((AVERAGE(L40:L45)*('Summary Page'!$C$3+1))*('Summary Page'!$C$3+1))*('Summary Page'!$C$3+1)</f>
        <v>65.104166666666686</v>
      </c>
      <c r="HN45" s="7">
        <f>((AVERAGE(L40:L45)*('Summary Page'!$C$4+1))*('Summary Page'!$C$4+1))*('Summary Page'!$C$4+1)</f>
        <v>57.599999999999994</v>
      </c>
      <c r="HQ45" s="40">
        <f t="shared" si="39"/>
        <v>159</v>
      </c>
      <c r="HR45" s="7">
        <f>((AVERAGE(AL40:AL45)*('Summary Page'!$C$2+1))*('Summary Page'!$C$2+1))*('Summary Page'!$C$2+1)</f>
        <v>172.21885866666662</v>
      </c>
      <c r="HS45" s="7">
        <f>((AVERAGE(AL40:AL45)*('Summary Page'!$C$3+1))*('Summary Page'!$C$3+1))*('Summary Page'!$C$3+1)</f>
        <v>215.49479166666663</v>
      </c>
      <c r="HT45" s="7">
        <f>((AVERAGE(AL40:AL45)*('Summary Page'!$C$4+1))*('Summary Page'!$C$4+1))*('Summary Page'!$C$4+1)</f>
        <v>190.65599999999995</v>
      </c>
      <c r="HU45" s="7">
        <f t="shared" si="34"/>
        <v>100</v>
      </c>
      <c r="HV45" s="16">
        <f t="shared" si="32"/>
        <v>12</v>
      </c>
      <c r="HW45" s="16">
        <f t="shared" si="33"/>
        <v>11.805243445692884</v>
      </c>
      <c r="HX45" s="7">
        <f t="shared" si="40"/>
        <v>11.805243445692884</v>
      </c>
      <c r="HY45" s="7">
        <f>((AVERAGE(HV34:HV45,HX34:HX45)*('Summary Page'!$C$2+1))*('Summary Page'!$C$2+1))*('Summary Page'!$C$2+1)</f>
        <v>21.166607181023714</v>
      </c>
      <c r="HZ45" s="7">
        <f>((AVERAGE(HV34:HV45,HX34:HX45)*('Summary Page'!$C$3+1))*('Summary Page'!$C$3+1))*('Summary Page'!$C$3+1)</f>
        <v>26.485447877652931</v>
      </c>
      <c r="IA45" s="7">
        <f>((AVERAGE(HV34:HV45,HX34:HX45)*('Summary Page'!$C$4+1))*('Summary Page'!$C$4+1))*('Summary Page'!$C$4+1)</f>
        <v>23.432629213483143</v>
      </c>
      <c r="IB45" s="11">
        <f t="shared" si="35"/>
        <v>14</v>
      </c>
      <c r="IC45" s="11">
        <f t="shared" si="26"/>
        <v>13.772784019975031</v>
      </c>
      <c r="ID45" s="11">
        <f t="shared" si="27"/>
        <v>13.772784019975031</v>
      </c>
      <c r="IE45" s="11">
        <f t="shared" si="28"/>
        <v>24.694375044527668</v>
      </c>
      <c r="IF45" s="11">
        <f t="shared" si="29"/>
        <v>30.899689190595087</v>
      </c>
      <c r="IG45" s="11">
        <f t="shared" si="30"/>
        <v>27.338067415730332</v>
      </c>
    </row>
    <row r="46" spans="1:241" ht="15.75" x14ac:dyDescent="0.25">
      <c r="A46" s="10">
        <v>44419</v>
      </c>
      <c r="B46" s="40">
        <v>29</v>
      </c>
      <c r="C46" s="40">
        <v>80</v>
      </c>
      <c r="D46" s="40">
        <v>10</v>
      </c>
      <c r="E46" s="40">
        <v>29</v>
      </c>
      <c r="F46" s="40">
        <v>113</v>
      </c>
      <c r="G46" s="40">
        <v>88</v>
      </c>
      <c r="H46" s="40">
        <v>68</v>
      </c>
      <c r="I46" s="7">
        <f t="shared" si="1"/>
        <v>74.5</v>
      </c>
      <c r="J46" s="40">
        <v>17</v>
      </c>
      <c r="K46" s="40">
        <v>47</v>
      </c>
      <c r="L46" s="40">
        <v>104</v>
      </c>
      <c r="M46" s="40">
        <v>107</v>
      </c>
      <c r="N46" s="40">
        <v>22</v>
      </c>
      <c r="O46" s="40">
        <v>45</v>
      </c>
      <c r="P46" s="40">
        <v>6</v>
      </c>
      <c r="Q46" s="40">
        <v>14</v>
      </c>
      <c r="R46" s="40">
        <v>69</v>
      </c>
      <c r="S46" s="40">
        <v>90</v>
      </c>
      <c r="T46" s="40">
        <v>55</v>
      </c>
      <c r="U46" s="7">
        <f t="shared" si="2"/>
        <v>57</v>
      </c>
      <c r="V46" s="40">
        <v>16</v>
      </c>
      <c r="W46" s="40">
        <v>34</v>
      </c>
      <c r="X46" s="40">
        <v>81</v>
      </c>
      <c r="Y46" s="69">
        <v>78</v>
      </c>
      <c r="Z46" s="40"/>
      <c r="AA46" s="40"/>
      <c r="AB46" s="40"/>
      <c r="AC46" s="40"/>
      <c r="AD46" s="40"/>
      <c r="AE46" s="40"/>
      <c r="AF46" s="40"/>
      <c r="AG46" s="7" t="e">
        <f t="shared" si="3"/>
        <v>#DIV/0!</v>
      </c>
      <c r="AH46" s="40"/>
      <c r="AI46" s="40"/>
      <c r="AJ46" s="40"/>
      <c r="AK46" s="40"/>
      <c r="AL46" s="40">
        <v>146</v>
      </c>
      <c r="AM46" s="40">
        <v>101</v>
      </c>
      <c r="AN46" s="40"/>
      <c r="AO46" s="40">
        <v>624</v>
      </c>
      <c r="AP46" s="40">
        <v>643</v>
      </c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13">
        <f t="shared" si="4"/>
        <v>71.777777777777771</v>
      </c>
      <c r="EN46" s="13">
        <f t="shared" si="9"/>
        <v>52.444444444444443</v>
      </c>
      <c r="EO46" s="13">
        <f t="shared" si="36"/>
        <v>62.93333333333333</v>
      </c>
      <c r="EP46" s="30">
        <f>((AVERAGE(EM41:EM46)*('Summary Page'!$C$2+1))*('Summary Page'!$C$2+1))*('Summary Page'!$C$2+1)</f>
        <v>62.161237925925924</v>
      </c>
      <c r="EQ46" s="7">
        <f>((AVERAGE(EM41:EM46)*('Summary Page'!$C$3+1))*('Summary Page'!$C$3+1))*('Summary Page'!$C$3+1)</f>
        <v>77.781394675925938</v>
      </c>
      <c r="ER46" s="7">
        <f>((AVERAGE(EM41:EM46)*('Summary Page'!$C$4+1))*('Summary Page'!$C$4+1))*('Summary Page'!$C$4+1)</f>
        <v>68.816000000000003</v>
      </c>
      <c r="ES46" s="7">
        <v>80</v>
      </c>
      <c r="ET46" s="13">
        <f t="shared" si="5"/>
        <v>74.5</v>
      </c>
      <c r="EU46" s="13">
        <f t="shared" si="11"/>
        <v>57</v>
      </c>
      <c r="EV46" s="13">
        <f t="shared" si="37"/>
        <v>68.399999999999991</v>
      </c>
      <c r="EW46" s="7">
        <f>((AVERAGE(ET41:ET46)*('Summary Page'!$C$2+1))*('Summary Page'!$C$2+1))*('Summary Page'!$C$2+1)</f>
        <v>61.525317333333319</v>
      </c>
      <c r="EX46" s="7">
        <f>((AVERAGE(ET41:ET46)*('Summary Page'!$C$3+1))*('Summary Page'!$C$3+1))*('Summary Page'!$C$3+1)</f>
        <v>76.985677083333314</v>
      </c>
      <c r="EY46" s="7">
        <f>((AVERAGE(ET41:ET46)*('Summary Page'!$C$4+1))*('Summary Page'!$C$4+1))*('Summary Page'!$C$4+1)</f>
        <v>68.111999999999995</v>
      </c>
      <c r="EZ46" s="13">
        <f t="shared" si="6"/>
        <v>86</v>
      </c>
      <c r="FA46" s="13">
        <f t="shared" si="13"/>
        <v>64.333333333333329</v>
      </c>
      <c r="FB46" s="13">
        <f t="shared" si="38"/>
        <v>77.199999999999989</v>
      </c>
      <c r="FC46" s="7">
        <f>((AVERAGE(EZ41:EZ46)*('Summary Page'!$C$2+1))*('Summary Page'!$C$2+1))*('Summary Page'!$C$2+1)</f>
        <v>75.660097777777764</v>
      </c>
      <c r="FD46" s="7">
        <f>((AVERAGE(EZ41:EZ46)*('Summary Page'!$C$3+1))*('Summary Page'!$C$3+1))*('Summary Page'!$C$3+1)</f>
        <v>94.672309027777786</v>
      </c>
      <c r="FE46" s="7">
        <f>((AVERAGE(EZ41:EZ46)*('Summary Page'!$C$4+1))*('Summary Page'!$C$4+1))*('Summary Page'!$C$4+1)</f>
        <v>83.759999999999991</v>
      </c>
      <c r="FF46" s="13">
        <f t="shared" si="7"/>
        <v>64.045454545454547</v>
      </c>
      <c r="FI46" s="40">
        <f t="shared" si="8"/>
        <v>45</v>
      </c>
      <c r="FJ46" s="7">
        <f>((AVERAGE(C41:C46)*('Summary Page'!$C$2+1))*('Summary Page'!$C$2+1))*('Summary Page'!$C$2+1)</f>
        <v>81.16659199999998</v>
      </c>
      <c r="FK46" s="7">
        <f>((AVERAGE(C41:C46)*('Summary Page'!$C$3+1))*('Summary Page'!$C$3+1))*('Summary Page'!$C$3+1)</f>
        <v>101.5625</v>
      </c>
      <c r="FL46" s="7">
        <f>((AVERAGE(C41:C46)*('Summary Page'!$C$4+1))*('Summary Page'!$C$4+1))*('Summary Page'!$C$4+1)</f>
        <v>89.855999999999995</v>
      </c>
      <c r="FO46" s="40">
        <f t="shared" si="15"/>
        <v>6</v>
      </c>
      <c r="FP46" s="7">
        <f>((AVERAGE(D41:D46)*('Summary Page'!$C$2+1))*('Summary Page'!$C$2+1))*('Summary Page'!$C$2+1)</f>
        <v>5.202986666666666</v>
      </c>
      <c r="FQ46" s="7">
        <f>((AVERAGE(D41:D46)*('Summary Page'!$C$3+1))*('Summary Page'!$C$3+1))*('Summary Page'!$C$3+1)</f>
        <v>6.5104166666666679</v>
      </c>
      <c r="FR46" s="7">
        <f>((AVERAGE(D41:D46)*('Summary Page'!$C$4+1))*('Summary Page'!$C$4+1))*('Summary Page'!$C$4+1)</f>
        <v>5.76</v>
      </c>
      <c r="FU46" s="40">
        <f t="shared" si="16"/>
        <v>14</v>
      </c>
      <c r="FV46" s="7">
        <f>((AVERAGE(E41:E46)*('Summary Page'!$C$2+1))*('Summary Page'!$C$2+1))*('Summary Page'!$C$2+1)</f>
        <v>28.876575999999993</v>
      </c>
      <c r="FW46" s="7">
        <f>((AVERAGE(E41:E46)*('Summary Page'!$C$3+1))*('Summary Page'!$C$3+1))*('Summary Page'!$C$3+1)</f>
        <v>36.1328125</v>
      </c>
      <c r="FX46" s="7">
        <f>((AVERAGE(E41:E46)*('Summary Page'!$C$4+1))*('Summary Page'!$C$4+1))*('Summary Page'!$C$4+1)</f>
        <v>31.967999999999996</v>
      </c>
      <c r="GA46" s="40">
        <f t="shared" si="17"/>
        <v>69</v>
      </c>
      <c r="GB46" s="7">
        <f>((AVERAGE(F41:F46)*('Summary Page'!$C$2+1))*('Summary Page'!$C$2+1))*('Summary Page'!$C$2+1)</f>
        <v>87.930474666666655</v>
      </c>
      <c r="GC46" s="7">
        <f>((AVERAGE(F41:F46)*('Summary Page'!$C$3+1))*('Summary Page'!$C$3+1))*('Summary Page'!$C$3+1)</f>
        <v>110.02604166666669</v>
      </c>
      <c r="GD46" s="7">
        <f>((AVERAGE(F41:F46)*('Summary Page'!$C$4+1))*('Summary Page'!$C$4+1))*('Summary Page'!$C$4+1)</f>
        <v>97.34399999999998</v>
      </c>
      <c r="GG46" s="40">
        <f t="shared" si="18"/>
        <v>78</v>
      </c>
      <c r="GH46" s="7">
        <f>((AVERAGE(M41:M46)*('Summary Page'!$C$2+1))*('Summary Page'!$C$2+1))*('Summary Page'!$C$2+1)</f>
        <v>111.73413866666665</v>
      </c>
      <c r="GI46" s="7">
        <f>((AVERAGE(M41:M46)*('Summary Page'!$C$3+1))*('Summary Page'!$C$3+1))*('Summary Page'!$C$3+1)</f>
        <v>139.81119791666663</v>
      </c>
      <c r="GJ46" s="7">
        <f>((AVERAGE(M41:M46)*('Summary Page'!$C$4+1))*('Summary Page'!$C$4+1))*('Summary Page'!$C$4+1)</f>
        <v>123.69599999999997</v>
      </c>
      <c r="GM46" s="40">
        <f t="shared" si="19"/>
        <v>90</v>
      </c>
      <c r="GN46" s="7">
        <f>((AVERAGE(G41:G46)*('Summary Page'!$C$2+1))*('Summary Page'!$C$2+1))*('Summary Page'!$C$2+1)</f>
        <v>68.159125333333321</v>
      </c>
      <c r="GO46" s="7">
        <f>((AVERAGE(G41:G46)*('Summary Page'!$C$3+1))*('Summary Page'!$C$3+1))*('Summary Page'!$C$3+1)</f>
        <v>85.286458333333314</v>
      </c>
      <c r="GP46" s="7">
        <f>((AVERAGE(G41:G46)*('Summary Page'!$C$4+1))*('Summary Page'!$C$4+1))*('Summary Page'!$C$4+1)</f>
        <v>75.455999999999989</v>
      </c>
      <c r="GS46" s="40">
        <f t="shared" si="20"/>
        <v>55</v>
      </c>
      <c r="GT46" s="7">
        <f>((AVERAGE(H41:H46)*('Summary Page'!$C$2+1))*('Summary Page'!$C$2+1))*('Summary Page'!$C$2+1)</f>
        <v>61.135093333333323</v>
      </c>
      <c r="GU46" s="7">
        <f>((AVERAGE(H41:H46)*('Summary Page'!$C$3+1))*('Summary Page'!$C$3+1))*('Summary Page'!$C$3+1)</f>
        <v>76.497395833333314</v>
      </c>
      <c r="GV46" s="7">
        <f>((AVERAGE(H41:H46)*('Summary Page'!$C$4+1))*('Summary Page'!$C$4+1))*('Summary Page'!$C$4+1)</f>
        <v>67.679999999999993</v>
      </c>
      <c r="GY46" s="40">
        <f t="shared" si="21"/>
        <v>16</v>
      </c>
      <c r="GZ46" s="7">
        <f>((AVERAGE(J41:J46)*('Summary Page'!$C$2+1))*('Summary Page'!$C$2+1))*('Summary Page'!$C$2+1)</f>
        <v>18.210453333333326</v>
      </c>
      <c r="HA46" s="7">
        <f>((AVERAGE(J41:J46)*('Summary Page'!$C$3+1))*('Summary Page'!$C$3+1))*('Summary Page'!$C$3+1)</f>
        <v>22.786458333333329</v>
      </c>
      <c r="HB46" s="7">
        <f>((AVERAGE(J41:J46)*('Summary Page'!$C$4+1))*('Summary Page'!$C$4+1))*('Summary Page'!$C$4+1)</f>
        <v>20.159999999999997</v>
      </c>
      <c r="HE46" s="40">
        <f t="shared" si="22"/>
        <v>34</v>
      </c>
      <c r="HF46" s="7">
        <f>((AVERAGE(K41:K46)*('Summary Page'!$C$2+1))*('Summary Page'!$C$2+1))*('Summary Page'!$C$2+1)</f>
        <v>47.867477333333326</v>
      </c>
      <c r="HG46" s="7">
        <f>((AVERAGE(K41:K46)*('Summary Page'!$C$3+1))*('Summary Page'!$C$3+1))*('Summary Page'!$C$3+1)</f>
        <v>59.895833333333343</v>
      </c>
      <c r="HH46" s="7">
        <f>((AVERAGE(K41:K46)*('Summary Page'!$C$4+1))*('Summary Page'!$C$4+1))*('Summary Page'!$C$4+1)</f>
        <v>52.991999999999997</v>
      </c>
      <c r="HL46" s="7">
        <f>((AVERAGE(L41:L46)*('Summary Page'!$C$2+1))*('Summary Page'!$C$2+1))*('Summary Page'!$C$2+1)</f>
        <v>67.378677333333329</v>
      </c>
      <c r="HM46" s="7">
        <f>((AVERAGE(L41:L46)*('Summary Page'!$C$3+1))*('Summary Page'!$C$3+1))*('Summary Page'!$C$3+1)</f>
        <v>84.309895833333314</v>
      </c>
      <c r="HN46" s="7">
        <f>((AVERAGE(L41:L46)*('Summary Page'!$C$4+1))*('Summary Page'!$C$4+1))*('Summary Page'!$C$4+1)</f>
        <v>74.591999999999999</v>
      </c>
      <c r="HQ46" s="40">
        <f t="shared" si="39"/>
        <v>101</v>
      </c>
      <c r="HR46" s="7">
        <f>((AVERAGE(AL41:AL46)*('Summary Page'!$C$2+1))*('Summary Page'!$C$2+1))*('Summary Page'!$C$2+1)</f>
        <v>183.40527999999995</v>
      </c>
      <c r="HS46" s="7">
        <f>((AVERAGE(AL41:AL46)*('Summary Page'!$C$3+1))*('Summary Page'!$C$3+1))*('Summary Page'!$C$3+1)</f>
        <v>229.4921875</v>
      </c>
      <c r="HT46" s="7">
        <f>((AVERAGE(AL41:AL46)*('Summary Page'!$C$4+1))*('Summary Page'!$C$4+1))*('Summary Page'!$C$4+1)</f>
        <v>203.04</v>
      </c>
      <c r="HU46" s="7">
        <f t="shared" si="34"/>
        <v>100</v>
      </c>
      <c r="HV46" s="16">
        <f t="shared" si="32"/>
        <v>18.696629213483146</v>
      </c>
      <c r="HW46" s="16">
        <f t="shared" si="33"/>
        <v>19.265917602996254</v>
      </c>
      <c r="HX46" s="7">
        <f t="shared" si="40"/>
        <v>19.265917602996254</v>
      </c>
      <c r="HY46" s="7">
        <f>((AVERAGE(HV35:HV46,HX35:HX46)*('Summary Page'!$C$2+1))*('Summary Page'!$C$2+1))*('Summary Page'!$C$2+1)</f>
        <v>21.866184789013719</v>
      </c>
      <c r="HZ46" s="7">
        <f>((AVERAGE(HV35:HV46,HX35:HX46)*('Summary Page'!$C$3+1))*('Summary Page'!$C$3+1))*('Summary Page'!$C$3+1)</f>
        <v>27.360818508114846</v>
      </c>
      <c r="IA46" s="7">
        <f>((AVERAGE(HV35:HV46,HX35:HX46)*('Summary Page'!$C$4+1))*('Summary Page'!$C$4+1))*('Summary Page'!$C$4+1)</f>
        <v>24.2071011235955</v>
      </c>
      <c r="IB46" s="11">
        <f t="shared" si="35"/>
        <v>21.812734082397004</v>
      </c>
      <c r="IC46" s="11">
        <f t="shared" si="26"/>
        <v>22.476903870162296</v>
      </c>
      <c r="ID46" s="11">
        <f t="shared" si="27"/>
        <v>22.476903870162296</v>
      </c>
      <c r="IE46" s="11">
        <f t="shared" si="28"/>
        <v>25.510548920516005</v>
      </c>
      <c r="IF46" s="11">
        <f t="shared" si="29"/>
        <v>31.920954926133987</v>
      </c>
      <c r="IG46" s="11">
        <f t="shared" si="30"/>
        <v>28.241617977528083</v>
      </c>
    </row>
    <row r="47" spans="1:241" ht="15.75" x14ac:dyDescent="0.25">
      <c r="A47" s="10">
        <v>44447</v>
      </c>
      <c r="B47" s="40">
        <v>32</v>
      </c>
      <c r="C47" s="40">
        <v>113</v>
      </c>
      <c r="D47" s="40">
        <v>12</v>
      </c>
      <c r="E47" s="40">
        <v>62</v>
      </c>
      <c r="F47" s="40">
        <v>79</v>
      </c>
      <c r="G47" s="40">
        <v>111</v>
      </c>
      <c r="H47" s="40">
        <v>78</v>
      </c>
      <c r="I47" s="7">
        <f t="shared" si="1"/>
        <v>82.5</v>
      </c>
      <c r="J47" s="40">
        <v>26</v>
      </c>
      <c r="K47" s="40">
        <v>53</v>
      </c>
      <c r="L47" s="40">
        <v>52</v>
      </c>
      <c r="M47" s="40">
        <v>152</v>
      </c>
      <c r="N47" s="40">
        <v>23</v>
      </c>
      <c r="O47" s="40">
        <v>86</v>
      </c>
      <c r="P47" s="40">
        <v>3</v>
      </c>
      <c r="Q47" s="40">
        <v>56</v>
      </c>
      <c r="R47" s="40">
        <v>47</v>
      </c>
      <c r="S47" s="40">
        <v>40</v>
      </c>
      <c r="T47" s="40">
        <v>57</v>
      </c>
      <c r="U47" s="7">
        <f t="shared" si="2"/>
        <v>50</v>
      </c>
      <c r="V47" s="40">
        <v>20</v>
      </c>
      <c r="W47" s="40">
        <v>32</v>
      </c>
      <c r="X47" s="40">
        <v>47</v>
      </c>
      <c r="Y47" s="69">
        <v>71</v>
      </c>
      <c r="Z47" s="40"/>
      <c r="AA47" s="40"/>
      <c r="AB47" s="40"/>
      <c r="AC47" s="40"/>
      <c r="AD47" s="40"/>
      <c r="AE47" s="40"/>
      <c r="AF47" s="40"/>
      <c r="AG47" s="7" t="e">
        <f t="shared" si="3"/>
        <v>#DIV/0!</v>
      </c>
      <c r="AH47" s="40"/>
      <c r="AI47" s="40"/>
      <c r="AJ47" s="40"/>
      <c r="AK47" s="40"/>
      <c r="AL47" s="40">
        <v>135</v>
      </c>
      <c r="AM47" s="40">
        <v>65</v>
      </c>
      <c r="AN47" s="40"/>
      <c r="AO47" s="40">
        <v>864</v>
      </c>
      <c r="AP47" s="40">
        <v>868</v>
      </c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13">
        <f t="shared" si="4"/>
        <v>79.111111111111114</v>
      </c>
      <c r="EN47" s="13">
        <f t="shared" si="9"/>
        <v>48.777777777777779</v>
      </c>
      <c r="EO47" s="13">
        <f t="shared" si="36"/>
        <v>58.533333333333331</v>
      </c>
      <c r="EP47" s="30">
        <f>((AVERAGE(EM42:EM47)*('Summary Page'!$C$2+1))*('Summary Page'!$C$2+1))*('Summary Page'!$C$2+1)</f>
        <v>74.214823703703686</v>
      </c>
      <c r="EQ47" s="7">
        <f>((AVERAGE(EM42:EM47)*('Summary Page'!$C$3+1))*('Summary Page'!$C$3+1))*('Summary Page'!$C$3+1)</f>
        <v>92.863859953703695</v>
      </c>
      <c r="ER47" s="7">
        <f>((AVERAGE(EM42:EM47)*('Summary Page'!$C$4+1))*('Summary Page'!$C$4+1))*('Summary Page'!$C$4+1)</f>
        <v>82.16</v>
      </c>
      <c r="ES47" s="7">
        <v>80</v>
      </c>
      <c r="ET47" s="13">
        <f t="shared" si="5"/>
        <v>82.5</v>
      </c>
      <c r="EU47" s="13">
        <f t="shared" si="11"/>
        <v>50</v>
      </c>
      <c r="EV47" s="13">
        <f t="shared" si="37"/>
        <v>60</v>
      </c>
      <c r="EW47" s="7">
        <f>((AVERAGE(ET42:ET47)*('Summary Page'!$C$2+1))*('Summary Page'!$C$2+1))*('Summary Page'!$C$2+1)</f>
        <v>75.183157333333313</v>
      </c>
      <c r="EX47" s="7">
        <f>((AVERAGE(ET42:ET47)*('Summary Page'!$C$3+1))*('Summary Page'!$C$3+1))*('Summary Page'!$C$3+1)</f>
        <v>94.075520833333314</v>
      </c>
      <c r="EY47" s="7">
        <f>((AVERAGE(ET42:ET47)*('Summary Page'!$C$4+1))*('Summary Page'!$C$4+1))*('Summary Page'!$C$4+1)</f>
        <v>83.231999999999999</v>
      </c>
      <c r="EZ47" s="13">
        <f t="shared" si="6"/>
        <v>85.666666666666671</v>
      </c>
      <c r="FA47" s="13">
        <f t="shared" si="13"/>
        <v>50</v>
      </c>
      <c r="FB47" s="13">
        <f t="shared" si="38"/>
        <v>60</v>
      </c>
      <c r="FC47" s="7">
        <f>((AVERAGE(EZ42:EZ47)*('Summary Page'!$C$2+1))*('Summary Page'!$C$2+1))*('Summary Page'!$C$2+1)</f>
        <v>86.759802666666644</v>
      </c>
      <c r="FD47" s="7">
        <f>((AVERAGE(EZ42:EZ47)*('Summary Page'!$C$3+1))*('Summary Page'!$C$3+1))*('Summary Page'!$C$3+1)</f>
        <v>108.56119791666669</v>
      </c>
      <c r="FE47" s="7">
        <f>((AVERAGE(EZ42:EZ47)*('Summary Page'!$C$4+1))*('Summary Page'!$C$4+1))*('Summary Page'!$C$4+1)</f>
        <v>96.048000000000002</v>
      </c>
      <c r="FF47" s="13">
        <f t="shared" si="7"/>
        <v>69.13636363636364</v>
      </c>
      <c r="FI47" s="40">
        <f t="shared" si="8"/>
        <v>86</v>
      </c>
      <c r="FJ47" s="7">
        <f>((AVERAGE(C42:C47)*('Summary Page'!$C$2+1))*('Summary Page'!$C$2+1))*('Summary Page'!$C$2+1)</f>
        <v>99.116895999999969</v>
      </c>
      <c r="FK47" s="7">
        <f>((AVERAGE(C42:C47)*('Summary Page'!$C$3+1))*('Summary Page'!$C$3+1))*('Summary Page'!$C$3+1)</f>
        <v>124.0234375</v>
      </c>
      <c r="FL47" s="7">
        <f>((AVERAGE(C42:C47)*('Summary Page'!$C$4+1))*('Summary Page'!$C$4+1))*('Summary Page'!$C$4+1)</f>
        <v>109.72799999999999</v>
      </c>
      <c r="FO47" s="40">
        <f t="shared" si="15"/>
        <v>3</v>
      </c>
      <c r="FP47" s="7">
        <f>((AVERAGE(D42:D47)*('Summary Page'!$C$2+1))*('Summary Page'!$C$2+1))*('Summary Page'!$C$2+1)</f>
        <v>7.804479999999999</v>
      </c>
      <c r="FQ47" s="7">
        <f>((AVERAGE(D42:D47)*('Summary Page'!$C$3+1))*('Summary Page'!$C$3+1))*('Summary Page'!$C$3+1)</f>
        <v>9.765625</v>
      </c>
      <c r="FR47" s="7">
        <f>((AVERAGE(D42:D47)*('Summary Page'!$C$4+1))*('Summary Page'!$C$4+1))*('Summary Page'!$C$4+1)</f>
        <v>8.6399999999999988</v>
      </c>
      <c r="FU47" s="40">
        <f t="shared" si="16"/>
        <v>56</v>
      </c>
      <c r="FV47" s="7">
        <f>((AVERAGE(E42:E47)*('Summary Page'!$C$2+1))*('Summary Page'!$C$2+1))*('Summary Page'!$C$2+1)</f>
        <v>40.843445333333328</v>
      </c>
      <c r="FW47" s="7">
        <f>((AVERAGE(E42:E47)*('Summary Page'!$C$3+1))*('Summary Page'!$C$3+1))*('Summary Page'!$C$3+1)</f>
        <v>51.106770833333343</v>
      </c>
      <c r="FX47" s="7">
        <f>((AVERAGE(E42:E47)*('Summary Page'!$C$4+1))*('Summary Page'!$C$4+1))*('Summary Page'!$C$4+1)</f>
        <v>45.216000000000001</v>
      </c>
      <c r="GA47" s="40">
        <f t="shared" si="17"/>
        <v>47</v>
      </c>
      <c r="GB47" s="7">
        <f>((AVERAGE(F42:F47)*('Summary Page'!$C$2+1))*('Summary Page'!$C$2+1))*('Summary Page'!$C$2+1)</f>
        <v>98.856746666666666</v>
      </c>
      <c r="GC47" s="7">
        <f>((AVERAGE(F42:F47)*('Summary Page'!$C$3+1))*('Summary Page'!$C$3+1))*('Summary Page'!$C$3+1)</f>
        <v>123.69791666666669</v>
      </c>
      <c r="GD47" s="7">
        <f>((AVERAGE(F42:F47)*('Summary Page'!$C$4+1))*('Summary Page'!$C$4+1))*('Summary Page'!$C$4+1)</f>
        <v>109.44</v>
      </c>
      <c r="GG47" s="40">
        <f t="shared" si="18"/>
        <v>71</v>
      </c>
      <c r="GH47" s="7">
        <f>((AVERAGE(M42:M47)*('Summary Page'!$C$2+1))*('Summary Page'!$C$2+1))*('Summary Page'!$C$2+1)</f>
        <v>131.24533866666661</v>
      </c>
      <c r="GI47" s="7">
        <f>((AVERAGE(M42:M47)*('Summary Page'!$C$3+1))*('Summary Page'!$C$3+1))*('Summary Page'!$C$3+1)</f>
        <v>164.22526041666663</v>
      </c>
      <c r="GJ47" s="7">
        <f>((AVERAGE(M42:M47)*('Summary Page'!$C$4+1))*('Summary Page'!$C$4+1))*('Summary Page'!$C$4+1)</f>
        <v>145.29599999999996</v>
      </c>
      <c r="GM47" s="40">
        <f t="shared" si="19"/>
        <v>40</v>
      </c>
      <c r="GN47" s="7">
        <f>((AVERAGE(G42:G47)*('Summary Page'!$C$2+1))*('Summary Page'!$C$2+1))*('Summary Page'!$C$2+1)</f>
        <v>86.889877333333317</v>
      </c>
      <c r="GO47" s="7">
        <f>((AVERAGE(G42:G47)*('Summary Page'!$C$3+1))*('Summary Page'!$C$3+1))*('Summary Page'!$C$3+1)</f>
        <v>108.72395833333331</v>
      </c>
      <c r="GP47" s="7">
        <f>((AVERAGE(G42:G47)*('Summary Page'!$C$4+1))*('Summary Page'!$C$4+1))*('Summary Page'!$C$4+1)</f>
        <v>96.191999999999993</v>
      </c>
      <c r="GS47" s="40">
        <f t="shared" si="20"/>
        <v>57</v>
      </c>
      <c r="GT47" s="7">
        <f>((AVERAGE(H42:H47)*('Summary Page'!$C$2+1))*('Summary Page'!$C$2+1))*('Summary Page'!$C$2+1)</f>
        <v>74.142559999999989</v>
      </c>
      <c r="GU47" s="7">
        <f>((AVERAGE(H42:H47)*('Summary Page'!$C$3+1))*('Summary Page'!$C$3+1))*('Summary Page'!$C$3+1)</f>
        <v>92.7734375</v>
      </c>
      <c r="GV47" s="7">
        <f>((AVERAGE(H42:H47)*('Summary Page'!$C$4+1))*('Summary Page'!$C$4+1))*('Summary Page'!$C$4+1)</f>
        <v>82.079999999999984</v>
      </c>
      <c r="GY47" s="40">
        <f t="shared" si="21"/>
        <v>20</v>
      </c>
      <c r="GZ47" s="7">
        <f>((AVERAGE(J42:J47)*('Summary Page'!$C$2+1))*('Summary Page'!$C$2+1))*('Summary Page'!$C$2+1)</f>
        <v>22.632991999999998</v>
      </c>
      <c r="HA47" s="7">
        <f>((AVERAGE(J42:J47)*('Summary Page'!$C$3+1))*('Summary Page'!$C$3+1))*('Summary Page'!$C$3+1)</f>
        <v>28.3203125</v>
      </c>
      <c r="HB47" s="7">
        <f>((AVERAGE(J42:J47)*('Summary Page'!$C$4+1))*('Summary Page'!$C$4+1))*('Summary Page'!$C$4+1)</f>
        <v>25.055999999999997</v>
      </c>
      <c r="HE47" s="40">
        <f t="shared" si="22"/>
        <v>32</v>
      </c>
      <c r="HF47" s="7">
        <f>((AVERAGE(K42:K47)*('Summary Page'!$C$2+1))*('Summary Page'!$C$2+1))*('Summary Page'!$C$2+1)</f>
        <v>53.590762666666656</v>
      </c>
      <c r="HG47" s="7">
        <f>((AVERAGE(K42:K47)*('Summary Page'!$C$3+1))*('Summary Page'!$C$3+1))*('Summary Page'!$C$3+1)</f>
        <v>67.057291666666686</v>
      </c>
      <c r="HH47" s="7">
        <f>((AVERAGE(K42:K47)*('Summary Page'!$C$4+1))*('Summary Page'!$C$4+1))*('Summary Page'!$C$4+1)</f>
        <v>59.328000000000003</v>
      </c>
      <c r="HL47" s="7">
        <f>((AVERAGE(L42:L47)*('Summary Page'!$C$2+1))*('Summary Page'!$C$2+1))*('Summary Page'!$C$2+1)</f>
        <v>75.443306666666643</v>
      </c>
      <c r="HM47" s="7">
        <f>((AVERAGE(L42:L47)*('Summary Page'!$C$3+1))*('Summary Page'!$C$3+1))*('Summary Page'!$C$3+1)</f>
        <v>94.401041666666686</v>
      </c>
      <c r="HN47" s="7">
        <f>((AVERAGE(L42:L47)*('Summary Page'!$C$4+1))*('Summary Page'!$C$4+1))*('Summary Page'!$C$4+1)</f>
        <v>83.52</v>
      </c>
      <c r="HQ47" s="40">
        <f t="shared" si="39"/>
        <v>65</v>
      </c>
      <c r="HR47" s="7">
        <f>((AVERAGE(AL42:AL47)*('Summary Page'!$C$2+1))*('Summary Page'!$C$2+1))*('Summary Page'!$C$2+1)</f>
        <v>192.51050666666663</v>
      </c>
      <c r="HS47" s="7">
        <f>((AVERAGE(AL42:AL47)*('Summary Page'!$C$3+1))*('Summary Page'!$C$3+1))*('Summary Page'!$C$3+1)</f>
        <v>240.88541666666663</v>
      </c>
      <c r="HT47" s="7">
        <f>((AVERAGE(AL42:AL47)*('Summary Page'!$C$4+1))*('Summary Page'!$C$4+1))*('Summary Page'!$C$4+1)</f>
        <v>213.11999999999998</v>
      </c>
      <c r="HU47" s="7">
        <f t="shared" si="34"/>
        <v>100</v>
      </c>
      <c r="HV47" s="16">
        <f t="shared" si="32"/>
        <v>25.887640449438202</v>
      </c>
      <c r="HW47" s="16">
        <f t="shared" si="33"/>
        <v>26.007490636704119</v>
      </c>
      <c r="HX47" s="7">
        <f t="shared" si="40"/>
        <v>26.007490636704119</v>
      </c>
      <c r="HY47" s="7">
        <f>((AVERAGE(HV36:HV47,HX36:HX47)*('Summary Page'!$C$2+1))*('Summary Page'!$C$2+1))*('Summary Page'!$C$2+1)</f>
        <v>23.318928818976275</v>
      </c>
      <c r="HZ47" s="7">
        <f>((AVERAGE(HV36:HV47,HX36:HX47)*('Summary Page'!$C$3+1))*('Summary Page'!$C$3+1))*('Summary Page'!$C$3+1)</f>
        <v>29.178614622347069</v>
      </c>
      <c r="IA47" s="7">
        <f>((AVERAGE(HV36:HV47,HX36:HX47)*('Summary Page'!$C$4+1))*('Summary Page'!$C$4+1))*('Summary Page'!$C$4+1)</f>
        <v>25.815370786516848</v>
      </c>
      <c r="IB47" s="11">
        <f t="shared" si="35"/>
        <v>30.202247191011235</v>
      </c>
      <c r="IC47" s="11">
        <f t="shared" si="26"/>
        <v>30.342072409488139</v>
      </c>
      <c r="ID47" s="11">
        <f t="shared" si="27"/>
        <v>30.342072409488139</v>
      </c>
      <c r="IE47" s="11">
        <f t="shared" si="28"/>
        <v>27.20541695547232</v>
      </c>
      <c r="IF47" s="11">
        <f t="shared" si="29"/>
        <v>34.041717059404917</v>
      </c>
      <c r="IG47" s="11">
        <f t="shared" si="30"/>
        <v>30.117932584269656</v>
      </c>
    </row>
    <row r="48" spans="1:241" ht="15.75" x14ac:dyDescent="0.25">
      <c r="A48" s="10">
        <v>44475</v>
      </c>
      <c r="B48" s="40">
        <v>31</v>
      </c>
      <c r="C48" s="40">
        <v>125</v>
      </c>
      <c r="D48" s="40">
        <v>10</v>
      </c>
      <c r="E48" s="40">
        <v>68</v>
      </c>
      <c r="F48" s="40">
        <v>67</v>
      </c>
      <c r="G48" s="40">
        <v>87</v>
      </c>
      <c r="H48" s="40">
        <v>67</v>
      </c>
      <c r="I48" s="7">
        <f t="shared" si="1"/>
        <v>72.25</v>
      </c>
      <c r="J48" s="40">
        <v>26</v>
      </c>
      <c r="K48" s="40">
        <v>54</v>
      </c>
      <c r="L48" s="40">
        <v>46</v>
      </c>
      <c r="M48" s="40">
        <v>129</v>
      </c>
      <c r="N48" s="40">
        <v>18</v>
      </c>
      <c r="O48" s="40">
        <v>83</v>
      </c>
      <c r="P48" s="40">
        <v>9</v>
      </c>
      <c r="Q48" s="40">
        <v>57</v>
      </c>
      <c r="R48" s="40">
        <v>59</v>
      </c>
      <c r="S48" s="40">
        <v>70</v>
      </c>
      <c r="T48" s="40">
        <v>61</v>
      </c>
      <c r="U48" s="7">
        <f t="shared" si="2"/>
        <v>61.75</v>
      </c>
      <c r="V48" s="40">
        <v>22</v>
      </c>
      <c r="W48" s="40">
        <v>42</v>
      </c>
      <c r="X48" s="40">
        <v>32</v>
      </c>
      <c r="Y48" s="69">
        <v>81</v>
      </c>
      <c r="Z48" s="40"/>
      <c r="AA48" s="40"/>
      <c r="AB48" s="40"/>
      <c r="AC48" s="40"/>
      <c r="AD48" s="40"/>
      <c r="AE48" s="40"/>
      <c r="AF48" s="40"/>
      <c r="AG48" s="7" t="e">
        <f t="shared" si="3"/>
        <v>#DIV/0!</v>
      </c>
      <c r="AH48" s="40"/>
      <c r="AI48" s="40"/>
      <c r="AJ48" s="40"/>
      <c r="AK48" s="40"/>
      <c r="AL48" s="40">
        <v>104</v>
      </c>
      <c r="AM48" s="40">
        <v>74</v>
      </c>
      <c r="AN48" s="40"/>
      <c r="AO48" s="40">
        <v>997</v>
      </c>
      <c r="AP48" s="40">
        <v>738</v>
      </c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13">
        <f t="shared" si="4"/>
        <v>72.555555555555557</v>
      </c>
      <c r="EN48" s="13">
        <f t="shared" si="9"/>
        <v>54.888888888888886</v>
      </c>
      <c r="EO48" s="13">
        <f t="shared" si="36"/>
        <v>65.86666666666666</v>
      </c>
      <c r="EP48" s="30">
        <f>((AVERAGE(EM43:EM48)*('Summary Page'!$C$2+1))*('Summary Page'!$C$2+1))*('Summary Page'!$C$2+1)</f>
        <v>85.31452859259258</v>
      </c>
      <c r="EQ48" s="7">
        <f>((AVERAGE(EM43:EM48)*('Summary Page'!$C$3+1))*('Summary Page'!$C$3+1))*('Summary Page'!$C$3+1)</f>
        <v>106.7527488425926</v>
      </c>
      <c r="ER48" s="7">
        <f>((AVERAGE(EM43:EM48)*('Summary Page'!$C$4+1))*('Summary Page'!$C$4+1))*('Summary Page'!$C$4+1)</f>
        <v>94.447999999999993</v>
      </c>
      <c r="ES48" s="7">
        <v>80</v>
      </c>
      <c r="ET48" s="13">
        <f t="shared" si="5"/>
        <v>72.25</v>
      </c>
      <c r="EU48" s="13">
        <f t="shared" si="11"/>
        <v>61.75</v>
      </c>
      <c r="EV48" s="13">
        <f t="shared" si="37"/>
        <v>74.099999999999994</v>
      </c>
      <c r="EW48" s="7">
        <f>((AVERAGE(ET43:ET48)*('Summary Page'!$C$2+1))*('Summary Page'!$C$2+1))*('Summary Page'!$C$2+1)</f>
        <v>87.73536266666666</v>
      </c>
      <c r="EX48" s="7">
        <f>((AVERAGE(ET43:ET48)*('Summary Page'!$C$3+1))*('Summary Page'!$C$3+1))*('Summary Page'!$C$3+1)</f>
        <v>109.78190104166669</v>
      </c>
      <c r="EY48" s="7">
        <f>((AVERAGE(ET43:ET48)*('Summary Page'!$C$4+1))*('Summary Page'!$C$4+1))*('Summary Page'!$C$4+1)</f>
        <v>97.128</v>
      </c>
      <c r="EZ48" s="13">
        <f t="shared" si="6"/>
        <v>76.333333333333329</v>
      </c>
      <c r="FA48" s="13">
        <f t="shared" si="13"/>
        <v>51.666666666666664</v>
      </c>
      <c r="FB48" s="13">
        <f t="shared" si="38"/>
        <v>61.999999999999993</v>
      </c>
      <c r="FC48" s="7">
        <f>((AVERAGE(EZ43:EZ48)*('Summary Page'!$C$2+1))*('Summary Page'!$C$2+1))*('Summary Page'!$C$2+1)</f>
        <v>95.431447111111083</v>
      </c>
      <c r="FD48" s="7">
        <f>((AVERAGE(EZ43:EZ48)*('Summary Page'!$C$3+1))*('Summary Page'!$C$3+1))*('Summary Page'!$C$3+1)</f>
        <v>119.41189236111111</v>
      </c>
      <c r="FE48" s="7">
        <f>((AVERAGE(EZ43:EZ48)*('Summary Page'!$C$4+1))*('Summary Page'!$C$4+1))*('Summary Page'!$C$4+1)</f>
        <v>105.64799999999998</v>
      </c>
      <c r="FF48" s="13">
        <f t="shared" si="7"/>
        <v>61.840909090909093</v>
      </c>
      <c r="FI48" s="40">
        <f t="shared" si="8"/>
        <v>83</v>
      </c>
      <c r="FJ48" s="7">
        <f>((AVERAGE(C43:C48)*('Summary Page'!$C$2+1))*('Summary Page'!$C$2+1))*('Summary Page'!$C$2+1)</f>
        <v>120.44914133333332</v>
      </c>
      <c r="FK48" s="7">
        <f>((AVERAGE(C43:C48)*('Summary Page'!$C$3+1))*('Summary Page'!$C$3+1))*('Summary Page'!$C$3+1)</f>
        <v>150.71614583333337</v>
      </c>
      <c r="FL48" s="7">
        <f>((AVERAGE(C43:C48)*('Summary Page'!$C$4+1))*('Summary Page'!$C$4+1))*('Summary Page'!$C$4+1)</f>
        <v>133.34399999999999</v>
      </c>
      <c r="FO48" s="40">
        <f t="shared" si="15"/>
        <v>9</v>
      </c>
      <c r="FP48" s="7">
        <f>((AVERAGE(D43:D48)*('Summary Page'!$C$2+1))*('Summary Page'!$C$2+1))*('Summary Page'!$C$2+1)</f>
        <v>10.145823999999998</v>
      </c>
      <c r="FQ48" s="7">
        <f>((AVERAGE(D43:D48)*('Summary Page'!$C$3+1))*('Summary Page'!$C$3+1))*('Summary Page'!$C$3+1)</f>
        <v>12.6953125</v>
      </c>
      <c r="FR48" s="7">
        <f>((AVERAGE(D43:D48)*('Summary Page'!$C$4+1))*('Summary Page'!$C$4+1))*('Summary Page'!$C$4+1)</f>
        <v>11.231999999999999</v>
      </c>
      <c r="FU48" s="40">
        <f t="shared" si="16"/>
        <v>57</v>
      </c>
      <c r="FV48" s="7">
        <f>((AVERAGE(E43:E48)*('Summary Page'!$C$2+1))*('Summary Page'!$C$2+1))*('Summary Page'!$C$2+1)</f>
        <v>54.631359999999987</v>
      </c>
      <c r="FW48" s="7">
        <f>((AVERAGE(E43:E48)*('Summary Page'!$C$3+1))*('Summary Page'!$C$3+1))*('Summary Page'!$C$3+1)</f>
        <v>68.359375</v>
      </c>
      <c r="FX48" s="7">
        <f>((AVERAGE(E43:E48)*('Summary Page'!$C$4+1))*('Summary Page'!$C$4+1))*('Summary Page'!$C$4+1)</f>
        <v>60.48</v>
      </c>
      <c r="GA48" s="40">
        <f t="shared" si="17"/>
        <v>59</v>
      </c>
      <c r="GB48" s="7">
        <f>((AVERAGE(F43:F48)*('Summary Page'!$C$2+1))*('Summary Page'!$C$2+1))*('Summary Page'!$C$2+1)</f>
        <v>108.74242133333333</v>
      </c>
      <c r="GC48" s="7">
        <f>((AVERAGE(F43:F48)*('Summary Page'!$C$3+1))*('Summary Page'!$C$3+1))*('Summary Page'!$C$3+1)</f>
        <v>136.06770833333337</v>
      </c>
      <c r="GD48" s="7">
        <f>((AVERAGE(F43:F48)*('Summary Page'!$C$4+1))*('Summary Page'!$C$4+1))*('Summary Page'!$C$4+1)</f>
        <v>120.384</v>
      </c>
      <c r="GG48" s="40">
        <f t="shared" si="18"/>
        <v>81</v>
      </c>
      <c r="GH48" s="7">
        <f>((AVERAGE(M43:M48)*('Summary Page'!$C$2+1))*('Summary Page'!$C$2+1))*('Summary Page'!$C$2+1)</f>
        <v>144.77310399999996</v>
      </c>
      <c r="GI48" s="7">
        <f>((AVERAGE(M43:M48)*('Summary Page'!$C$3+1))*('Summary Page'!$C$3+1))*('Summary Page'!$C$3+1)</f>
        <v>181.15234375</v>
      </c>
      <c r="GJ48" s="7">
        <f>((AVERAGE(M43:M48)*('Summary Page'!$C$4+1))*('Summary Page'!$C$4+1))*('Summary Page'!$C$4+1)</f>
        <v>160.27199999999999</v>
      </c>
      <c r="GM48" s="40">
        <f t="shared" si="19"/>
        <v>70</v>
      </c>
      <c r="GN48" s="7">
        <f>((AVERAGE(G43:G48)*('Summary Page'!$C$2+1))*('Summary Page'!$C$2+1))*('Summary Page'!$C$2+1)</f>
        <v>103.27928533333331</v>
      </c>
      <c r="GO48" s="7">
        <f>((AVERAGE(G43:G48)*('Summary Page'!$C$3+1))*('Summary Page'!$C$3+1))*('Summary Page'!$C$3+1)</f>
        <v>129.23177083333337</v>
      </c>
      <c r="GP48" s="7">
        <f>((AVERAGE(G43:G48)*('Summary Page'!$C$4+1))*('Summary Page'!$C$4+1))*('Summary Page'!$C$4+1)</f>
        <v>114.336</v>
      </c>
      <c r="GS48" s="40">
        <f t="shared" si="20"/>
        <v>61</v>
      </c>
      <c r="GT48" s="7">
        <f>((AVERAGE(H43:H48)*('Summary Page'!$C$2+1))*('Summary Page'!$C$2+1))*('Summary Page'!$C$2+1)</f>
        <v>84.288383999999979</v>
      </c>
      <c r="GU48" s="7">
        <f>((AVERAGE(H43:H48)*('Summary Page'!$C$3+1))*('Summary Page'!$C$3+1))*('Summary Page'!$C$3+1)</f>
        <v>105.46875</v>
      </c>
      <c r="GV48" s="7">
        <f>((AVERAGE(H43:H48)*('Summary Page'!$C$4+1))*('Summary Page'!$C$4+1))*('Summary Page'!$C$4+1)</f>
        <v>93.311999999999983</v>
      </c>
      <c r="GY48" s="40">
        <f t="shared" si="21"/>
        <v>22</v>
      </c>
      <c r="GZ48" s="7">
        <f>((AVERAGE(J43:J48)*('Summary Page'!$C$2+1))*('Summary Page'!$C$2+1))*('Summary Page'!$C$2+1)</f>
        <v>26.275082666666659</v>
      </c>
      <c r="HA48" s="7">
        <f>((AVERAGE(J43:J48)*('Summary Page'!$C$3+1))*('Summary Page'!$C$3+1))*('Summary Page'!$C$3+1)</f>
        <v>32.877604166666657</v>
      </c>
      <c r="HB48" s="7">
        <f>((AVERAGE(J43:J48)*('Summary Page'!$C$4+1))*('Summary Page'!$C$4+1))*('Summary Page'!$C$4+1)</f>
        <v>29.087999999999997</v>
      </c>
      <c r="HE48" s="40">
        <f t="shared" si="22"/>
        <v>42</v>
      </c>
      <c r="HF48" s="7">
        <f>((AVERAGE(K43:K48)*('Summary Page'!$C$2+1))*('Summary Page'!$C$2+1))*('Summary Page'!$C$2+1)</f>
        <v>61.135093333333323</v>
      </c>
      <c r="HG48" s="7">
        <f>((AVERAGE(K43:K48)*('Summary Page'!$C$3+1))*('Summary Page'!$C$3+1))*('Summary Page'!$C$3+1)</f>
        <v>76.497395833333314</v>
      </c>
      <c r="HH48" s="7">
        <f>((AVERAGE(K43:K48)*('Summary Page'!$C$4+1))*('Summary Page'!$C$4+1))*('Summary Page'!$C$4+1)</f>
        <v>67.679999999999993</v>
      </c>
      <c r="HL48" s="7">
        <f>((AVERAGE(L43:L48)*('Summary Page'!$C$2+1))*('Summary Page'!$C$2+1))*('Summary Page'!$C$2+1)</f>
        <v>80.386143999999973</v>
      </c>
      <c r="HM48" s="7">
        <f>((AVERAGE(L43:L48)*('Summary Page'!$C$3+1))*('Summary Page'!$C$3+1))*('Summary Page'!$C$3+1)</f>
        <v>100.5859375</v>
      </c>
      <c r="HN48" s="7">
        <f>((AVERAGE(L43:L48)*('Summary Page'!$C$4+1))*('Summary Page'!$C$4+1))*('Summary Page'!$C$4+1)</f>
        <v>88.99199999999999</v>
      </c>
      <c r="HQ48" s="40">
        <f t="shared" si="39"/>
        <v>74</v>
      </c>
      <c r="HR48" s="7">
        <f>((AVERAGE(AL43:AL48)*('Summary Page'!$C$2+1))*('Summary Page'!$C$2+1))*('Summary Page'!$C$2+1)</f>
        <v>193.03080533333329</v>
      </c>
      <c r="HS48" s="7">
        <f>((AVERAGE(AL43:AL48)*('Summary Page'!$C$3+1))*('Summary Page'!$C$3+1))*('Summary Page'!$C$3+1)</f>
        <v>241.53645833333337</v>
      </c>
      <c r="HT48" s="7">
        <f>((AVERAGE(AL43:AL48)*('Summary Page'!$C$4+1))*('Summary Page'!$C$4+1))*('Summary Page'!$C$4+1)</f>
        <v>213.696</v>
      </c>
      <c r="HU48" s="7">
        <f t="shared" si="34"/>
        <v>100</v>
      </c>
      <c r="HV48" s="16">
        <f t="shared" si="32"/>
        <v>29.872659176029963</v>
      </c>
      <c r="HW48" s="16">
        <f t="shared" si="33"/>
        <v>22.112359550561798</v>
      </c>
      <c r="HX48" s="7">
        <f t="shared" si="40"/>
        <v>22.112359550561798</v>
      </c>
      <c r="HY48" s="7">
        <f>((AVERAGE(HV37:HV48,HX37:HX48)*('Summary Page'!$C$2+1))*('Summary Page'!$C$2+1))*('Summary Page'!$C$2+1)</f>
        <v>24.2659893133583</v>
      </c>
      <c r="HZ48" s="7">
        <f>((AVERAGE(HV37:HV48,HX37:HX48)*('Summary Page'!$C$3+1))*('Summary Page'!$C$3+1))*('Summary Page'!$C$3+1)</f>
        <v>30.363656757178525</v>
      </c>
      <c r="IA48" s="7">
        <f>((AVERAGE(HV37:HV48,HX37:HX48)*('Summary Page'!$C$4+1))*('Summary Page'!$C$4+1))*('Summary Page'!$C$4+1)</f>
        <v>26.863820224719095</v>
      </c>
      <c r="IB48" s="11">
        <f t="shared" si="35"/>
        <v>34.851435705368289</v>
      </c>
      <c r="IC48" s="11">
        <f t="shared" si="26"/>
        <v>25.797752808988765</v>
      </c>
      <c r="ID48" s="11">
        <f t="shared" si="27"/>
        <v>25.797752808988765</v>
      </c>
      <c r="IE48" s="11">
        <f t="shared" si="28"/>
        <v>28.310320865584686</v>
      </c>
      <c r="IF48" s="11">
        <f t="shared" si="29"/>
        <v>35.424266216708276</v>
      </c>
      <c r="IG48" s="11">
        <f t="shared" si="30"/>
        <v>31.341123595505611</v>
      </c>
    </row>
    <row r="49" spans="1:238" ht="15.75" x14ac:dyDescent="0.25">
      <c r="A49" s="10">
        <v>44501</v>
      </c>
      <c r="B49" s="40">
        <v>33</v>
      </c>
      <c r="C49" s="40">
        <v>229</v>
      </c>
      <c r="D49" s="40">
        <v>29</v>
      </c>
      <c r="E49" s="40">
        <v>75</v>
      </c>
      <c r="F49" s="40">
        <v>73</v>
      </c>
      <c r="G49" s="40">
        <v>87</v>
      </c>
      <c r="H49" s="40">
        <v>80</v>
      </c>
      <c r="I49" s="7">
        <f t="shared" si="1"/>
        <v>78.75</v>
      </c>
      <c r="J49" s="40">
        <v>26</v>
      </c>
      <c r="K49" s="40">
        <v>57</v>
      </c>
      <c r="L49" s="40">
        <v>39</v>
      </c>
      <c r="M49" s="40">
        <v>34</v>
      </c>
      <c r="N49" s="40">
        <v>27</v>
      </c>
      <c r="O49" s="40">
        <v>118</v>
      </c>
      <c r="P49" s="40">
        <v>13</v>
      </c>
      <c r="Q49" s="40">
        <v>61</v>
      </c>
      <c r="R49" s="40">
        <v>48</v>
      </c>
      <c r="S49" s="40">
        <v>99</v>
      </c>
      <c r="T49" s="40">
        <v>73</v>
      </c>
      <c r="U49" s="7">
        <f t="shared" si="2"/>
        <v>70.25</v>
      </c>
      <c r="V49" s="40">
        <v>23</v>
      </c>
      <c r="W49" s="40">
        <v>49</v>
      </c>
      <c r="X49" s="40">
        <v>41</v>
      </c>
      <c r="Y49" s="69">
        <v>22</v>
      </c>
      <c r="Z49" s="40"/>
      <c r="AA49" s="40"/>
      <c r="AB49" s="40"/>
      <c r="AC49" s="40"/>
      <c r="AD49" s="40"/>
      <c r="AE49" s="40"/>
      <c r="AF49" s="40"/>
      <c r="AG49" s="7" t="e">
        <f t="shared" si="3"/>
        <v>#DIV/0!</v>
      </c>
      <c r="AH49" s="40"/>
      <c r="AI49" s="40"/>
      <c r="AJ49" s="40"/>
      <c r="AK49" s="40"/>
      <c r="AL49" s="40">
        <v>102</v>
      </c>
      <c r="AM49" s="40">
        <v>81</v>
      </c>
      <c r="AN49" s="40"/>
      <c r="AO49" s="40">
        <v>958</v>
      </c>
      <c r="AP49" s="40">
        <v>971</v>
      </c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13">
        <f t="shared" si="4"/>
        <v>78.111111111111114</v>
      </c>
      <c r="EN49" s="13">
        <f t="shared" si="9"/>
        <v>58.222222222222221</v>
      </c>
      <c r="EO49" s="13">
        <f t="shared" si="36"/>
        <v>69.86666666666666</v>
      </c>
      <c r="EP49" s="30">
        <f>((AVERAGE(EM44:EM49)*('Summary Page'!$C$2+1))*('Summary Page'!$C$2+1))*('Summary Page'!$C$2+1)</f>
        <v>97.931771259259222</v>
      </c>
      <c r="EQ49" s="7">
        <f>((AVERAGE(EM44:EM49)*('Summary Page'!$C$3+1))*('Summary Page'!$C$3+1))*('Summary Page'!$C$3+1)</f>
        <v>122.54050925925925</v>
      </c>
      <c r="ER49" s="7">
        <f>((AVERAGE(EM44:EM49)*('Summary Page'!$C$4+1))*('Summary Page'!$C$4+1))*('Summary Page'!$C$4+1)</f>
        <v>108.416</v>
      </c>
      <c r="ES49" s="7">
        <v>80</v>
      </c>
      <c r="ET49" s="13">
        <f t="shared" si="5"/>
        <v>78.75</v>
      </c>
      <c r="EU49" s="13">
        <f t="shared" si="11"/>
        <v>70.25</v>
      </c>
      <c r="EV49" s="13">
        <f t="shared" si="37"/>
        <v>84.3</v>
      </c>
      <c r="EW49" s="7">
        <f>((AVERAGE(ET44:ET49)*('Summary Page'!$C$2+1))*('Summary Page'!$C$2+1))*('Summary Page'!$C$2+1)</f>
        <v>101.00297866666664</v>
      </c>
      <c r="EX49" s="7">
        <f>((AVERAGE(ET44:ET49)*('Summary Page'!$C$3+1))*('Summary Page'!$C$3+1))*('Summary Page'!$C$3+1)</f>
        <v>126.38346354166664</v>
      </c>
      <c r="EY49" s="7">
        <f>((AVERAGE(ET44:ET49)*('Summary Page'!$C$4+1))*('Summary Page'!$C$4+1))*('Summary Page'!$C$4+1)</f>
        <v>111.81599999999999</v>
      </c>
      <c r="EZ49" s="13">
        <f t="shared" si="6"/>
        <v>43.333333333333336</v>
      </c>
      <c r="FA49" s="13">
        <f t="shared" si="13"/>
        <v>37.333333333333336</v>
      </c>
      <c r="FB49" s="13">
        <f t="shared" si="38"/>
        <v>44.800000000000004</v>
      </c>
      <c r="FC49" s="7">
        <f>((AVERAGE(EZ44:EZ49)*('Summary Page'!$C$2+1))*('Summary Page'!$C$2+1))*('Summary Page'!$C$2+1)</f>
        <v>97.989582222222182</v>
      </c>
      <c r="FD49" s="7">
        <f>((AVERAGE(EZ44:EZ49)*('Summary Page'!$C$3+1))*('Summary Page'!$C$3+1))*('Summary Page'!$C$3+1)</f>
        <v>122.61284722222221</v>
      </c>
      <c r="FE49" s="7">
        <f>((AVERAGE(EZ44:EZ49)*('Summary Page'!$C$4+1))*('Summary Page'!$C$4+1))*('Summary Page'!$C$4+1)</f>
        <v>108.47999999999999</v>
      </c>
      <c r="FF49" s="13">
        <f t="shared" si="7"/>
        <v>57.795454545454547</v>
      </c>
      <c r="FI49" s="40">
        <f t="shared" si="8"/>
        <v>118</v>
      </c>
      <c r="FJ49" s="7"/>
      <c r="FK49" s="7"/>
      <c r="FL49" s="7"/>
      <c r="FO49" s="40">
        <f t="shared" si="15"/>
        <v>13</v>
      </c>
      <c r="FP49" s="7"/>
      <c r="FQ49" s="7"/>
      <c r="FR49" s="7"/>
      <c r="FU49" s="40">
        <f t="shared" si="16"/>
        <v>61</v>
      </c>
      <c r="GA49" s="40">
        <f t="shared" si="17"/>
        <v>48</v>
      </c>
      <c r="GG49" s="40">
        <f t="shared" si="18"/>
        <v>22</v>
      </c>
      <c r="GM49" s="40">
        <f t="shared" si="19"/>
        <v>99</v>
      </c>
      <c r="GS49" s="40">
        <f t="shared" si="20"/>
        <v>73</v>
      </c>
      <c r="GY49" s="40">
        <f t="shared" si="21"/>
        <v>23</v>
      </c>
      <c r="HE49" s="40">
        <f t="shared" si="22"/>
        <v>49</v>
      </c>
      <c r="HQ49" s="40">
        <f t="shared" si="39"/>
        <v>81</v>
      </c>
      <c r="HV49" s="16">
        <f t="shared" si="32"/>
        <v>28.704119850187265</v>
      </c>
      <c r="HW49" s="16">
        <f t="shared" si="33"/>
        <v>29.0936329588015</v>
      </c>
      <c r="HX49" s="7">
        <f t="shared" si="40"/>
        <v>29.0936329588015</v>
      </c>
      <c r="IB49" s="11">
        <f t="shared" si="35"/>
        <v>33.488139825218475</v>
      </c>
      <c r="IC49" s="11">
        <f>(HW49/6)+HW49</f>
        <v>33.942571785268413</v>
      </c>
      <c r="ID49" s="11">
        <f>(HX49/6)+HX49</f>
        <v>33.942571785268413</v>
      </c>
    </row>
    <row r="50" spans="1:238" ht="15.75" x14ac:dyDescent="0.25">
      <c r="A50" s="10">
        <v>44531</v>
      </c>
      <c r="B50" s="40">
        <v>36</v>
      </c>
      <c r="C50" s="40">
        <v>250</v>
      </c>
      <c r="D50" s="40">
        <v>11</v>
      </c>
      <c r="E50" s="40">
        <v>91</v>
      </c>
      <c r="F50" s="40">
        <v>82</v>
      </c>
      <c r="G50" s="40">
        <v>103</v>
      </c>
      <c r="H50" s="40">
        <v>99</v>
      </c>
      <c r="I50" s="7">
        <f t="shared" si="1"/>
        <v>93.75</v>
      </c>
      <c r="J50" s="40">
        <v>24</v>
      </c>
      <c r="K50" s="40">
        <v>5</v>
      </c>
      <c r="L50" s="40">
        <v>0</v>
      </c>
      <c r="M50" s="40">
        <v>66</v>
      </c>
      <c r="N50" s="40">
        <v>29</v>
      </c>
      <c r="O50" s="40">
        <v>130</v>
      </c>
      <c r="P50" s="40">
        <v>8</v>
      </c>
      <c r="Q50" s="40">
        <v>62</v>
      </c>
      <c r="R50" s="40">
        <v>51</v>
      </c>
      <c r="S50" s="40">
        <v>116</v>
      </c>
      <c r="T50" s="40">
        <v>74</v>
      </c>
      <c r="U50" s="7">
        <f t="shared" si="2"/>
        <v>75.75</v>
      </c>
      <c r="V50" s="40">
        <v>27</v>
      </c>
      <c r="W50" s="40">
        <v>2</v>
      </c>
      <c r="X50" s="40">
        <v>0</v>
      </c>
      <c r="Y50" s="69">
        <v>57</v>
      </c>
      <c r="Z50" s="40"/>
      <c r="AA50" s="40"/>
      <c r="AB50" s="40"/>
      <c r="AC50" s="40"/>
      <c r="AD50" s="40"/>
      <c r="AE50" s="40"/>
      <c r="AF50" s="40"/>
      <c r="AG50" s="7" t="e">
        <f t="shared" si="3"/>
        <v>#DIV/0!</v>
      </c>
      <c r="AH50" s="40"/>
      <c r="AI50" s="40"/>
      <c r="AJ50" s="40"/>
      <c r="AK50" s="40"/>
      <c r="AL50" s="40">
        <v>105</v>
      </c>
      <c r="AM50" s="40">
        <v>82</v>
      </c>
      <c r="AN50" s="40"/>
      <c r="AO50" s="40">
        <v>989</v>
      </c>
      <c r="AP50" s="40">
        <v>1085</v>
      </c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13">
        <f t="shared" si="4"/>
        <v>78.555555555555557</v>
      </c>
      <c r="EN50" s="13">
        <f t="shared" si="9"/>
        <v>55.555555555555557</v>
      </c>
      <c r="EO50" s="13">
        <f t="shared" si="36"/>
        <v>66.666666666666671</v>
      </c>
      <c r="EP50" s="30">
        <f>((AVERAGE(EM45:EM50)*('Summary Page'!$C$2+1))*('Summary Page'!$C$2+1))*('Summary Page'!$C$2+1)</f>
        <v>111.05485985185184</v>
      </c>
      <c r="EQ50" s="7">
        <f>((AVERAGE(EM45:EM50)*('Summary Page'!$C$3+1))*('Summary Page'!$C$3+1))*('Summary Page'!$C$3+1)</f>
        <v>138.96122685185188</v>
      </c>
      <c r="ER50" s="7">
        <f>((AVERAGE(EM45:EM50)*('Summary Page'!$C$4+1))*('Summary Page'!$C$4+1))*('Summary Page'!$C$4+1)</f>
        <v>122.94399999999999</v>
      </c>
      <c r="ES50" s="7">
        <v>80</v>
      </c>
      <c r="ET50" s="13">
        <f t="shared" si="5"/>
        <v>93.75</v>
      </c>
      <c r="EU50" s="13">
        <f t="shared" si="11"/>
        <v>75.75</v>
      </c>
      <c r="EV50" s="13">
        <f t="shared" si="37"/>
        <v>90.899999999999991</v>
      </c>
      <c r="EW50" s="7">
        <f>((AVERAGE(ET45:ET50)*('Summary Page'!$C$2+1))*('Summary Page'!$C$2+1))*('Summary Page'!$C$2+1)</f>
        <v>118.04275999999997</v>
      </c>
      <c r="EX50" s="7">
        <f>((AVERAGE(ET45:ET50)*('Summary Page'!$C$3+1))*('Summary Page'!$C$3+1))*('Summary Page'!$C$3+1)</f>
        <v>147.705078125</v>
      </c>
      <c r="EY50" s="7">
        <f>((AVERAGE(ET45:ET50)*('Summary Page'!$C$4+1))*('Summary Page'!$C$4+1))*('Summary Page'!$C$4+1)</f>
        <v>130.67999999999998</v>
      </c>
      <c r="EZ50" s="13">
        <f t="shared" si="6"/>
        <v>23.666666666666668</v>
      </c>
      <c r="FA50" s="13">
        <f t="shared" si="13"/>
        <v>19.666666666666668</v>
      </c>
      <c r="FB50" s="13">
        <f t="shared" si="38"/>
        <v>23.6</v>
      </c>
      <c r="FC50" s="7">
        <f>((AVERAGE(EZ45:EZ50)*('Summary Page'!$C$2+1))*('Summary Page'!$C$2+1))*('Summary Page'!$C$2+1)</f>
        <v>94.867790222222197</v>
      </c>
      <c r="FD50" s="7">
        <f>((AVERAGE(EZ45:EZ50)*('Summary Page'!$C$3+1))*('Summary Page'!$C$3+1))*('Summary Page'!$C$3+1)</f>
        <v>118.70659722222221</v>
      </c>
      <c r="FE50" s="7">
        <f>((AVERAGE(EZ45:EZ50)*('Summary Page'!$C$4+1))*('Summary Page'!$C$4+1))*('Summary Page'!$C$4+1)</f>
        <v>105.02399999999997</v>
      </c>
      <c r="FF50" s="13">
        <f t="shared" si="7"/>
        <v>52.704545454545453</v>
      </c>
      <c r="FI50" s="40">
        <f t="shared" si="8"/>
        <v>130</v>
      </c>
      <c r="FJ50" s="7"/>
      <c r="FK50" s="7"/>
      <c r="FL50" s="7"/>
      <c r="FO50" s="40">
        <f t="shared" si="15"/>
        <v>8</v>
      </c>
      <c r="FP50" s="7"/>
      <c r="FQ50" s="7"/>
      <c r="FR50" s="7"/>
      <c r="FU50" s="40">
        <f t="shared" si="16"/>
        <v>62</v>
      </c>
      <c r="GA50" s="40">
        <f t="shared" si="17"/>
        <v>51</v>
      </c>
      <c r="GG50" s="40">
        <f t="shared" si="18"/>
        <v>57</v>
      </c>
      <c r="GM50" s="40">
        <f t="shared" si="19"/>
        <v>116</v>
      </c>
      <c r="GS50" s="40">
        <f t="shared" si="20"/>
        <v>74</v>
      </c>
      <c r="GY50" s="40">
        <f t="shared" si="21"/>
        <v>27</v>
      </c>
      <c r="HE50" s="40">
        <f t="shared" si="22"/>
        <v>2</v>
      </c>
      <c r="HQ50" s="40">
        <f t="shared" si="39"/>
        <v>82</v>
      </c>
      <c r="HV50" s="16">
        <f t="shared" si="32"/>
        <v>29.63295880149813</v>
      </c>
      <c r="HW50" s="16">
        <f t="shared" si="33"/>
        <v>32.509363295880149</v>
      </c>
      <c r="HX50" s="7">
        <f t="shared" si="40"/>
        <v>32.509363295880149</v>
      </c>
      <c r="IB50" s="11">
        <f t="shared" si="35"/>
        <v>34.571785268414487</v>
      </c>
      <c r="IC50" s="11">
        <f>(HW50/6)+HW50</f>
        <v>37.927590511860174</v>
      </c>
      <c r="ID50" s="11">
        <f>(HX50/6)+HX50</f>
        <v>37.927590511860174</v>
      </c>
    </row>
    <row r="51" spans="1:238" ht="15.75" x14ac:dyDescent="0.25">
      <c r="A51" s="10">
        <v>44581</v>
      </c>
      <c r="B51" s="40">
        <v>41</v>
      </c>
      <c r="C51" s="40">
        <v>97</v>
      </c>
      <c r="D51" s="40">
        <v>103</v>
      </c>
      <c r="E51" s="40">
        <v>79</v>
      </c>
      <c r="F51" s="40">
        <v>79</v>
      </c>
      <c r="G51" s="40">
        <v>102</v>
      </c>
      <c r="H51" s="40">
        <v>108</v>
      </c>
      <c r="I51" s="7">
        <f t="shared" si="1"/>
        <v>92</v>
      </c>
      <c r="J51" s="40">
        <v>36</v>
      </c>
      <c r="K51" s="40">
        <v>3</v>
      </c>
      <c r="L51" s="40">
        <v>0</v>
      </c>
      <c r="M51" s="40">
        <v>83</v>
      </c>
      <c r="N51" s="40">
        <v>25</v>
      </c>
      <c r="O51" s="40">
        <v>19</v>
      </c>
      <c r="P51" s="40">
        <v>20</v>
      </c>
      <c r="Q51" s="40">
        <v>50</v>
      </c>
      <c r="R51" s="40">
        <v>53</v>
      </c>
      <c r="S51" s="40">
        <v>53</v>
      </c>
      <c r="T51" s="40">
        <v>52</v>
      </c>
      <c r="U51" s="7">
        <f t="shared" si="2"/>
        <v>52</v>
      </c>
      <c r="V51" s="40">
        <v>15</v>
      </c>
      <c r="W51" s="40">
        <v>1</v>
      </c>
      <c r="X51">
        <v>0</v>
      </c>
      <c r="Y51" s="69">
        <v>45</v>
      </c>
      <c r="AG51" s="7" t="e">
        <f t="shared" si="3"/>
        <v>#DIV/0!</v>
      </c>
      <c r="EM51" s="13">
        <f t="shared" si="4"/>
        <v>72.666666666666671</v>
      </c>
      <c r="EN51" s="13">
        <f t="shared" si="9"/>
        <v>32.555555555555557</v>
      </c>
      <c r="EO51" s="13">
        <f t="shared" si="36"/>
        <v>39.06666666666667</v>
      </c>
      <c r="EP51" s="30">
        <f>((AVERAGE(EM46:EM51)*('Summary Page'!$C$2+1))*('Summary Page'!$C$2+1))*('Summary Page'!$C$2+1)</f>
        <v>117.789837037037</v>
      </c>
      <c r="EQ51" s="7">
        <f>((AVERAGE(EM46:EM51)*('Summary Page'!$C$3+1))*('Summary Page'!$C$3+1))*('Summary Page'!$C$3+1)</f>
        <v>147.38859953703701</v>
      </c>
      <c r="ER51" s="7">
        <f>((AVERAGE(EM46:EM51)*('Summary Page'!$C$4+1))*('Summary Page'!$C$4+1))*('Summary Page'!$C$4+1)</f>
        <v>130.4</v>
      </c>
      <c r="ES51" s="7">
        <v>80</v>
      </c>
      <c r="ET51" s="13">
        <f t="shared" si="5"/>
        <v>92</v>
      </c>
      <c r="EU51" s="13">
        <f t="shared" si="11"/>
        <v>52</v>
      </c>
      <c r="EV51" s="13">
        <f t="shared" si="37"/>
        <v>62.4</v>
      </c>
      <c r="EW51" s="7">
        <f>((AVERAGE(ET46:ET51)*('Summary Page'!$C$2+1))*('Summary Page'!$C$2+1))*('Summary Page'!$C$2+1)</f>
        <v>128.44873333333331</v>
      </c>
      <c r="EX51" s="7">
        <f>((AVERAGE(ET46:ET51)*('Summary Page'!$C$3+1))*('Summary Page'!$C$3+1))*('Summary Page'!$C$3+1)</f>
        <v>160.72591145833337</v>
      </c>
      <c r="EY51" s="7">
        <f>((AVERAGE(ET46:ET51)*('Summary Page'!$C$4+1))*('Summary Page'!$C$4+1))*('Summary Page'!$C$4+1)</f>
        <v>142.19999999999999</v>
      </c>
      <c r="EZ51" s="13">
        <f t="shared" si="6"/>
        <v>28.666666666666668</v>
      </c>
      <c r="FA51" s="13">
        <f t="shared" si="13"/>
        <v>15.333333333333334</v>
      </c>
      <c r="FB51" s="13">
        <f t="shared" si="38"/>
        <v>18.399999999999999</v>
      </c>
      <c r="FC51" s="7">
        <f>((AVERAGE(EZ46:EZ51)*('Summary Page'!$C$2+1))*('Summary Page'!$C$2+1))*('Summary Page'!$C$2+1)</f>
        <v>89.404654222222206</v>
      </c>
      <c r="FD51" s="7">
        <f>((AVERAGE(EZ46:EZ51)*('Summary Page'!$C$3+1))*('Summary Page'!$C$3+1))*('Summary Page'!$C$3+1)</f>
        <v>111.87065972222223</v>
      </c>
      <c r="FE51" s="7">
        <f>((AVERAGE(EZ46:EZ51)*('Summary Page'!$C$4+1))*('Summary Page'!$C$4+1))*('Summary Page'!$C$4+1)</f>
        <v>98.975999999999999</v>
      </c>
      <c r="FF51" s="13">
        <f t="shared" si="7"/>
        <v>62.545454545454547</v>
      </c>
      <c r="FI51" s="40">
        <f t="shared" si="8"/>
        <v>19</v>
      </c>
      <c r="FJ51" s="7"/>
      <c r="FK51" s="7"/>
      <c r="FL51" s="7"/>
      <c r="FO51" s="40">
        <f t="shared" si="15"/>
        <v>20</v>
      </c>
      <c r="FP51" s="7"/>
      <c r="FQ51" s="7"/>
      <c r="FR51" s="7"/>
      <c r="FU51" s="40">
        <f t="shared" si="16"/>
        <v>50</v>
      </c>
      <c r="GA51" s="40">
        <f t="shared" si="17"/>
        <v>53</v>
      </c>
      <c r="GG51" s="40">
        <f t="shared" si="18"/>
        <v>45</v>
      </c>
      <c r="GM51" s="40">
        <f t="shared" si="19"/>
        <v>53</v>
      </c>
      <c r="GS51" s="40">
        <f t="shared" si="20"/>
        <v>52</v>
      </c>
      <c r="GY51" s="40">
        <f t="shared" si="21"/>
        <v>15</v>
      </c>
      <c r="HE51" s="40">
        <f t="shared" si="22"/>
        <v>1</v>
      </c>
    </row>
    <row r="52" spans="1:238" ht="16.5" thickBot="1" x14ac:dyDescent="0.3">
      <c r="A52" s="10">
        <v>44593</v>
      </c>
      <c r="B52" s="40">
        <v>41</v>
      </c>
      <c r="C52" s="40">
        <v>85</v>
      </c>
      <c r="D52" s="40">
        <v>91</v>
      </c>
      <c r="E52" s="40">
        <v>81</v>
      </c>
      <c r="F52" s="40">
        <v>74</v>
      </c>
      <c r="G52" s="40">
        <v>92</v>
      </c>
      <c r="H52" s="40">
        <v>105</v>
      </c>
      <c r="I52" s="7">
        <f t="shared" ref="I52:I66" si="41">AVERAGE(E52:H52)</f>
        <v>88</v>
      </c>
      <c r="J52" s="40">
        <v>34</v>
      </c>
      <c r="K52" s="40">
        <v>3</v>
      </c>
      <c r="M52" s="40">
        <v>81</v>
      </c>
      <c r="N52" s="40">
        <v>25</v>
      </c>
      <c r="O52">
        <v>19</v>
      </c>
      <c r="P52">
        <v>16</v>
      </c>
      <c r="Q52">
        <v>58</v>
      </c>
      <c r="R52">
        <v>57</v>
      </c>
      <c r="S52">
        <v>75</v>
      </c>
      <c r="T52">
        <v>38</v>
      </c>
      <c r="U52">
        <f t="shared" ref="U52:U66" si="42">AVERAGE(Q52:T52)</f>
        <v>57</v>
      </c>
      <c r="V52">
        <v>13</v>
      </c>
      <c r="Y52" s="46">
        <v>49</v>
      </c>
      <c r="Z52">
        <v>31</v>
      </c>
      <c r="AA52">
        <v>34</v>
      </c>
      <c r="AB52">
        <v>20</v>
      </c>
      <c r="AC52">
        <v>59</v>
      </c>
      <c r="AD52">
        <v>61</v>
      </c>
      <c r="AE52">
        <v>71</v>
      </c>
      <c r="AF52">
        <v>62</v>
      </c>
      <c r="AG52">
        <f t="shared" ref="AG52:AG66" si="43">AVERAGE(AC52:AF52)</f>
        <v>63.25</v>
      </c>
      <c r="AH52">
        <v>21</v>
      </c>
      <c r="AK52">
        <v>59</v>
      </c>
      <c r="AL52">
        <v>113</v>
      </c>
      <c r="AM52">
        <v>64</v>
      </c>
      <c r="AN52">
        <v>75</v>
      </c>
      <c r="AO52">
        <v>1028</v>
      </c>
      <c r="AP52">
        <v>1120</v>
      </c>
      <c r="AQ52">
        <v>1033</v>
      </c>
      <c r="AR52" s="14">
        <f t="shared" ref="AR52:AT63" si="44">((AO52/37.5)/0.83)*(AL52/100)</f>
        <v>37.321767068273097</v>
      </c>
      <c r="AS52" s="7">
        <f t="shared" si="44"/>
        <v>23.029718875502009</v>
      </c>
      <c r="AT52" s="8">
        <f t="shared" si="44"/>
        <v>24.891566265060241</v>
      </c>
      <c r="EN52" s="13">
        <f t="shared" si="9"/>
        <v>44.571428571428569</v>
      </c>
      <c r="EO52" s="13">
        <f t="shared" si="36"/>
        <v>53.48571428571428</v>
      </c>
      <c r="EP52" s="30">
        <f>((AVERAGE(EM47:EM52)*('Summary Page'!$C$2+1))*('Summary Page'!$C$2+1))*('Summary Page'!$C$2+1)</f>
        <v>118.9402752</v>
      </c>
      <c r="EQ52" s="7">
        <f>((AVERAGE(EM47:EM52)*('Summary Page'!$C$3+1))*('Summary Page'!$C$3+1))*('Summary Page'!$C$3+1)</f>
        <v>148.82812500000003</v>
      </c>
      <c r="ER52" s="7">
        <f>((AVERAGE(EM47:EM52)*('Summary Page'!$C$4+1))*('Summary Page'!$C$4+1))*('Summary Page'!$C$4+1)</f>
        <v>131.67359999999999</v>
      </c>
      <c r="ES52" s="7">
        <v>80</v>
      </c>
      <c r="ET52" s="13">
        <f t="shared" si="5"/>
        <v>88</v>
      </c>
      <c r="EU52" s="13">
        <f t="shared" si="11"/>
        <v>57</v>
      </c>
      <c r="EV52" s="13">
        <f t="shared" si="37"/>
        <v>68.399999999999991</v>
      </c>
      <c r="EW52" s="7">
        <f>((AVERAGE(ET47:ET52)*('Summary Page'!$C$2+1))*('Summary Page'!$C$2+1))*('Summary Page'!$C$2+1)</f>
        <v>131.9607493333333</v>
      </c>
      <c r="EX52" s="7">
        <f>((AVERAGE(ET47:ET52)*('Summary Page'!$C$3+1))*('Summary Page'!$C$3+1))*('Summary Page'!$C$3+1)</f>
        <v>165.12044270833337</v>
      </c>
      <c r="EY52" s="7">
        <f>((AVERAGE(ET47:ET52)*('Summary Page'!$C$4+1))*('Summary Page'!$C$4+1))*('Summary Page'!$C$4+1)</f>
        <v>146.08799999999999</v>
      </c>
      <c r="FA52" s="13">
        <f t="shared" si="13"/>
        <v>49</v>
      </c>
      <c r="FB52" s="13">
        <f t="shared" si="38"/>
        <v>58.8</v>
      </c>
      <c r="FC52" s="7">
        <f>((AVERAGE(EZ47:EZ52)*('Summary Page'!$C$2+1))*('Summary Page'!$C$2+1))*('Summary Page'!$C$2+1)</f>
        <v>80.438173866666645</v>
      </c>
      <c r="FD52" s="7">
        <f>((AVERAGE(EZ47:EZ52)*('Summary Page'!$C$3+1))*('Summary Page'!$C$3+1))*('Summary Page'!$C$3+1)</f>
        <v>100.65104166666669</v>
      </c>
      <c r="FE52" s="7">
        <f>((AVERAGE(EZ47:EZ52)*('Summary Page'!$C$4+1))*('Summary Page'!$C$4+1))*('Summary Page'!$C$4+1)</f>
        <v>89.049599999999998</v>
      </c>
      <c r="FF52" s="13">
        <f t="shared" si="7"/>
        <v>65.2</v>
      </c>
      <c r="FI52" s="40">
        <f t="shared" si="8"/>
        <v>19</v>
      </c>
      <c r="FJ52" s="7"/>
      <c r="FK52" s="7"/>
      <c r="FL52" s="7"/>
      <c r="FO52" s="40">
        <f t="shared" si="15"/>
        <v>16</v>
      </c>
      <c r="FP52" s="7"/>
      <c r="FQ52" s="7"/>
      <c r="FR52" s="7"/>
      <c r="FU52" s="40">
        <f t="shared" si="16"/>
        <v>58</v>
      </c>
      <c r="GA52" s="40">
        <f t="shared" si="17"/>
        <v>57</v>
      </c>
      <c r="GG52" s="40">
        <f t="shared" si="18"/>
        <v>49</v>
      </c>
      <c r="GM52" s="40">
        <f t="shared" si="19"/>
        <v>75</v>
      </c>
      <c r="GS52" s="40">
        <f t="shared" si="20"/>
        <v>38</v>
      </c>
      <c r="GY52" s="40">
        <f t="shared" si="21"/>
        <v>13</v>
      </c>
    </row>
    <row r="53" spans="1:238" ht="16.5" thickBot="1" x14ac:dyDescent="0.3">
      <c r="A53" s="10">
        <v>44617</v>
      </c>
      <c r="B53" s="40">
        <v>42</v>
      </c>
      <c r="C53" s="40">
        <v>70</v>
      </c>
      <c r="D53" s="40">
        <v>84</v>
      </c>
      <c r="E53" s="90">
        <v>72</v>
      </c>
      <c r="F53" s="91">
        <v>81</v>
      </c>
      <c r="G53" s="91">
        <v>85</v>
      </c>
      <c r="H53" s="92">
        <v>94</v>
      </c>
      <c r="I53" s="130">
        <f t="shared" si="41"/>
        <v>83</v>
      </c>
      <c r="J53" s="40">
        <v>24</v>
      </c>
      <c r="K53" s="40">
        <v>3</v>
      </c>
      <c r="M53" s="40">
        <v>84</v>
      </c>
      <c r="N53" s="40">
        <v>22</v>
      </c>
      <c r="O53" s="40">
        <v>31</v>
      </c>
      <c r="P53" s="40">
        <v>16</v>
      </c>
      <c r="Q53" s="40">
        <v>43</v>
      </c>
      <c r="R53" s="40">
        <v>51</v>
      </c>
      <c r="S53" s="40">
        <v>59</v>
      </c>
      <c r="T53" s="40">
        <v>48</v>
      </c>
      <c r="U53" s="7">
        <f t="shared" si="42"/>
        <v>50.25</v>
      </c>
      <c r="V53" s="40">
        <v>17</v>
      </c>
      <c r="Y53" s="69">
        <v>41</v>
      </c>
      <c r="Z53" s="40">
        <v>32</v>
      </c>
      <c r="AA53" s="40">
        <v>40</v>
      </c>
      <c r="AB53" s="40">
        <v>21</v>
      </c>
      <c r="AC53" s="40">
        <v>65</v>
      </c>
      <c r="AD53" s="40">
        <v>61</v>
      </c>
      <c r="AE53" s="40">
        <v>74</v>
      </c>
      <c r="AF53" s="40">
        <v>62</v>
      </c>
      <c r="AG53" s="7">
        <f t="shared" si="43"/>
        <v>65.5</v>
      </c>
      <c r="AH53" s="40">
        <v>22</v>
      </c>
      <c r="AI53" s="40"/>
      <c r="AK53" s="40">
        <v>59</v>
      </c>
      <c r="AL53" s="40">
        <v>130</v>
      </c>
      <c r="AM53" s="40">
        <v>70</v>
      </c>
      <c r="AN53" s="40">
        <v>95</v>
      </c>
      <c r="AO53" s="40">
        <v>872</v>
      </c>
      <c r="AP53" s="40">
        <v>908</v>
      </c>
      <c r="AQ53" s="40">
        <v>830</v>
      </c>
      <c r="AR53" s="14">
        <f t="shared" si="44"/>
        <v>36.42088353413655</v>
      </c>
      <c r="AS53" s="7">
        <f t="shared" si="44"/>
        <v>20.420883534136546</v>
      </c>
      <c r="AT53" s="8">
        <f t="shared" si="44"/>
        <v>25.333333333333332</v>
      </c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N53" s="13">
        <f t="shared" si="9"/>
        <v>41.285714285714285</v>
      </c>
      <c r="EO53" s="13">
        <f t="shared" si="36"/>
        <v>49.542857142857137</v>
      </c>
      <c r="ET53" s="13">
        <f t="shared" si="5"/>
        <v>83</v>
      </c>
      <c r="EU53" s="13">
        <f t="shared" si="11"/>
        <v>50.25</v>
      </c>
      <c r="EV53" s="13">
        <f t="shared" si="37"/>
        <v>60.3</v>
      </c>
      <c r="FA53" s="13">
        <f t="shared" si="13"/>
        <v>41</v>
      </c>
      <c r="FB53" s="13">
        <f t="shared" si="38"/>
        <v>49.199999999999996</v>
      </c>
      <c r="FF53" s="9">
        <f t="shared" si="7"/>
        <v>61.3</v>
      </c>
      <c r="FI53" s="40">
        <f t="shared" si="8"/>
        <v>31</v>
      </c>
      <c r="FO53" s="40">
        <f t="shared" si="15"/>
        <v>16</v>
      </c>
      <c r="FU53" s="40">
        <f t="shared" si="16"/>
        <v>43</v>
      </c>
      <c r="GA53" s="40">
        <f t="shared" si="17"/>
        <v>51</v>
      </c>
      <c r="GG53" s="40">
        <f t="shared" si="18"/>
        <v>41</v>
      </c>
      <c r="GM53" s="40">
        <f t="shared" si="19"/>
        <v>59</v>
      </c>
      <c r="GS53" s="40">
        <f t="shared" si="20"/>
        <v>48</v>
      </c>
      <c r="GY53" s="40">
        <f t="shared" si="21"/>
        <v>17</v>
      </c>
    </row>
    <row r="54" spans="1:238" ht="16.5" thickBot="1" x14ac:dyDescent="0.3">
      <c r="A54" s="10">
        <v>44655</v>
      </c>
      <c r="B54" s="40">
        <v>44</v>
      </c>
      <c r="C54" s="40">
        <v>76</v>
      </c>
      <c r="D54" s="40">
        <v>64</v>
      </c>
      <c r="E54" s="90">
        <v>47</v>
      </c>
      <c r="F54" s="91">
        <v>82</v>
      </c>
      <c r="G54" s="91">
        <v>70</v>
      </c>
      <c r="H54" s="92">
        <v>86</v>
      </c>
      <c r="I54" s="130">
        <f t="shared" si="41"/>
        <v>71.25</v>
      </c>
      <c r="J54" s="40">
        <v>39</v>
      </c>
      <c r="K54" s="40">
        <v>2</v>
      </c>
      <c r="M54" s="40">
        <v>77</v>
      </c>
      <c r="N54" s="40">
        <v>26</v>
      </c>
      <c r="O54" s="40">
        <v>25</v>
      </c>
      <c r="P54" s="40">
        <v>23</v>
      </c>
      <c r="Q54" s="99">
        <v>39</v>
      </c>
      <c r="R54" s="40">
        <v>48</v>
      </c>
      <c r="S54" s="40">
        <v>48</v>
      </c>
      <c r="T54" s="94">
        <v>40</v>
      </c>
      <c r="U54" s="130">
        <f t="shared" si="42"/>
        <v>43.75</v>
      </c>
      <c r="V54" s="40">
        <v>20</v>
      </c>
      <c r="Y54" s="69">
        <v>51</v>
      </c>
      <c r="Z54" s="40">
        <v>26</v>
      </c>
      <c r="AA54" s="40">
        <v>38</v>
      </c>
      <c r="AB54" s="40">
        <v>27</v>
      </c>
      <c r="AC54" s="90">
        <v>57</v>
      </c>
      <c r="AD54" s="91">
        <v>63</v>
      </c>
      <c r="AE54" s="91">
        <v>76</v>
      </c>
      <c r="AF54" s="92">
        <v>56</v>
      </c>
      <c r="AG54" s="130">
        <f t="shared" si="43"/>
        <v>63</v>
      </c>
      <c r="AH54" s="40">
        <v>24</v>
      </c>
      <c r="AI54" s="40"/>
      <c r="AK54" s="40">
        <v>53</v>
      </c>
      <c r="AL54" s="40">
        <v>129</v>
      </c>
      <c r="AM54" s="40">
        <v>75</v>
      </c>
      <c r="AN54" s="40">
        <v>93</v>
      </c>
      <c r="AO54" s="40">
        <v>799</v>
      </c>
      <c r="AP54" s="40">
        <v>892</v>
      </c>
      <c r="AQ54" s="40">
        <v>796</v>
      </c>
      <c r="AR54" s="14">
        <f t="shared" si="44"/>
        <v>33.115180722891573</v>
      </c>
      <c r="AS54" s="7">
        <f t="shared" si="44"/>
        <v>21.493975903614459</v>
      </c>
      <c r="AT54" s="8">
        <f t="shared" si="44"/>
        <v>23.784096385542171</v>
      </c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N54" s="13">
        <f t="shared" si="9"/>
        <v>39.142857142857146</v>
      </c>
      <c r="EO54" s="13">
        <f t="shared" si="36"/>
        <v>46.971428571428575</v>
      </c>
      <c r="ET54" s="13">
        <f t="shared" si="5"/>
        <v>71.25</v>
      </c>
      <c r="EU54" s="13">
        <f t="shared" si="11"/>
        <v>43.75</v>
      </c>
      <c r="EV54" s="13">
        <f t="shared" si="37"/>
        <v>52.5</v>
      </c>
      <c r="FA54" s="13">
        <f t="shared" si="13"/>
        <v>51</v>
      </c>
      <c r="FB54" s="13">
        <f t="shared" si="38"/>
        <v>61.199999999999996</v>
      </c>
      <c r="FF54" s="9">
        <f t="shared" si="7"/>
        <v>54.024999999999999</v>
      </c>
      <c r="FI54" s="40">
        <f t="shared" si="8"/>
        <v>25</v>
      </c>
      <c r="FO54" s="40">
        <f t="shared" si="15"/>
        <v>23</v>
      </c>
      <c r="FU54" s="40">
        <f t="shared" si="16"/>
        <v>39</v>
      </c>
      <c r="GA54" s="40">
        <f t="shared" si="17"/>
        <v>48</v>
      </c>
      <c r="GG54" s="40">
        <f t="shared" si="18"/>
        <v>51</v>
      </c>
      <c r="GM54" s="40">
        <f t="shared" si="19"/>
        <v>48</v>
      </c>
      <c r="GS54" s="40">
        <f t="shared" si="20"/>
        <v>40</v>
      </c>
      <c r="GY54" s="40">
        <f t="shared" si="21"/>
        <v>20</v>
      </c>
    </row>
    <row r="55" spans="1:238" ht="16.5" thickBot="1" x14ac:dyDescent="0.3">
      <c r="A55" s="10">
        <v>44691</v>
      </c>
      <c r="B55" s="40">
        <v>28</v>
      </c>
      <c r="C55" s="40">
        <v>119</v>
      </c>
      <c r="D55" s="40">
        <v>94</v>
      </c>
      <c r="E55" s="90">
        <v>49</v>
      </c>
      <c r="F55" s="91">
        <v>74</v>
      </c>
      <c r="G55" s="91">
        <v>53</v>
      </c>
      <c r="H55" s="92">
        <v>71</v>
      </c>
      <c r="I55" s="130">
        <f t="shared" si="41"/>
        <v>61.75</v>
      </c>
      <c r="J55" s="40">
        <v>53</v>
      </c>
      <c r="K55" s="40">
        <v>2</v>
      </c>
      <c r="M55" s="40">
        <v>51</v>
      </c>
      <c r="N55" s="40">
        <v>20</v>
      </c>
      <c r="O55" s="40">
        <v>61</v>
      </c>
      <c r="P55" s="40">
        <v>24</v>
      </c>
      <c r="Q55" s="99">
        <v>43</v>
      </c>
      <c r="R55" s="40">
        <v>53</v>
      </c>
      <c r="S55" s="40">
        <v>57</v>
      </c>
      <c r="T55" s="94">
        <v>48</v>
      </c>
      <c r="U55" s="130">
        <f t="shared" si="42"/>
        <v>50.25</v>
      </c>
      <c r="V55" s="40">
        <v>31</v>
      </c>
      <c r="Y55" s="69">
        <v>41</v>
      </c>
      <c r="Z55" s="40">
        <v>22</v>
      </c>
      <c r="AA55" s="40">
        <v>53</v>
      </c>
      <c r="AB55" s="40">
        <v>17</v>
      </c>
      <c r="AC55" s="90">
        <v>47</v>
      </c>
      <c r="AD55" s="91">
        <v>51</v>
      </c>
      <c r="AE55" s="91">
        <v>69</v>
      </c>
      <c r="AF55" s="92">
        <v>51</v>
      </c>
      <c r="AG55" s="130">
        <f t="shared" si="43"/>
        <v>54.5</v>
      </c>
      <c r="AH55" s="40">
        <v>26</v>
      </c>
      <c r="AI55" s="40"/>
      <c r="AK55" s="40">
        <v>44</v>
      </c>
      <c r="AL55" s="40">
        <v>118</v>
      </c>
      <c r="AM55" s="40">
        <v>80</v>
      </c>
      <c r="AN55" s="40">
        <v>84</v>
      </c>
      <c r="AO55" s="40">
        <v>776</v>
      </c>
      <c r="AP55" s="40">
        <v>848</v>
      </c>
      <c r="AQ55" s="40">
        <v>762</v>
      </c>
      <c r="AR55" s="14">
        <f t="shared" si="44"/>
        <v>29.419437751004011</v>
      </c>
      <c r="AS55" s="7">
        <f t="shared" si="44"/>
        <v>21.795983935742974</v>
      </c>
      <c r="AT55" s="8">
        <f t="shared" si="44"/>
        <v>20.564819277108434</v>
      </c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N55" s="13">
        <f t="shared" si="9"/>
        <v>46.714285714285715</v>
      </c>
      <c r="EO55" s="13">
        <f t="shared" si="36"/>
        <v>56.057142857142857</v>
      </c>
      <c r="ET55" s="13">
        <f t="shared" si="5"/>
        <v>61.75</v>
      </c>
      <c r="EU55" s="13">
        <f t="shared" si="11"/>
        <v>50.25</v>
      </c>
      <c r="EV55" s="13">
        <f t="shared" si="37"/>
        <v>60.3</v>
      </c>
      <c r="FA55" s="13">
        <f t="shared" si="13"/>
        <v>41</v>
      </c>
      <c r="FB55" s="13">
        <f t="shared" si="38"/>
        <v>49.199999999999996</v>
      </c>
      <c r="FF55" s="9">
        <f t="shared" si="7"/>
        <v>51.075000000000003</v>
      </c>
      <c r="FI55" s="40">
        <f t="shared" si="8"/>
        <v>61</v>
      </c>
      <c r="FO55" s="40">
        <f t="shared" si="15"/>
        <v>24</v>
      </c>
      <c r="FU55" s="40">
        <f t="shared" si="16"/>
        <v>43</v>
      </c>
      <c r="GA55" s="40">
        <f t="shared" si="17"/>
        <v>53</v>
      </c>
      <c r="GG55" s="40">
        <f t="shared" si="18"/>
        <v>41</v>
      </c>
      <c r="GM55" s="40">
        <f t="shared" si="19"/>
        <v>57</v>
      </c>
      <c r="GS55" s="40">
        <f t="shared" si="20"/>
        <v>48</v>
      </c>
      <c r="GY55" s="40">
        <f t="shared" si="21"/>
        <v>31</v>
      </c>
    </row>
    <row r="56" spans="1:238" ht="16.5" thickBot="1" x14ac:dyDescent="0.3">
      <c r="A56" s="10">
        <v>44714</v>
      </c>
      <c r="B56" s="40">
        <v>29</v>
      </c>
      <c r="C56" s="40">
        <v>120</v>
      </c>
      <c r="D56" s="40">
        <v>78</v>
      </c>
      <c r="E56" s="90">
        <v>66</v>
      </c>
      <c r="F56" s="91">
        <v>77</v>
      </c>
      <c r="G56" s="91">
        <v>49</v>
      </c>
      <c r="H56" s="92">
        <v>70</v>
      </c>
      <c r="I56" s="130">
        <f t="shared" si="41"/>
        <v>65.5</v>
      </c>
      <c r="J56" s="40">
        <v>54</v>
      </c>
      <c r="K56" s="40">
        <v>3</v>
      </c>
      <c r="M56" s="40">
        <v>51</v>
      </c>
      <c r="N56" s="40">
        <v>23</v>
      </c>
      <c r="O56" s="40">
        <v>53</v>
      </c>
      <c r="P56" s="40">
        <v>24</v>
      </c>
      <c r="Q56" s="99">
        <v>49</v>
      </c>
      <c r="R56" s="40">
        <v>45</v>
      </c>
      <c r="S56" s="40">
        <v>73</v>
      </c>
      <c r="T56" s="94">
        <v>46</v>
      </c>
      <c r="U56" s="130">
        <f t="shared" si="42"/>
        <v>53.25</v>
      </c>
      <c r="V56" s="40">
        <v>25</v>
      </c>
      <c r="Y56" s="69">
        <v>43</v>
      </c>
      <c r="Z56" s="40">
        <v>24</v>
      </c>
      <c r="AA56" s="40">
        <v>64</v>
      </c>
      <c r="AB56" s="40">
        <v>22</v>
      </c>
      <c r="AC56" s="90">
        <v>50</v>
      </c>
      <c r="AD56" s="91">
        <v>51</v>
      </c>
      <c r="AE56" s="91">
        <v>71</v>
      </c>
      <c r="AF56" s="92">
        <v>54</v>
      </c>
      <c r="AG56" s="130">
        <f t="shared" si="43"/>
        <v>56.5</v>
      </c>
      <c r="AH56" s="40">
        <v>27</v>
      </c>
      <c r="AI56" s="40"/>
      <c r="AK56" s="40">
        <v>47</v>
      </c>
      <c r="AL56" s="40">
        <v>115</v>
      </c>
      <c r="AM56" s="40">
        <v>82</v>
      </c>
      <c r="AN56" s="40">
        <v>90</v>
      </c>
      <c r="AO56" s="40">
        <v>810</v>
      </c>
      <c r="AP56" s="40">
        <v>848</v>
      </c>
      <c r="AQ56" s="40">
        <v>762</v>
      </c>
      <c r="AR56" s="14">
        <f t="shared" si="44"/>
        <v>29.927710843373497</v>
      </c>
      <c r="AS56" s="7">
        <f t="shared" si="44"/>
        <v>22.340883534136545</v>
      </c>
      <c r="AT56" s="8">
        <f t="shared" si="44"/>
        <v>22.033734939759039</v>
      </c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N56" s="13"/>
      <c r="EO56" s="13"/>
      <c r="ET56" s="13"/>
      <c r="EU56" s="13"/>
      <c r="EV56" s="13"/>
      <c r="FA56" s="13"/>
      <c r="FB56" s="13"/>
      <c r="FI56" s="40"/>
      <c r="FO56" s="40"/>
      <c r="FU56" s="40"/>
      <c r="GA56" s="40"/>
      <c r="GG56" s="40"/>
      <c r="GM56" s="40"/>
      <c r="GS56" s="40"/>
      <c r="GY56" s="40"/>
    </row>
    <row r="57" spans="1:238" ht="16.5" thickBot="1" x14ac:dyDescent="0.3">
      <c r="A57" s="10">
        <v>44753</v>
      </c>
      <c r="B57" s="40">
        <v>31</v>
      </c>
      <c r="C57" s="40">
        <v>89</v>
      </c>
      <c r="D57" s="40">
        <v>82</v>
      </c>
      <c r="E57" s="90">
        <v>75</v>
      </c>
      <c r="F57" s="91">
        <v>65</v>
      </c>
      <c r="G57" s="91">
        <v>122</v>
      </c>
      <c r="H57" s="92">
        <v>65</v>
      </c>
      <c r="I57" s="130">
        <f t="shared" si="41"/>
        <v>81.75</v>
      </c>
      <c r="J57" s="40">
        <v>34</v>
      </c>
      <c r="K57" s="40">
        <v>0</v>
      </c>
      <c r="M57" s="40">
        <v>53</v>
      </c>
      <c r="N57" s="40">
        <v>32</v>
      </c>
      <c r="O57" s="40">
        <v>96</v>
      </c>
      <c r="P57" s="40">
        <v>29</v>
      </c>
      <c r="Q57" s="99">
        <v>71</v>
      </c>
      <c r="R57" s="40">
        <v>64</v>
      </c>
      <c r="S57" s="40">
        <v>95</v>
      </c>
      <c r="T57" s="94">
        <v>67</v>
      </c>
      <c r="U57" s="130">
        <f t="shared" si="42"/>
        <v>74.25</v>
      </c>
      <c r="V57" s="40">
        <v>57</v>
      </c>
      <c r="Y57" s="69">
        <v>59</v>
      </c>
      <c r="Z57" s="40">
        <v>27</v>
      </c>
      <c r="AA57" s="40">
        <v>65</v>
      </c>
      <c r="AB57" s="40">
        <v>20</v>
      </c>
      <c r="AC57" s="90">
        <v>57</v>
      </c>
      <c r="AD57" s="91">
        <v>59</v>
      </c>
      <c r="AE57" s="91">
        <v>78</v>
      </c>
      <c r="AF57" s="92">
        <v>58</v>
      </c>
      <c r="AG57" s="130">
        <f t="shared" si="43"/>
        <v>63</v>
      </c>
      <c r="AH57" s="40">
        <v>28</v>
      </c>
      <c r="AI57" s="40"/>
      <c r="AK57" s="40">
        <v>50.5</v>
      </c>
      <c r="AL57" s="40">
        <v>123</v>
      </c>
      <c r="AM57" s="40">
        <v>118</v>
      </c>
      <c r="AN57" s="40">
        <v>97</v>
      </c>
      <c r="AO57" s="40">
        <v>847</v>
      </c>
      <c r="AP57" s="40">
        <v>715</v>
      </c>
      <c r="AQ57" s="40">
        <v>815</v>
      </c>
      <c r="AR57" s="14">
        <f t="shared" si="44"/>
        <v>33.471807228915665</v>
      </c>
      <c r="AS57" s="7">
        <f t="shared" si="44"/>
        <v>27.106827309236948</v>
      </c>
      <c r="AT57" s="8">
        <f t="shared" si="44"/>
        <v>25.399196787148597</v>
      </c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N57" s="13"/>
      <c r="EO57" s="13"/>
      <c r="ET57" s="13"/>
      <c r="EU57" s="13"/>
      <c r="EV57" s="13"/>
      <c r="FA57" s="13"/>
      <c r="FB57" s="13"/>
      <c r="FI57" s="40"/>
      <c r="FO57" s="40"/>
      <c r="FU57" s="40"/>
      <c r="GA57" s="40"/>
      <c r="GG57" s="40"/>
      <c r="GM57" s="40"/>
      <c r="GS57" s="40"/>
      <c r="GY57" s="40"/>
    </row>
    <row r="58" spans="1:238" ht="16.5" thickBot="1" x14ac:dyDescent="0.3">
      <c r="A58" s="10">
        <v>44774</v>
      </c>
      <c r="B58" s="40">
        <v>33</v>
      </c>
      <c r="C58" s="40">
        <v>74</v>
      </c>
      <c r="D58" s="40">
        <v>72</v>
      </c>
      <c r="E58" s="90">
        <v>80</v>
      </c>
      <c r="F58" s="91">
        <v>66</v>
      </c>
      <c r="G58" s="91">
        <v>131</v>
      </c>
      <c r="H58" s="92">
        <v>73</v>
      </c>
      <c r="I58" s="130">
        <f t="shared" si="41"/>
        <v>87.5</v>
      </c>
      <c r="J58" s="40">
        <v>44</v>
      </c>
      <c r="K58" s="40"/>
      <c r="M58" s="40">
        <v>58</v>
      </c>
      <c r="N58" s="40">
        <v>31</v>
      </c>
      <c r="O58" s="40">
        <v>86</v>
      </c>
      <c r="P58" s="40">
        <v>53</v>
      </c>
      <c r="Q58" s="99">
        <v>81</v>
      </c>
      <c r="R58" s="40">
        <v>75</v>
      </c>
      <c r="S58" s="40">
        <v>90</v>
      </c>
      <c r="T58" s="94">
        <v>65</v>
      </c>
      <c r="U58" s="130">
        <f t="shared" si="42"/>
        <v>77.75</v>
      </c>
      <c r="V58" s="40">
        <v>35</v>
      </c>
      <c r="Y58" s="69">
        <v>56</v>
      </c>
      <c r="Z58" s="40">
        <v>28</v>
      </c>
      <c r="AA58" s="40">
        <v>64</v>
      </c>
      <c r="AB58" s="40">
        <v>22</v>
      </c>
      <c r="AC58" s="90">
        <v>57</v>
      </c>
      <c r="AD58" s="91">
        <v>61</v>
      </c>
      <c r="AE58" s="91">
        <v>78</v>
      </c>
      <c r="AF58" s="92">
        <v>58</v>
      </c>
      <c r="AG58" s="130">
        <f t="shared" si="43"/>
        <v>63.5</v>
      </c>
      <c r="AH58" s="40">
        <v>26</v>
      </c>
      <c r="AI58" s="40"/>
      <c r="AK58" s="40">
        <v>54</v>
      </c>
      <c r="AL58" s="40">
        <v>115</v>
      </c>
      <c r="AM58" s="40">
        <v>99</v>
      </c>
      <c r="AN58" s="40">
        <v>84</v>
      </c>
      <c r="AO58" s="40">
        <v>903</v>
      </c>
      <c r="AP58" s="40">
        <v>864</v>
      </c>
      <c r="AQ58" s="40">
        <v>992</v>
      </c>
      <c r="AR58" s="14">
        <f t="shared" si="44"/>
        <v>33.363855421686743</v>
      </c>
      <c r="AS58" s="7">
        <f t="shared" si="44"/>
        <v>27.481445783132532</v>
      </c>
      <c r="AT58" s="8">
        <f t="shared" si="44"/>
        <v>26.772048192771084</v>
      </c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N58" s="13"/>
      <c r="EO58" s="13"/>
      <c r="ET58" s="13"/>
      <c r="EU58" s="13"/>
      <c r="EV58" s="13"/>
      <c r="FA58" s="13"/>
      <c r="FB58" s="13"/>
      <c r="FI58" s="40"/>
      <c r="FO58" s="40"/>
      <c r="FU58" s="40"/>
      <c r="GA58" s="40"/>
      <c r="GG58" s="40"/>
      <c r="GM58" s="40"/>
      <c r="GS58" s="40"/>
      <c r="GY58" s="40"/>
    </row>
    <row r="59" spans="1:238" ht="16.5" thickBot="1" x14ac:dyDescent="0.3">
      <c r="A59" s="10">
        <v>44805</v>
      </c>
      <c r="B59" s="40">
        <v>34</v>
      </c>
      <c r="C59" s="40">
        <v>60</v>
      </c>
      <c r="D59" s="40">
        <v>51</v>
      </c>
      <c r="E59" s="90">
        <v>102</v>
      </c>
      <c r="F59" s="91">
        <v>71</v>
      </c>
      <c r="G59" s="91">
        <v>137</v>
      </c>
      <c r="H59" s="92">
        <v>63</v>
      </c>
      <c r="I59" s="130">
        <f t="shared" si="41"/>
        <v>93.25</v>
      </c>
      <c r="J59" s="40">
        <v>29</v>
      </c>
      <c r="K59" s="40"/>
      <c r="M59" s="40">
        <v>63</v>
      </c>
      <c r="N59" s="40">
        <v>29</v>
      </c>
      <c r="O59" s="40">
        <v>51</v>
      </c>
      <c r="P59" s="40">
        <v>32</v>
      </c>
      <c r="Q59" s="99">
        <v>74</v>
      </c>
      <c r="R59" s="40">
        <v>67</v>
      </c>
      <c r="S59" s="40">
        <v>83</v>
      </c>
      <c r="T59" s="94">
        <v>63</v>
      </c>
      <c r="U59" s="130">
        <f t="shared" si="42"/>
        <v>71.75</v>
      </c>
      <c r="V59" s="40">
        <v>19</v>
      </c>
      <c r="Y59" s="69">
        <v>54</v>
      </c>
      <c r="Z59" s="40">
        <v>33</v>
      </c>
      <c r="AA59" s="40">
        <v>35</v>
      </c>
      <c r="AB59" s="40">
        <v>34</v>
      </c>
      <c r="AC59" s="90">
        <v>62</v>
      </c>
      <c r="AD59" s="91">
        <v>66</v>
      </c>
      <c r="AE59" s="91">
        <v>92</v>
      </c>
      <c r="AF59" s="92">
        <v>65</v>
      </c>
      <c r="AG59" s="130">
        <f t="shared" si="43"/>
        <v>71.25</v>
      </c>
      <c r="AH59" s="40">
        <v>10</v>
      </c>
      <c r="AI59" s="40"/>
      <c r="AK59" s="40">
        <v>64</v>
      </c>
      <c r="AL59" s="40">
        <v>106</v>
      </c>
      <c r="AM59" s="40">
        <v>84</v>
      </c>
      <c r="AN59" s="40">
        <v>88</v>
      </c>
      <c r="AO59" s="40">
        <v>1001</v>
      </c>
      <c r="AP59" s="40">
        <v>871</v>
      </c>
      <c r="AQ59" s="40">
        <v>1027</v>
      </c>
      <c r="AR59" s="14">
        <f t="shared" si="44"/>
        <v>34.090281124497999</v>
      </c>
      <c r="AS59" s="7">
        <f t="shared" si="44"/>
        <v>23.506506024096385</v>
      </c>
      <c r="AT59" s="8">
        <f t="shared" si="44"/>
        <v>29.036465863453813</v>
      </c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N59" s="13"/>
      <c r="EO59" s="13"/>
      <c r="ET59" s="13"/>
      <c r="EU59" s="13"/>
      <c r="EV59" s="13"/>
      <c r="FA59" s="13"/>
      <c r="FB59" s="13"/>
      <c r="FI59" s="40"/>
      <c r="FO59" s="40"/>
      <c r="FU59" s="40"/>
      <c r="GA59" s="40"/>
      <c r="GG59" s="40"/>
      <c r="GM59" s="40"/>
      <c r="GS59" s="40"/>
      <c r="GY59" s="40"/>
    </row>
    <row r="60" spans="1:238" ht="16.5" thickBot="1" x14ac:dyDescent="0.3">
      <c r="A60" s="10">
        <v>44838</v>
      </c>
      <c r="B60" s="40">
        <v>33</v>
      </c>
      <c r="C60" s="40">
        <v>67</v>
      </c>
      <c r="D60" s="40">
        <v>74</v>
      </c>
      <c r="E60" s="90">
        <v>91</v>
      </c>
      <c r="F60" s="91">
        <v>74</v>
      </c>
      <c r="G60" s="91">
        <v>130</v>
      </c>
      <c r="H60" s="92">
        <v>103</v>
      </c>
      <c r="I60" s="130">
        <f t="shared" si="41"/>
        <v>99.5</v>
      </c>
      <c r="J60" s="40">
        <v>38</v>
      </c>
      <c r="K60" s="40"/>
      <c r="M60" s="40">
        <v>64</v>
      </c>
      <c r="N60" s="40">
        <v>29</v>
      </c>
      <c r="O60" s="40">
        <v>33</v>
      </c>
      <c r="P60" s="40">
        <v>28</v>
      </c>
      <c r="Q60" s="99">
        <v>69</v>
      </c>
      <c r="R60" s="40">
        <v>61</v>
      </c>
      <c r="S60" s="40">
        <v>92</v>
      </c>
      <c r="T60" s="94">
        <v>92</v>
      </c>
      <c r="U60" s="130">
        <f t="shared" si="42"/>
        <v>78.5</v>
      </c>
      <c r="V60" s="40">
        <v>12</v>
      </c>
      <c r="Y60" s="69">
        <v>56</v>
      </c>
      <c r="Z60" s="40">
        <v>31</v>
      </c>
      <c r="AA60" s="40">
        <v>30</v>
      </c>
      <c r="AB60" s="40">
        <v>33</v>
      </c>
      <c r="AC60" s="90">
        <v>63</v>
      </c>
      <c r="AD60" s="91">
        <v>63</v>
      </c>
      <c r="AE60" s="91">
        <v>84</v>
      </c>
      <c r="AF60" s="92">
        <v>83</v>
      </c>
      <c r="AG60" s="130">
        <f t="shared" si="43"/>
        <v>73.25</v>
      </c>
      <c r="AH60" s="40">
        <v>10</v>
      </c>
      <c r="AI60" s="40"/>
      <c r="AK60" s="40">
        <v>61</v>
      </c>
      <c r="AL60" s="40">
        <v>108</v>
      </c>
      <c r="AM60" s="40">
        <v>86</v>
      </c>
      <c r="AN60" s="40">
        <v>85</v>
      </c>
      <c r="AO60" s="40">
        <v>892</v>
      </c>
      <c r="AP60" s="40">
        <v>1030</v>
      </c>
      <c r="AQ60" s="40">
        <v>1047</v>
      </c>
      <c r="AR60" s="14">
        <f t="shared" si="44"/>
        <v>30.951325301204822</v>
      </c>
      <c r="AS60" s="7">
        <f t="shared" si="44"/>
        <v>28.459437751004014</v>
      </c>
      <c r="AT60" s="8">
        <f t="shared" si="44"/>
        <v>28.592771084337354</v>
      </c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N60" s="13"/>
      <c r="EO60" s="13"/>
      <c r="ET60" s="13"/>
      <c r="EU60" s="13"/>
      <c r="EV60" s="13"/>
      <c r="FA60" s="13"/>
      <c r="FB60" s="13"/>
      <c r="FI60" s="40"/>
      <c r="FO60" s="40"/>
      <c r="FU60" s="40"/>
      <c r="GA60" s="40"/>
      <c r="GG60" s="40"/>
      <c r="GM60" s="40"/>
      <c r="GS60" s="40"/>
      <c r="GY60" s="40"/>
    </row>
    <row r="61" spans="1:238" ht="16.5" thickBot="1" x14ac:dyDescent="0.3">
      <c r="A61" s="10">
        <v>44868</v>
      </c>
      <c r="B61" s="40">
        <v>18</v>
      </c>
      <c r="C61" s="40">
        <v>18</v>
      </c>
      <c r="D61" s="40">
        <v>47</v>
      </c>
      <c r="E61" s="90">
        <v>59</v>
      </c>
      <c r="F61" s="91">
        <v>33</v>
      </c>
      <c r="G61" s="91">
        <v>85</v>
      </c>
      <c r="H61" s="92">
        <v>64</v>
      </c>
      <c r="I61" s="130">
        <f t="shared" si="41"/>
        <v>60.25</v>
      </c>
      <c r="J61" s="40">
        <v>5</v>
      </c>
      <c r="K61" s="40"/>
      <c r="M61" s="40">
        <v>29</v>
      </c>
      <c r="N61" s="40">
        <v>21</v>
      </c>
      <c r="O61" s="40">
        <v>25</v>
      </c>
      <c r="P61" s="40">
        <v>12</v>
      </c>
      <c r="Q61" s="99">
        <v>53</v>
      </c>
      <c r="R61" s="40">
        <v>36</v>
      </c>
      <c r="S61" s="40">
        <v>61</v>
      </c>
      <c r="T61" s="94">
        <v>78</v>
      </c>
      <c r="U61" s="130">
        <f t="shared" si="42"/>
        <v>57</v>
      </c>
      <c r="V61" s="40">
        <v>11</v>
      </c>
      <c r="Y61" s="69">
        <v>36</v>
      </c>
      <c r="Z61" s="40">
        <v>21</v>
      </c>
      <c r="AA61" s="40">
        <v>29</v>
      </c>
      <c r="AB61" s="40">
        <v>16</v>
      </c>
      <c r="AC61" s="90">
        <v>54</v>
      </c>
      <c r="AD61" s="91">
        <v>45</v>
      </c>
      <c r="AE61" s="91">
        <v>68</v>
      </c>
      <c r="AF61" s="92">
        <v>73</v>
      </c>
      <c r="AG61" s="130">
        <f t="shared" si="43"/>
        <v>60</v>
      </c>
      <c r="AH61" s="40">
        <v>11</v>
      </c>
      <c r="AI61" s="40"/>
      <c r="AK61" s="40">
        <v>39</v>
      </c>
      <c r="AL61" s="40">
        <v>58</v>
      </c>
      <c r="AM61" s="40">
        <v>59</v>
      </c>
      <c r="AN61" s="40">
        <v>65</v>
      </c>
      <c r="AO61" s="40">
        <v>997</v>
      </c>
      <c r="AP61" s="40">
        <v>993</v>
      </c>
      <c r="AQ61" s="40">
        <v>1034</v>
      </c>
      <c r="AR61" s="14">
        <f>((AO61/37.5)/0.83)*(AL61/100)</f>
        <v>18.57863453815261</v>
      </c>
      <c r="AS61" s="7">
        <f t="shared" si="44"/>
        <v>18.823132530120482</v>
      </c>
      <c r="AT61" s="8">
        <f t="shared" si="44"/>
        <v>21.593574297188756</v>
      </c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N61" s="13"/>
      <c r="EO61" s="13"/>
      <c r="ET61" s="13"/>
      <c r="EU61" s="13"/>
      <c r="EV61" s="13"/>
      <c r="FA61" s="13"/>
      <c r="FB61" s="13"/>
      <c r="FI61" s="40"/>
      <c r="FO61" s="40"/>
      <c r="FU61" s="40"/>
      <c r="GA61" s="40"/>
      <c r="GG61" s="40"/>
      <c r="GM61" s="40"/>
      <c r="GS61" s="40"/>
      <c r="GY61" s="40"/>
    </row>
    <row r="62" spans="1:238" ht="16.5" thickBot="1" x14ac:dyDescent="0.3">
      <c r="A62" s="10">
        <v>44908</v>
      </c>
      <c r="B62" s="40">
        <v>15</v>
      </c>
      <c r="C62" s="40">
        <v>13</v>
      </c>
      <c r="D62" s="40">
        <v>15</v>
      </c>
      <c r="E62" s="90">
        <v>33</v>
      </c>
      <c r="F62" s="91">
        <v>26</v>
      </c>
      <c r="G62" s="91">
        <v>54</v>
      </c>
      <c r="H62" s="92">
        <v>56</v>
      </c>
      <c r="I62" s="130">
        <f t="shared" si="41"/>
        <v>42.25</v>
      </c>
      <c r="J62" s="40">
        <v>17</v>
      </c>
      <c r="K62" s="40"/>
      <c r="M62" s="40">
        <v>23</v>
      </c>
      <c r="N62" s="40">
        <v>13</v>
      </c>
      <c r="O62" s="40">
        <v>19</v>
      </c>
      <c r="P62" s="40">
        <v>7</v>
      </c>
      <c r="Q62" s="99">
        <v>51</v>
      </c>
      <c r="R62" s="40">
        <v>17</v>
      </c>
      <c r="S62" s="40">
        <v>46</v>
      </c>
      <c r="T62" s="94">
        <v>45</v>
      </c>
      <c r="U62" s="130">
        <f t="shared" si="42"/>
        <v>39.75</v>
      </c>
      <c r="V62" s="40">
        <v>9</v>
      </c>
      <c r="Y62" s="69">
        <v>23</v>
      </c>
      <c r="Z62" s="40">
        <v>17</v>
      </c>
      <c r="AA62" s="40">
        <v>20</v>
      </c>
      <c r="AB62" s="40">
        <v>12</v>
      </c>
      <c r="AC62" s="90">
        <v>41</v>
      </c>
      <c r="AD62" s="91">
        <v>29</v>
      </c>
      <c r="AE62" s="91">
        <v>40</v>
      </c>
      <c r="AF62" s="92">
        <v>53</v>
      </c>
      <c r="AG62" s="130">
        <f t="shared" si="43"/>
        <v>40.75</v>
      </c>
      <c r="AH62" s="40">
        <v>10</v>
      </c>
      <c r="AI62" s="40"/>
      <c r="AK62" s="40">
        <v>30</v>
      </c>
      <c r="AL62" s="40">
        <v>99</v>
      </c>
      <c r="AM62" s="40">
        <v>83</v>
      </c>
      <c r="AN62" s="40">
        <v>98</v>
      </c>
      <c r="AO62" s="40">
        <v>400</v>
      </c>
      <c r="AP62" s="40">
        <v>467</v>
      </c>
      <c r="AQ62" s="40">
        <v>490</v>
      </c>
      <c r="AR62" s="14">
        <f>((AO62/37.5)/0.83)*(AL62/100)</f>
        <v>12.72289156626506</v>
      </c>
      <c r="AS62" s="7">
        <f t="shared" si="44"/>
        <v>12.453333333333333</v>
      </c>
      <c r="AT62" s="8">
        <f t="shared" si="44"/>
        <v>15.428112449799197</v>
      </c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N62" s="13"/>
      <c r="EO62" s="13"/>
      <c r="ET62" s="13"/>
      <c r="EU62" s="13"/>
      <c r="EV62" s="13"/>
      <c r="FA62" s="13"/>
      <c r="FB62" s="13"/>
      <c r="FI62" s="40"/>
      <c r="FO62" s="40"/>
      <c r="FU62" s="40"/>
      <c r="GA62" s="40"/>
      <c r="GG62" s="40"/>
      <c r="GM62" s="40"/>
      <c r="GS62" s="40"/>
      <c r="GY62" s="40"/>
    </row>
    <row r="63" spans="1:238" ht="15.75" thickBot="1" x14ac:dyDescent="0.3">
      <c r="A63" s="10">
        <v>44965</v>
      </c>
      <c r="B63" s="40">
        <v>10</v>
      </c>
      <c r="C63" s="40">
        <v>1</v>
      </c>
      <c r="D63" s="40">
        <v>53</v>
      </c>
      <c r="E63" s="99">
        <v>31</v>
      </c>
      <c r="F63" s="40">
        <v>18</v>
      </c>
      <c r="G63" s="40">
        <v>18</v>
      </c>
      <c r="H63" s="94">
        <v>30</v>
      </c>
      <c r="I63" s="130">
        <f t="shared" si="41"/>
        <v>24.25</v>
      </c>
      <c r="J63" s="40">
        <v>2</v>
      </c>
      <c r="M63" s="40">
        <v>16</v>
      </c>
      <c r="N63" s="40">
        <v>13</v>
      </c>
      <c r="O63" s="40">
        <v>7</v>
      </c>
      <c r="P63" s="40">
        <v>5</v>
      </c>
      <c r="Q63" s="99">
        <v>28</v>
      </c>
      <c r="R63" s="40">
        <v>12</v>
      </c>
      <c r="S63" s="40">
        <v>29</v>
      </c>
      <c r="T63" s="94">
        <v>25</v>
      </c>
      <c r="U63" s="130">
        <f t="shared" si="42"/>
        <v>23.5</v>
      </c>
      <c r="V63" s="40">
        <v>6</v>
      </c>
      <c r="Y63" s="69">
        <v>19</v>
      </c>
      <c r="Z63" s="40">
        <v>26</v>
      </c>
      <c r="AA63" s="40">
        <v>20</v>
      </c>
      <c r="AB63" s="40">
        <v>11</v>
      </c>
      <c r="AC63" s="90">
        <v>50</v>
      </c>
      <c r="AD63" s="91">
        <v>34</v>
      </c>
      <c r="AE63" s="91">
        <v>62</v>
      </c>
      <c r="AF63" s="92">
        <v>53</v>
      </c>
      <c r="AG63" s="130">
        <f t="shared" si="43"/>
        <v>49.75</v>
      </c>
      <c r="AH63" s="40">
        <v>12</v>
      </c>
      <c r="AK63" s="40">
        <v>36</v>
      </c>
      <c r="AL63" s="40">
        <v>67</v>
      </c>
      <c r="AM63" s="40">
        <v>76</v>
      </c>
      <c r="AN63" s="40">
        <v>114</v>
      </c>
      <c r="AO63" s="40">
        <v>311</v>
      </c>
      <c r="AP63" s="40">
        <v>424</v>
      </c>
      <c r="AQ63" s="40">
        <v>497</v>
      </c>
      <c r="AR63" s="14">
        <f>((AO63/37.5)/0.83)*(AL63/100)</f>
        <v>6.6946184738955825</v>
      </c>
      <c r="AS63" s="7">
        <f t="shared" si="44"/>
        <v>10.353092369477912</v>
      </c>
      <c r="AT63" s="8">
        <f t="shared" si="44"/>
        <v>18.203373493975903</v>
      </c>
    </row>
    <row r="64" spans="1:238" ht="15.75" thickBot="1" x14ac:dyDescent="0.3">
      <c r="A64" s="10">
        <v>44992</v>
      </c>
      <c r="B64" s="40">
        <v>10</v>
      </c>
      <c r="C64" s="40">
        <v>3</v>
      </c>
      <c r="D64" s="40">
        <v>37</v>
      </c>
      <c r="E64" s="99">
        <v>21</v>
      </c>
      <c r="F64" s="40">
        <v>9</v>
      </c>
      <c r="G64" s="40">
        <v>12</v>
      </c>
      <c r="H64" s="94">
        <v>18</v>
      </c>
      <c r="I64" s="130">
        <f t="shared" si="41"/>
        <v>15</v>
      </c>
      <c r="J64" s="40">
        <v>4</v>
      </c>
      <c r="M64" s="40">
        <v>18</v>
      </c>
      <c r="N64" s="40">
        <v>5</v>
      </c>
      <c r="O64" s="40">
        <v>12</v>
      </c>
      <c r="P64" s="40">
        <v>6</v>
      </c>
      <c r="Q64" s="99">
        <v>28</v>
      </c>
      <c r="R64" s="40">
        <v>9</v>
      </c>
      <c r="S64" s="40">
        <v>24</v>
      </c>
      <c r="T64" s="94">
        <v>24</v>
      </c>
      <c r="U64" s="130">
        <f t="shared" si="42"/>
        <v>21.25</v>
      </c>
      <c r="V64" s="40">
        <v>6</v>
      </c>
      <c r="Y64" s="69">
        <v>10</v>
      </c>
      <c r="Z64" s="40">
        <v>17</v>
      </c>
      <c r="AA64" s="40">
        <v>23</v>
      </c>
      <c r="AB64" s="40">
        <v>10</v>
      </c>
      <c r="AC64" s="90">
        <v>37</v>
      </c>
      <c r="AD64" s="91">
        <v>22</v>
      </c>
      <c r="AE64" s="91">
        <v>46</v>
      </c>
      <c r="AF64" s="92">
        <v>45</v>
      </c>
      <c r="AG64" s="130">
        <f t="shared" si="43"/>
        <v>37.5</v>
      </c>
      <c r="AH64" s="40">
        <v>10</v>
      </c>
      <c r="AK64" s="40">
        <v>24</v>
      </c>
      <c r="AL64" s="40">
        <v>87</v>
      </c>
      <c r="AM64" s="40">
        <v>61</v>
      </c>
      <c r="AN64" s="40">
        <v>80</v>
      </c>
      <c r="AO64" s="40">
        <v>218</v>
      </c>
      <c r="AP64" s="40">
        <v>341</v>
      </c>
      <c r="AQ64" s="40">
        <v>528</v>
      </c>
      <c r="AR64" s="14">
        <f t="shared" ref="AR64:AT66" si="45">((AO64/37.5)/0.85)*(AL64/100)</f>
        <v>5.950117647058824</v>
      </c>
      <c r="AS64" s="7">
        <f t="shared" si="45"/>
        <v>6.5258039215686283</v>
      </c>
      <c r="AT64" s="8">
        <f t="shared" si="45"/>
        <v>13.251764705882355</v>
      </c>
    </row>
    <row r="65" spans="1:46" ht="15.75" thickBot="1" x14ac:dyDescent="0.3">
      <c r="A65" s="10">
        <v>45020</v>
      </c>
      <c r="B65" s="40">
        <v>9</v>
      </c>
      <c r="C65" s="40">
        <v>14</v>
      </c>
      <c r="D65" s="40">
        <v>14</v>
      </c>
      <c r="E65" s="99">
        <v>29</v>
      </c>
      <c r="F65" s="40">
        <v>12</v>
      </c>
      <c r="G65" s="40">
        <v>25</v>
      </c>
      <c r="H65" s="94">
        <v>30</v>
      </c>
      <c r="I65" s="130">
        <f t="shared" si="41"/>
        <v>24</v>
      </c>
      <c r="J65" s="40">
        <v>5</v>
      </c>
      <c r="M65" s="40">
        <v>19</v>
      </c>
      <c r="N65" s="40">
        <v>10</v>
      </c>
      <c r="O65" s="40">
        <v>18</v>
      </c>
      <c r="P65" s="40">
        <v>0</v>
      </c>
      <c r="Q65" s="99">
        <v>37</v>
      </c>
      <c r="R65" s="40">
        <v>15</v>
      </c>
      <c r="S65" s="40">
        <v>28</v>
      </c>
      <c r="T65" s="94">
        <v>32</v>
      </c>
      <c r="U65" s="130">
        <f t="shared" si="42"/>
        <v>28</v>
      </c>
      <c r="V65" s="40">
        <v>7</v>
      </c>
      <c r="Y65" s="69">
        <v>19</v>
      </c>
      <c r="Z65" s="40">
        <v>15</v>
      </c>
      <c r="AA65" s="40">
        <v>17</v>
      </c>
      <c r="AB65" s="40">
        <v>2</v>
      </c>
      <c r="AC65" s="90">
        <v>26</v>
      </c>
      <c r="AD65" s="91">
        <v>23</v>
      </c>
      <c r="AE65" s="91">
        <v>39</v>
      </c>
      <c r="AF65" s="92">
        <v>35</v>
      </c>
      <c r="AG65" s="130">
        <f t="shared" si="43"/>
        <v>30.75</v>
      </c>
      <c r="AH65" s="40">
        <v>8</v>
      </c>
      <c r="AK65" s="40">
        <v>25</v>
      </c>
      <c r="AL65" s="40">
        <v>97</v>
      </c>
      <c r="AM65" s="40">
        <v>98</v>
      </c>
      <c r="AN65" s="40">
        <v>113</v>
      </c>
      <c r="AO65" s="40">
        <v>267</v>
      </c>
      <c r="AP65" s="40">
        <v>314</v>
      </c>
      <c r="AQ65" s="40">
        <v>305</v>
      </c>
      <c r="AR65" s="14">
        <f t="shared" si="45"/>
        <v>8.1251764705882348</v>
      </c>
      <c r="AS65" s="7">
        <f t="shared" si="45"/>
        <v>9.6539607843137265</v>
      </c>
      <c r="AT65" s="8">
        <f t="shared" si="45"/>
        <v>10.812549019607841</v>
      </c>
    </row>
    <row r="66" spans="1:46" ht="15.75" thickBot="1" x14ac:dyDescent="0.3">
      <c r="A66" s="10">
        <v>45047</v>
      </c>
      <c r="B66" s="40">
        <v>8</v>
      </c>
      <c r="C66" s="40">
        <v>30</v>
      </c>
      <c r="D66" s="40">
        <v>18</v>
      </c>
      <c r="E66" s="99">
        <v>30</v>
      </c>
      <c r="F66" s="40">
        <v>21</v>
      </c>
      <c r="G66" s="40">
        <v>22</v>
      </c>
      <c r="H66" s="94">
        <v>28</v>
      </c>
      <c r="I66" s="130">
        <f t="shared" si="41"/>
        <v>25.25</v>
      </c>
      <c r="J66" s="40">
        <v>16</v>
      </c>
      <c r="M66" s="40">
        <v>15</v>
      </c>
      <c r="N66" s="40">
        <v>12</v>
      </c>
      <c r="O66" s="40">
        <v>37</v>
      </c>
      <c r="P66" s="40">
        <v>1</v>
      </c>
      <c r="Q66" s="99">
        <v>45</v>
      </c>
      <c r="R66" s="40">
        <v>21</v>
      </c>
      <c r="S66" s="40">
        <v>36</v>
      </c>
      <c r="T66" s="94">
        <v>38</v>
      </c>
      <c r="U66" s="130">
        <f t="shared" si="42"/>
        <v>35</v>
      </c>
      <c r="V66" s="40">
        <v>14</v>
      </c>
      <c r="Y66" s="69">
        <v>21</v>
      </c>
      <c r="Z66" s="40">
        <v>16</v>
      </c>
      <c r="AA66" s="40">
        <v>53</v>
      </c>
      <c r="AB66" s="40">
        <v>2</v>
      </c>
      <c r="AC66" s="90">
        <v>58</v>
      </c>
      <c r="AD66" s="91">
        <v>39</v>
      </c>
      <c r="AE66" s="91">
        <v>69</v>
      </c>
      <c r="AF66" s="92">
        <v>53</v>
      </c>
      <c r="AG66" s="130">
        <f t="shared" si="43"/>
        <v>54.75</v>
      </c>
      <c r="AH66" s="40">
        <v>29</v>
      </c>
      <c r="AK66" s="40">
        <v>30</v>
      </c>
      <c r="AL66" s="40">
        <v>103</v>
      </c>
      <c r="AM66" s="40">
        <v>124</v>
      </c>
      <c r="AN66" s="40">
        <v>185</v>
      </c>
      <c r="AO66" s="40">
        <v>270</v>
      </c>
      <c r="AP66" s="40">
        <v>314</v>
      </c>
      <c r="AQ66" s="40">
        <v>305</v>
      </c>
      <c r="AR66" s="14">
        <f t="shared" si="45"/>
        <v>8.7247058823529411</v>
      </c>
      <c r="AS66" s="7">
        <f t="shared" si="45"/>
        <v>12.21521568627451</v>
      </c>
      <c r="AT66" s="8">
        <f t="shared" si="45"/>
        <v>17.701960784313727</v>
      </c>
    </row>
  </sheetData>
  <mergeCells count="9">
    <mergeCell ref="AL2:AM2"/>
    <mergeCell ref="HV2:IA2"/>
    <mergeCell ref="IB2:IG2"/>
    <mergeCell ref="EM2:ER2"/>
    <mergeCell ref="ET2:EY2"/>
    <mergeCell ref="EZ2:FE2"/>
    <mergeCell ref="FF2:FF3"/>
    <mergeCell ref="AO2:AQ2"/>
    <mergeCell ref="AR2:AT2"/>
  </mergeCells>
  <phoneticPr fontId="11" type="noConversion"/>
  <conditionalFormatting sqref="AL27:AN38 L39:M43 C5:C46 FI5:FL52 FO5:FR52 FU5:FX48 GA5:GD48 GG5:GJ48 GM5:GP48 GS5:GV48 GY5:HB48 AL47:AN50 AP39:EL50 M27:M43 D27:F46 D5:H25 J44:M51 J27:K43 X43:X46 J5:M25 V27:W51 X39:AD42 Z43:AD46 AH39:AN46 AE39:AF46 AH5:EL25 V5:AF25 V53 Y27:Y51 AP53:AQ53 C47:F51 G27:H51 J53:K53 M53 C53:H53 Y53 O53:T53 FI53:FI54 FO53:FO54 FU49:FU54 GA49:GA54 GM49:GM54 GS49:GS54 GY49:GY54 GG49:GG54 AU53:EL53 AL53:AN53 O5:T25 O27:T51">
    <cfRule type="cellIs" dxfId="675" priority="299" operator="lessThan">
      <formula>40</formula>
    </cfRule>
    <cfRule type="cellIs" dxfId="674" priority="301" operator="greaterThan">
      <formula>80</formula>
    </cfRule>
  </conditionalFormatting>
  <conditionalFormatting sqref="EM5:EO24 FF5:FF52 EN26:EN36 EM25:EN25 EO25:EO36 EM27:EM51 EN37:EO54">
    <cfRule type="cellIs" dxfId="673" priority="300" operator="greaterThan">
      <formula>80</formula>
    </cfRule>
  </conditionalFormatting>
  <conditionalFormatting sqref="L5:M25">
    <cfRule type="cellIs" dxfId="672" priority="297" operator="lessThan">
      <formula>40</formula>
    </cfRule>
    <cfRule type="cellIs" dxfId="671" priority="298" operator="greaterThan">
      <formula>80</formula>
    </cfRule>
  </conditionalFormatting>
  <conditionalFormatting sqref="HE25:HE51">
    <cfRule type="cellIs" dxfId="670" priority="295" operator="lessThan">
      <formula>40</formula>
    </cfRule>
    <cfRule type="cellIs" dxfId="669" priority="296" operator="greaterThan">
      <formula>80</formula>
    </cfRule>
  </conditionalFormatting>
  <conditionalFormatting sqref="HK25">
    <cfRule type="cellIs" dxfId="668" priority="293" operator="lessThan">
      <formula>40</formula>
    </cfRule>
    <cfRule type="cellIs" dxfId="667" priority="294" operator="greaterThan">
      <formula>80</formula>
    </cfRule>
  </conditionalFormatting>
  <conditionalFormatting sqref="HF5:HH48 HL5:HN48">
    <cfRule type="cellIs" dxfId="666" priority="283" operator="lessThan">
      <formula>40</formula>
    </cfRule>
    <cfRule type="cellIs" dxfId="665" priority="284" operator="greaterThan">
      <formula>80</formula>
    </cfRule>
  </conditionalFormatting>
  <conditionalFormatting sqref="EP5:ES52">
    <cfRule type="cellIs" dxfId="664" priority="281" operator="lessThan">
      <formula>40</formula>
    </cfRule>
    <cfRule type="cellIs" dxfId="663" priority="282" operator="greaterThan">
      <formula>80</formula>
    </cfRule>
  </conditionalFormatting>
  <conditionalFormatting sqref="AL5:AL25 AL27:AL50 AL53">
    <cfRule type="cellIs" dxfId="662" priority="279" operator="lessThan">
      <formula>40</formula>
    </cfRule>
    <cfRule type="cellIs" dxfId="661" priority="280" operator="greaterThan">
      <formula>80</formula>
    </cfRule>
  </conditionalFormatting>
  <conditionalFormatting sqref="HQ24:HQ50">
    <cfRule type="cellIs" dxfId="660" priority="277" operator="lessThan">
      <formula>40</formula>
    </cfRule>
    <cfRule type="cellIs" dxfId="659" priority="278" operator="greaterThan">
      <formula>80</formula>
    </cfRule>
  </conditionalFormatting>
  <conditionalFormatting sqref="HR5:HU48">
    <cfRule type="cellIs" dxfId="658" priority="275" operator="lessThan">
      <formula>40</formula>
    </cfRule>
    <cfRule type="cellIs" dxfId="657" priority="276" operator="greaterThan">
      <formula>80</formula>
    </cfRule>
  </conditionalFormatting>
  <conditionalFormatting sqref="ET5:EV24 EU26:EU36 ET25:EU25 EV25:EV36 ET27:ET54 EU37:EV54">
    <cfRule type="cellIs" dxfId="656" priority="274" operator="greaterThan">
      <formula>80</formula>
    </cfRule>
  </conditionalFormatting>
  <conditionalFormatting sqref="EW5:EY52">
    <cfRule type="cellIs" dxfId="655" priority="272" operator="lessThan">
      <formula>40</formula>
    </cfRule>
    <cfRule type="cellIs" dxfId="654" priority="273" operator="greaterThan">
      <formula>80</formula>
    </cfRule>
  </conditionalFormatting>
  <conditionalFormatting sqref="EZ5:FB24 FA26:FA36 EZ25:FA25 FB25:FB36 EZ27:EZ51 FA37:FB54">
    <cfRule type="cellIs" dxfId="653" priority="271" operator="greaterThan">
      <formula>80</formula>
    </cfRule>
  </conditionalFormatting>
  <conditionalFormatting sqref="FC5:FE52">
    <cfRule type="cellIs" dxfId="652" priority="269" operator="lessThan">
      <formula>40</formula>
    </cfRule>
    <cfRule type="cellIs" dxfId="651" priority="270" operator="greaterThan">
      <formula>80</formula>
    </cfRule>
  </conditionalFormatting>
  <conditionalFormatting sqref="HX26:HX50">
    <cfRule type="cellIs" dxfId="650" priority="267" operator="lessThan">
      <formula>40</formula>
    </cfRule>
    <cfRule type="cellIs" dxfId="649" priority="268" operator="greaterThan">
      <formula>80</formula>
    </cfRule>
  </conditionalFormatting>
  <conditionalFormatting sqref="HY26:IA48">
    <cfRule type="cellIs" dxfId="648" priority="265" operator="lessThan">
      <formula>40</formula>
    </cfRule>
    <cfRule type="cellIs" dxfId="647" priority="266" operator="greaterThan">
      <formula>80</formula>
    </cfRule>
  </conditionalFormatting>
  <conditionalFormatting sqref="AM26:AN26">
    <cfRule type="cellIs" dxfId="646" priority="263" operator="lessThan">
      <formula>40</formula>
    </cfRule>
    <cfRule type="cellIs" dxfId="645" priority="264" operator="greaterThan">
      <formula>80</formula>
    </cfRule>
  </conditionalFormatting>
  <conditionalFormatting sqref="B39">
    <cfRule type="cellIs" dxfId="644" priority="261" operator="lessThan">
      <formula>40</formula>
    </cfRule>
    <cfRule type="cellIs" dxfId="643" priority="262" operator="greaterThan">
      <formula>80</formula>
    </cfRule>
  </conditionalFormatting>
  <conditionalFormatting sqref="B40:B46 B48:B51 B53">
    <cfRule type="cellIs" dxfId="642" priority="259" operator="lessThan">
      <formula>40</formula>
    </cfRule>
    <cfRule type="cellIs" dxfId="641" priority="260" operator="greaterThan">
      <formula>80</formula>
    </cfRule>
  </conditionalFormatting>
  <conditionalFormatting sqref="D26">
    <cfRule type="cellIs" dxfId="640" priority="257" operator="lessThan">
      <formula>40</formula>
    </cfRule>
    <cfRule type="cellIs" dxfId="639" priority="258" operator="greaterThan">
      <formula>80</formula>
    </cfRule>
  </conditionalFormatting>
  <conditionalFormatting sqref="B47">
    <cfRule type="cellIs" dxfId="638" priority="253" operator="lessThan">
      <formula>40</formula>
    </cfRule>
    <cfRule type="cellIs" dxfId="637" priority="254" operator="greaterThan">
      <formula>80</formula>
    </cfRule>
  </conditionalFormatting>
  <conditionalFormatting sqref="I5:I25 I27:I51 I53">
    <cfRule type="cellIs" dxfId="636" priority="251" operator="lessThan">
      <formula>40</formula>
    </cfRule>
    <cfRule type="cellIs" dxfId="635" priority="252" operator="greaterThan">
      <formula>80</formula>
    </cfRule>
  </conditionalFormatting>
  <conditionalFormatting sqref="U5:U25 U27:U51 U53">
    <cfRule type="cellIs" dxfId="634" priority="249" operator="lessThan">
      <formula>40</formula>
    </cfRule>
    <cfRule type="cellIs" dxfId="633" priority="250" operator="greaterThan">
      <formula>80</formula>
    </cfRule>
  </conditionalFormatting>
  <conditionalFormatting sqref="AG5:AG25 AG27:AG51">
    <cfRule type="cellIs" dxfId="632" priority="247" operator="lessThan">
      <formula>40</formula>
    </cfRule>
    <cfRule type="cellIs" dxfId="631" priority="248" operator="greaterThan">
      <formula>80</formula>
    </cfRule>
  </conditionalFormatting>
  <conditionalFormatting sqref="O26:T26 Y26 V26:W26">
    <cfRule type="cellIs" dxfId="630" priority="245" operator="lessThan">
      <formula>40</formula>
    </cfRule>
    <cfRule type="cellIs" dxfId="629" priority="246" operator="greaterThan">
      <formula>80</formula>
    </cfRule>
  </conditionalFormatting>
  <conditionalFormatting sqref="U26">
    <cfRule type="cellIs" dxfId="628" priority="243" operator="lessThan">
      <formula>40</formula>
    </cfRule>
    <cfRule type="cellIs" dxfId="627" priority="244" operator="greaterThan">
      <formula>80</formula>
    </cfRule>
  </conditionalFormatting>
  <conditionalFormatting sqref="AA53:AF53 AH53:AI53 AK53">
    <cfRule type="cellIs" dxfId="626" priority="241" operator="lessThan">
      <formula>40</formula>
    </cfRule>
    <cfRule type="cellIs" dxfId="625" priority="242" operator="greaterThan">
      <formula>80</formula>
    </cfRule>
  </conditionalFormatting>
  <conditionalFormatting sqref="Z53">
    <cfRule type="cellIs" dxfId="624" priority="239" operator="lessThan">
      <formula>40</formula>
    </cfRule>
    <cfRule type="cellIs" dxfId="623" priority="240" operator="greaterThan">
      <formula>80</formula>
    </cfRule>
  </conditionalFormatting>
  <conditionalFormatting sqref="AG53">
    <cfRule type="cellIs" dxfId="622" priority="237" operator="lessThan">
      <formula>40</formula>
    </cfRule>
    <cfRule type="cellIs" dxfId="621" priority="238" operator="greaterThan">
      <formula>80</formula>
    </cfRule>
  </conditionalFormatting>
  <conditionalFormatting sqref="C52:H52 J52:K52 M52">
    <cfRule type="cellIs" dxfId="620" priority="235" operator="lessThan">
      <formula>40</formula>
    </cfRule>
    <cfRule type="cellIs" dxfId="619" priority="236" operator="greaterThan">
      <formula>80</formula>
    </cfRule>
  </conditionalFormatting>
  <conditionalFormatting sqref="B52">
    <cfRule type="cellIs" dxfId="618" priority="233" operator="lessThan">
      <formula>40</formula>
    </cfRule>
    <cfRule type="cellIs" dxfId="617" priority="234" operator="greaterThan">
      <formula>80</formula>
    </cfRule>
  </conditionalFormatting>
  <conditionalFormatting sqref="I52">
    <cfRule type="cellIs" dxfId="616" priority="231" operator="lessThan">
      <formula>40</formula>
    </cfRule>
    <cfRule type="cellIs" dxfId="615" priority="232" operator="greaterThan">
      <formula>80</formula>
    </cfRule>
  </conditionalFormatting>
  <conditionalFormatting sqref="V54 AP54:AQ54 J54:K54 C54:H54 Y54 O54:P54 AU54:EL54 AL54:AN54">
    <cfRule type="cellIs" dxfId="614" priority="229" operator="lessThan">
      <formula>40</formula>
    </cfRule>
    <cfRule type="cellIs" dxfId="613" priority="230" operator="greaterThan">
      <formula>80</formula>
    </cfRule>
  </conditionalFormatting>
  <conditionalFormatting sqref="AL54">
    <cfRule type="cellIs" dxfId="612" priority="227" operator="lessThan">
      <formula>40</formula>
    </cfRule>
    <cfRule type="cellIs" dxfId="611" priority="228" operator="greaterThan">
      <formula>80</formula>
    </cfRule>
  </conditionalFormatting>
  <conditionalFormatting sqref="B54">
    <cfRule type="cellIs" dxfId="610" priority="225" operator="lessThan">
      <formula>40</formula>
    </cfRule>
    <cfRule type="cellIs" dxfId="609" priority="226" operator="greaterThan">
      <formula>80</formula>
    </cfRule>
  </conditionalFormatting>
  <conditionalFormatting sqref="I54">
    <cfRule type="cellIs" dxfId="608" priority="223" operator="lessThan">
      <formula>40</formula>
    </cfRule>
    <cfRule type="cellIs" dxfId="607" priority="224" operator="greaterThan">
      <formula>80</formula>
    </cfRule>
  </conditionalFormatting>
  <conditionalFormatting sqref="AA54:AB54 AH54:AI54 AK54">
    <cfRule type="cellIs" dxfId="606" priority="219" operator="lessThan">
      <formula>40</formula>
    </cfRule>
    <cfRule type="cellIs" dxfId="605" priority="220" operator="greaterThan">
      <formula>80</formula>
    </cfRule>
  </conditionalFormatting>
  <conditionalFormatting sqref="Z54">
    <cfRule type="cellIs" dxfId="604" priority="217" operator="lessThan">
      <formula>40</formula>
    </cfRule>
    <cfRule type="cellIs" dxfId="603" priority="218" operator="greaterThan">
      <formula>80</formula>
    </cfRule>
  </conditionalFormatting>
  <conditionalFormatting sqref="M54">
    <cfRule type="cellIs" dxfId="602" priority="213" operator="lessThan">
      <formula>40</formula>
    </cfRule>
    <cfRule type="cellIs" dxfId="601" priority="214" operator="greaterThan">
      <formula>80</formula>
    </cfRule>
  </conditionalFormatting>
  <conditionalFormatting sqref="U54">
    <cfRule type="cellIs" dxfId="600" priority="209" operator="lessThan">
      <formula>40</formula>
    </cfRule>
    <cfRule type="cellIs" dxfId="599" priority="210" operator="greaterThan">
      <formula>80</formula>
    </cfRule>
  </conditionalFormatting>
  <conditionalFormatting sqref="AC54:AF54">
    <cfRule type="cellIs" dxfId="598" priority="207" operator="lessThan">
      <formula>40</formula>
    </cfRule>
    <cfRule type="cellIs" dxfId="597" priority="208" operator="greaterThan">
      <formula>80</formula>
    </cfRule>
  </conditionalFormatting>
  <conditionalFormatting sqref="FI55 FO55 FU55 GA55 GM55 GS55 GY55 GG55">
    <cfRule type="cellIs" dxfId="596" priority="200" operator="lessThan">
      <formula>40</formula>
    </cfRule>
    <cfRule type="cellIs" dxfId="595" priority="202" operator="greaterThan">
      <formula>80</formula>
    </cfRule>
  </conditionalFormatting>
  <conditionalFormatting sqref="EN55:EO55">
    <cfRule type="cellIs" dxfId="594" priority="201" operator="greaterThan">
      <formula>80</formula>
    </cfRule>
  </conditionalFormatting>
  <conditionalFormatting sqref="ET55:EV55">
    <cfRule type="cellIs" dxfId="593" priority="199" operator="greaterThan">
      <formula>80</formula>
    </cfRule>
  </conditionalFormatting>
  <conditionalFormatting sqref="FA55:FB55">
    <cfRule type="cellIs" dxfId="592" priority="198" operator="greaterThan">
      <formula>80</formula>
    </cfRule>
  </conditionalFormatting>
  <conditionalFormatting sqref="V55 AP55:AQ55 J55:K55 C55:H55 Y55 O55:P55 AU55:EL55 AL55:AN55">
    <cfRule type="cellIs" dxfId="591" priority="196" operator="lessThan">
      <formula>40</formula>
    </cfRule>
    <cfRule type="cellIs" dxfId="590" priority="197" operator="greaterThan">
      <formula>80</formula>
    </cfRule>
  </conditionalFormatting>
  <conditionalFormatting sqref="AL55">
    <cfRule type="cellIs" dxfId="589" priority="194" operator="lessThan">
      <formula>40</formula>
    </cfRule>
    <cfRule type="cellIs" dxfId="588" priority="195" operator="greaterThan">
      <formula>80</formula>
    </cfRule>
  </conditionalFormatting>
  <conditionalFormatting sqref="B55">
    <cfRule type="cellIs" dxfId="587" priority="192" operator="lessThan">
      <formula>40</formula>
    </cfRule>
    <cfRule type="cellIs" dxfId="586" priority="193" operator="greaterThan">
      <formula>80</formula>
    </cfRule>
  </conditionalFormatting>
  <conditionalFormatting sqref="I55:I57">
    <cfRule type="cellIs" dxfId="585" priority="190" operator="lessThan">
      <formula>40</formula>
    </cfRule>
    <cfRule type="cellIs" dxfId="584" priority="191" operator="greaterThan">
      <formula>80</formula>
    </cfRule>
  </conditionalFormatting>
  <conditionalFormatting sqref="AA55:AB55 AH55:AI55 AK55">
    <cfRule type="cellIs" dxfId="583" priority="188" operator="lessThan">
      <formula>40</formula>
    </cfRule>
    <cfRule type="cellIs" dxfId="582" priority="189" operator="greaterThan">
      <formula>80</formula>
    </cfRule>
  </conditionalFormatting>
  <conditionalFormatting sqref="Z55">
    <cfRule type="cellIs" dxfId="581" priority="186" operator="lessThan">
      <formula>40</formula>
    </cfRule>
    <cfRule type="cellIs" dxfId="580" priority="187" operator="greaterThan">
      <formula>80</formula>
    </cfRule>
  </conditionalFormatting>
  <conditionalFormatting sqref="M55">
    <cfRule type="cellIs" dxfId="579" priority="184" operator="lessThan">
      <formula>40</formula>
    </cfRule>
    <cfRule type="cellIs" dxfId="578" priority="185" operator="greaterThan">
      <formula>80</formula>
    </cfRule>
  </conditionalFormatting>
  <conditionalFormatting sqref="U55:U57">
    <cfRule type="cellIs" dxfId="577" priority="180" operator="lessThan">
      <formula>40</formula>
    </cfRule>
    <cfRule type="cellIs" dxfId="576" priority="181" operator="greaterThan">
      <formula>80</formula>
    </cfRule>
  </conditionalFormatting>
  <conditionalFormatting sqref="AC55:AF55">
    <cfRule type="cellIs" dxfId="575" priority="178" operator="lessThan">
      <formula>40</formula>
    </cfRule>
    <cfRule type="cellIs" dxfId="574" priority="179" operator="greaterThan">
      <formula>80</formula>
    </cfRule>
  </conditionalFormatting>
  <conditionalFormatting sqref="FI56 FO56 FU56 GA56 GM56 GS56 GY56 GG56">
    <cfRule type="cellIs" dxfId="573" priority="173" operator="lessThan">
      <formula>40</formula>
    </cfRule>
    <cfRule type="cellIs" dxfId="572" priority="175" operator="greaterThan">
      <formula>80</formula>
    </cfRule>
  </conditionalFormatting>
  <conditionalFormatting sqref="EN56:EO56">
    <cfRule type="cellIs" dxfId="571" priority="174" operator="greaterThan">
      <formula>80</formula>
    </cfRule>
  </conditionalFormatting>
  <conditionalFormatting sqref="ET56:EV56">
    <cfRule type="cellIs" dxfId="570" priority="172" operator="greaterThan">
      <formula>80</formula>
    </cfRule>
  </conditionalFormatting>
  <conditionalFormatting sqref="FA56:FB56">
    <cfRule type="cellIs" dxfId="569" priority="171" operator="greaterThan">
      <formula>80</formula>
    </cfRule>
  </conditionalFormatting>
  <conditionalFormatting sqref="V56 AP56:AQ56 J56:K56 C56:H56 Y56 O56:P56 AU56:EL56 AL56:AN56">
    <cfRule type="cellIs" dxfId="568" priority="169" operator="lessThan">
      <formula>40</formula>
    </cfRule>
    <cfRule type="cellIs" dxfId="567" priority="170" operator="greaterThan">
      <formula>80</formula>
    </cfRule>
  </conditionalFormatting>
  <conditionalFormatting sqref="AL56">
    <cfRule type="cellIs" dxfId="566" priority="167" operator="lessThan">
      <formula>40</formula>
    </cfRule>
    <cfRule type="cellIs" dxfId="565" priority="168" operator="greaterThan">
      <formula>80</formula>
    </cfRule>
  </conditionalFormatting>
  <conditionalFormatting sqref="B56">
    <cfRule type="cellIs" dxfId="564" priority="165" operator="lessThan">
      <formula>40</formula>
    </cfRule>
    <cfRule type="cellIs" dxfId="563" priority="166" operator="greaterThan">
      <formula>80</formula>
    </cfRule>
  </conditionalFormatting>
  <conditionalFormatting sqref="AA56:AB56 AH56:AI56 AK56">
    <cfRule type="cellIs" dxfId="562" priority="161" operator="lessThan">
      <formula>40</formula>
    </cfRule>
    <cfRule type="cellIs" dxfId="561" priority="162" operator="greaterThan">
      <formula>80</formula>
    </cfRule>
  </conditionalFormatting>
  <conditionalFormatting sqref="Z56">
    <cfRule type="cellIs" dxfId="560" priority="159" operator="lessThan">
      <formula>40</formula>
    </cfRule>
    <cfRule type="cellIs" dxfId="559" priority="160" operator="greaterThan">
      <formula>80</formula>
    </cfRule>
  </conditionalFormatting>
  <conditionalFormatting sqref="M56">
    <cfRule type="cellIs" dxfId="558" priority="157" operator="lessThan">
      <formula>40</formula>
    </cfRule>
    <cfRule type="cellIs" dxfId="557" priority="158" operator="greaterThan">
      <formula>80</formula>
    </cfRule>
  </conditionalFormatting>
  <conditionalFormatting sqref="AC56:AF56">
    <cfRule type="cellIs" dxfId="556" priority="151" operator="lessThan">
      <formula>40</formula>
    </cfRule>
    <cfRule type="cellIs" dxfId="555" priority="152" operator="greaterThan">
      <formula>80</formula>
    </cfRule>
  </conditionalFormatting>
  <conditionalFormatting sqref="FI57 FO57 FU57 GA57 GM57 GS57 GY57 GG57">
    <cfRule type="cellIs" dxfId="554" priority="140" operator="lessThan">
      <formula>40</formula>
    </cfRule>
    <cfRule type="cellIs" dxfId="553" priority="142" operator="greaterThan">
      <formula>80</formula>
    </cfRule>
  </conditionalFormatting>
  <conditionalFormatting sqref="EN57:EO57">
    <cfRule type="cellIs" dxfId="552" priority="141" operator="greaterThan">
      <formula>80</formula>
    </cfRule>
  </conditionalFormatting>
  <conditionalFormatting sqref="ET57:EV57">
    <cfRule type="cellIs" dxfId="551" priority="139" operator="greaterThan">
      <formula>80</formula>
    </cfRule>
  </conditionalFormatting>
  <conditionalFormatting sqref="FA57:FB57">
    <cfRule type="cellIs" dxfId="550" priority="138" operator="greaterThan">
      <formula>80</formula>
    </cfRule>
  </conditionalFormatting>
  <conditionalFormatting sqref="V57 AP57:AQ57 J57:K57 C57:H57 Y57 O57:P57 AU57:EL57 AL57:AN57">
    <cfRule type="cellIs" dxfId="549" priority="136" operator="lessThan">
      <formula>40</formula>
    </cfRule>
    <cfRule type="cellIs" dxfId="548" priority="137" operator="greaterThan">
      <formula>80</formula>
    </cfRule>
  </conditionalFormatting>
  <conditionalFormatting sqref="AL57">
    <cfRule type="cellIs" dxfId="547" priority="134" operator="lessThan">
      <formula>40</formula>
    </cfRule>
    <cfRule type="cellIs" dxfId="546" priority="135" operator="greaterThan">
      <formula>80</formula>
    </cfRule>
  </conditionalFormatting>
  <conditionalFormatting sqref="B57">
    <cfRule type="cellIs" dxfId="545" priority="132" operator="lessThan">
      <formula>40</formula>
    </cfRule>
    <cfRule type="cellIs" dxfId="544" priority="133" operator="greaterThan">
      <formula>80</formula>
    </cfRule>
  </conditionalFormatting>
  <conditionalFormatting sqref="AA57:AB57 AH57:AI57 AK57">
    <cfRule type="cellIs" dxfId="543" priority="130" operator="lessThan">
      <formula>40</formula>
    </cfRule>
    <cfRule type="cellIs" dxfId="542" priority="131" operator="greaterThan">
      <formula>80</formula>
    </cfRule>
  </conditionalFormatting>
  <conditionalFormatting sqref="Z57">
    <cfRule type="cellIs" dxfId="541" priority="128" operator="lessThan">
      <formula>40</formula>
    </cfRule>
    <cfRule type="cellIs" dxfId="540" priority="129" operator="greaterThan">
      <formula>80</formula>
    </cfRule>
  </conditionalFormatting>
  <conditionalFormatting sqref="M57">
    <cfRule type="cellIs" dxfId="539" priority="126" operator="lessThan">
      <formula>40</formula>
    </cfRule>
    <cfRule type="cellIs" dxfId="538" priority="127" operator="greaterThan">
      <formula>80</formula>
    </cfRule>
  </conditionalFormatting>
  <conditionalFormatting sqref="AC57:AF57">
    <cfRule type="cellIs" dxfId="537" priority="122" operator="lessThan">
      <formula>40</formula>
    </cfRule>
    <cfRule type="cellIs" dxfId="536" priority="123" operator="greaterThan">
      <formula>80</formula>
    </cfRule>
  </conditionalFormatting>
  <conditionalFormatting sqref="AG54">
    <cfRule type="cellIs" dxfId="535" priority="120" operator="lessThan">
      <formula>40</formula>
    </cfRule>
    <cfRule type="cellIs" dxfId="534" priority="121" operator="greaterThan">
      <formula>80</formula>
    </cfRule>
  </conditionalFormatting>
  <conditionalFormatting sqref="AG55:AG57">
    <cfRule type="cellIs" dxfId="533" priority="118" operator="lessThan">
      <formula>40</formula>
    </cfRule>
    <cfRule type="cellIs" dxfId="532" priority="119" operator="greaterThan">
      <formula>80</formula>
    </cfRule>
  </conditionalFormatting>
  <conditionalFormatting sqref="I58:I66">
    <cfRule type="cellIs" dxfId="531" priority="116" operator="lessThan">
      <formula>40</formula>
    </cfRule>
    <cfRule type="cellIs" dxfId="530" priority="117" operator="greaterThan">
      <formula>80</formula>
    </cfRule>
  </conditionalFormatting>
  <conditionalFormatting sqref="U58:U66">
    <cfRule type="cellIs" dxfId="529" priority="114" operator="lessThan">
      <formula>40</formula>
    </cfRule>
    <cfRule type="cellIs" dxfId="528" priority="115" operator="greaterThan">
      <formula>80</formula>
    </cfRule>
  </conditionalFormatting>
  <conditionalFormatting sqref="FI58:FI62 FO58:FO62 FU58:FU62 GA58:GA62 GM58:GM62 GS58:GS62 GY58:GY62 GG58:GG62">
    <cfRule type="cellIs" dxfId="527" priority="111" operator="lessThan">
      <formula>40</formula>
    </cfRule>
    <cfRule type="cellIs" dxfId="526" priority="113" operator="greaterThan">
      <formula>80</formula>
    </cfRule>
  </conditionalFormatting>
  <conditionalFormatting sqref="EN58:EO58">
    <cfRule type="cellIs" dxfId="525" priority="112" operator="greaterThan">
      <formula>80</formula>
    </cfRule>
  </conditionalFormatting>
  <conditionalFormatting sqref="ET58:EV58">
    <cfRule type="cellIs" dxfId="524" priority="110" operator="greaterThan">
      <formula>80</formula>
    </cfRule>
  </conditionalFormatting>
  <conditionalFormatting sqref="FA58:FB58">
    <cfRule type="cellIs" dxfId="523" priority="109" operator="greaterThan">
      <formula>80</formula>
    </cfRule>
  </conditionalFormatting>
  <conditionalFormatting sqref="J58:K62 AU58:EL62 Y58:Y66 C58:H66 J63:J66 O58:P66 V58:V66 AL58:AM66 AP58:AQ66">
    <cfRule type="cellIs" dxfId="522" priority="107" operator="lessThan">
      <formula>40</formula>
    </cfRule>
    <cfRule type="cellIs" dxfId="521" priority="108" operator="greaterThan">
      <formula>80</formula>
    </cfRule>
  </conditionalFormatting>
  <conditionalFormatting sqref="AL58:AL66">
    <cfRule type="cellIs" dxfId="520" priority="105" operator="lessThan">
      <formula>40</formula>
    </cfRule>
    <cfRule type="cellIs" dxfId="519" priority="106" operator="greaterThan">
      <formula>80</formula>
    </cfRule>
  </conditionalFormatting>
  <conditionalFormatting sqref="B58:B66">
    <cfRule type="cellIs" dxfId="518" priority="103" operator="lessThan">
      <formula>40</formula>
    </cfRule>
    <cfRule type="cellIs" dxfId="517" priority="104" operator="greaterThan">
      <formula>80</formula>
    </cfRule>
  </conditionalFormatting>
  <conditionalFormatting sqref="AH58:AI62 AA58:AB66 AH63:AH66 AK58:AK66">
    <cfRule type="cellIs" dxfId="516" priority="101" operator="lessThan">
      <formula>40</formula>
    </cfRule>
    <cfRule type="cellIs" dxfId="515" priority="102" operator="greaterThan">
      <formula>80</formula>
    </cfRule>
  </conditionalFormatting>
  <conditionalFormatting sqref="Z58:Z66">
    <cfRule type="cellIs" dxfId="514" priority="99" operator="lessThan">
      <formula>40</formula>
    </cfRule>
    <cfRule type="cellIs" dxfId="513" priority="100" operator="greaterThan">
      <formula>80</formula>
    </cfRule>
  </conditionalFormatting>
  <conditionalFormatting sqref="M58:M66">
    <cfRule type="cellIs" dxfId="512" priority="97" operator="lessThan">
      <formula>40</formula>
    </cfRule>
    <cfRule type="cellIs" dxfId="511" priority="98" operator="greaterThan">
      <formula>80</formula>
    </cfRule>
  </conditionalFormatting>
  <conditionalFormatting sqref="AC58:AF58">
    <cfRule type="cellIs" dxfId="510" priority="93" operator="lessThan">
      <formula>40</formula>
    </cfRule>
    <cfRule type="cellIs" dxfId="509" priority="94" operator="greaterThan">
      <formula>80</formula>
    </cfRule>
  </conditionalFormatting>
  <conditionalFormatting sqref="AG58:AG66">
    <cfRule type="cellIs" dxfId="508" priority="91" operator="lessThan">
      <formula>40</formula>
    </cfRule>
    <cfRule type="cellIs" dxfId="507" priority="92" operator="greaterThan">
      <formula>80</formula>
    </cfRule>
  </conditionalFormatting>
  <conditionalFormatting sqref="AO26:AQ60 AO63:AQ6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59:EO59">
    <cfRule type="cellIs" dxfId="506" priority="89" operator="greaterThan">
      <formula>80</formula>
    </cfRule>
  </conditionalFormatting>
  <conditionalFormatting sqref="ET59:EV59">
    <cfRule type="cellIs" dxfId="505" priority="88" operator="greaterThan">
      <formula>80</formula>
    </cfRule>
  </conditionalFormatting>
  <conditionalFormatting sqref="FA59:FB59">
    <cfRule type="cellIs" dxfId="504" priority="87" operator="greaterThan">
      <formula>80</formula>
    </cfRule>
  </conditionalFormatting>
  <conditionalFormatting sqref="AC59:AF59">
    <cfRule type="cellIs" dxfId="503" priority="83" operator="lessThan">
      <formula>40</formula>
    </cfRule>
    <cfRule type="cellIs" dxfId="502" priority="84" operator="greaterThan">
      <formula>80</formula>
    </cfRule>
  </conditionalFormatting>
  <conditionalFormatting sqref="EN60:EO60">
    <cfRule type="cellIs" dxfId="501" priority="82" operator="greaterThan">
      <formula>80</formula>
    </cfRule>
  </conditionalFormatting>
  <conditionalFormatting sqref="ET60:EV60">
    <cfRule type="cellIs" dxfId="500" priority="81" operator="greaterThan">
      <formula>80</formula>
    </cfRule>
  </conditionalFormatting>
  <conditionalFormatting sqref="FA60:FB60">
    <cfRule type="cellIs" dxfId="499" priority="80" operator="greaterThan">
      <formula>80</formula>
    </cfRule>
  </conditionalFormatting>
  <conditionalFormatting sqref="AC60:AF60">
    <cfRule type="cellIs" dxfId="498" priority="76" operator="lessThan">
      <formula>40</formula>
    </cfRule>
    <cfRule type="cellIs" dxfId="497" priority="77" operator="greaterThan">
      <formula>80</formula>
    </cfRule>
  </conditionalFormatting>
  <conditionalFormatting sqref="AO61:AQ6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61:EO61">
    <cfRule type="cellIs" dxfId="496" priority="74" operator="greaterThan">
      <formula>80</formula>
    </cfRule>
  </conditionalFormatting>
  <conditionalFormatting sqref="ET61:EV61">
    <cfRule type="cellIs" dxfId="495" priority="73" operator="greaterThan">
      <formula>80</formula>
    </cfRule>
  </conditionalFormatting>
  <conditionalFormatting sqref="FA61:FB61">
    <cfRule type="cellIs" dxfId="494" priority="72" operator="greaterThan">
      <formula>80</formula>
    </cfRule>
  </conditionalFormatting>
  <conditionalFormatting sqref="AC61:AF61">
    <cfRule type="cellIs" dxfId="493" priority="68" operator="lessThan">
      <formula>40</formula>
    </cfRule>
    <cfRule type="cellIs" dxfId="492" priority="69" operator="greaterThan">
      <formula>80</formula>
    </cfRule>
  </conditionalFormatting>
  <conditionalFormatting sqref="AR52:AR6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2:AS6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2:AT6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2:AQ6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62:EO62">
    <cfRule type="cellIs" dxfId="491" priority="63" operator="greaterThan">
      <formula>80</formula>
    </cfRule>
  </conditionalFormatting>
  <conditionalFormatting sqref="ET62:EV62">
    <cfRule type="cellIs" dxfId="490" priority="62" operator="greaterThan">
      <formula>80</formula>
    </cfRule>
  </conditionalFormatting>
  <conditionalFormatting sqref="FA62:FB62">
    <cfRule type="cellIs" dxfId="489" priority="61" operator="greaterThan">
      <formula>80</formula>
    </cfRule>
  </conditionalFormatting>
  <conditionalFormatting sqref="AC62:AF62">
    <cfRule type="cellIs" dxfId="488" priority="57" operator="lessThan">
      <formula>40</formula>
    </cfRule>
    <cfRule type="cellIs" dxfId="487" priority="58" operator="greaterThan">
      <formula>80</formula>
    </cfRule>
  </conditionalFormatting>
  <conditionalFormatting sqref="BA4 AU4">
    <cfRule type="cellIs" dxfId="486" priority="54" operator="lessThan">
      <formula>40</formula>
    </cfRule>
    <cfRule type="cellIs" dxfId="485" priority="56" operator="greaterThan">
      <formula>80</formula>
    </cfRule>
  </conditionalFormatting>
  <conditionalFormatting sqref="B4:AT4">
    <cfRule type="cellIs" dxfId="484" priority="38" operator="lessThan">
      <formula>40</formula>
    </cfRule>
    <cfRule type="cellIs" dxfId="483" priority="39" operator="greaterThan">
      <formula>80</formula>
    </cfRule>
  </conditionalFormatting>
  <conditionalFormatting sqref="AN58:AN66">
    <cfRule type="cellIs" dxfId="482" priority="34" operator="lessThan">
      <formula>40</formula>
    </cfRule>
    <cfRule type="cellIs" dxfId="481" priority="35" operator="greaterThan">
      <formula>80</formula>
    </cfRule>
  </conditionalFormatting>
  <conditionalFormatting sqref="N39">
    <cfRule type="cellIs" dxfId="480" priority="32" operator="lessThan">
      <formula>40</formula>
    </cfRule>
    <cfRule type="cellIs" dxfId="479" priority="33" operator="greaterThan">
      <formula>80</formula>
    </cfRule>
  </conditionalFormatting>
  <conditionalFormatting sqref="N40:N46 N48:N51 N53">
    <cfRule type="cellIs" dxfId="478" priority="30" operator="lessThan">
      <formula>40</formula>
    </cfRule>
    <cfRule type="cellIs" dxfId="477" priority="31" operator="greaterThan">
      <formula>80</formula>
    </cfRule>
  </conditionalFormatting>
  <conditionalFormatting sqref="N47">
    <cfRule type="cellIs" dxfId="476" priority="28" operator="lessThan">
      <formula>40</formula>
    </cfRule>
    <cfRule type="cellIs" dxfId="475" priority="29" operator="greaterThan">
      <formula>80</formula>
    </cfRule>
  </conditionalFormatting>
  <conditionalFormatting sqref="N52">
    <cfRule type="cellIs" dxfId="474" priority="26" operator="lessThan">
      <formula>40</formula>
    </cfRule>
    <cfRule type="cellIs" dxfId="473" priority="27" operator="greaterThan">
      <formula>80</formula>
    </cfRule>
  </conditionalFormatting>
  <conditionalFormatting sqref="N54">
    <cfRule type="cellIs" dxfId="472" priority="24" operator="lessThan">
      <formula>40</formula>
    </cfRule>
    <cfRule type="cellIs" dxfId="471" priority="25" operator="greaterThan">
      <formula>80</formula>
    </cfRule>
  </conditionalFormatting>
  <conditionalFormatting sqref="N55">
    <cfRule type="cellIs" dxfId="470" priority="22" operator="lessThan">
      <formula>40</formula>
    </cfRule>
    <cfRule type="cellIs" dxfId="469" priority="23" operator="greaterThan">
      <formula>80</formula>
    </cfRule>
  </conditionalFormatting>
  <conditionalFormatting sqref="N56">
    <cfRule type="cellIs" dxfId="468" priority="20" operator="lessThan">
      <formula>40</formula>
    </cfRule>
    <cfRule type="cellIs" dxfId="467" priority="21" operator="greaterThan">
      <formula>80</formula>
    </cfRule>
  </conditionalFormatting>
  <conditionalFormatting sqref="N57">
    <cfRule type="cellIs" dxfId="466" priority="18" operator="lessThan">
      <formula>40</formula>
    </cfRule>
    <cfRule type="cellIs" dxfId="465" priority="19" operator="greaterThan">
      <formula>80</formula>
    </cfRule>
  </conditionalFormatting>
  <conditionalFormatting sqref="N58:N66">
    <cfRule type="cellIs" dxfId="464" priority="16" operator="lessThan">
      <formula>40</formula>
    </cfRule>
    <cfRule type="cellIs" dxfId="463" priority="17" operator="greaterThan">
      <formula>80</formula>
    </cfRule>
  </conditionalFormatting>
  <conditionalFormatting sqref="Q54:T66">
    <cfRule type="cellIs" dxfId="462" priority="14" operator="lessThan">
      <formula>40</formula>
    </cfRule>
    <cfRule type="cellIs" dxfId="461" priority="15" operator="greaterThan">
      <formula>80</formula>
    </cfRule>
  </conditionalFormatting>
  <conditionalFormatting sqref="AC63:AF63">
    <cfRule type="cellIs" dxfId="460" priority="12" operator="lessThan">
      <formula>40</formula>
    </cfRule>
    <cfRule type="cellIs" dxfId="459" priority="13" operator="greaterThan">
      <formula>80</formula>
    </cfRule>
  </conditionalFormatting>
  <conditionalFormatting sqref="AO64:AQ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4:AF64">
    <cfRule type="cellIs" dxfId="458" priority="9" operator="lessThan">
      <formula>40</formula>
    </cfRule>
    <cfRule type="cellIs" dxfId="457" priority="10" operator="greaterThan">
      <formula>80</formula>
    </cfRule>
  </conditionalFormatting>
  <conditionalFormatting sqref="AO52:AO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2:AP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2:AQ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5:AQ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5:AF65">
    <cfRule type="cellIs" dxfId="456" priority="3" operator="lessThan">
      <formula>40</formula>
    </cfRule>
    <cfRule type="cellIs" dxfId="455" priority="4" operator="greaterThan">
      <formula>80</formula>
    </cfRule>
  </conditionalFormatting>
  <conditionalFormatting sqref="AC66:AF66">
    <cfRule type="cellIs" dxfId="454" priority="1" operator="lessThan">
      <formula>40</formula>
    </cfRule>
    <cfRule type="cellIs" dxfId="453" priority="2" operator="greaterThan">
      <formula>80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0682-9491-4EBE-A8DD-4F49672CD006}">
  <sheetPr>
    <tabColor rgb="FF00B050"/>
  </sheetPr>
  <dimension ref="A1:FF66"/>
  <sheetViews>
    <sheetView zoomScaleNormal="100" workbookViewId="0">
      <pane ySplit="4" topLeftCell="A62" activePane="bottomLeft" state="frozen"/>
      <selection activeCell="A66" sqref="A66"/>
      <selection pane="bottomLeft" activeCell="A66" sqref="A66"/>
    </sheetView>
  </sheetViews>
  <sheetFormatPr defaultColWidth="4.7109375" defaultRowHeight="15" outlineLevelCol="1" x14ac:dyDescent="0.25"/>
  <cols>
    <col min="1" max="1" width="11.5703125" bestFit="1" customWidth="1"/>
    <col min="2" max="2" width="9.140625" style="104" customWidth="1"/>
    <col min="3" max="4" width="9.140625" customWidth="1"/>
    <col min="5" max="5" width="9.140625" style="4" customWidth="1"/>
    <col min="6" max="6" width="9.140625" style="104" customWidth="1"/>
    <col min="7" max="8" width="9.140625" customWidth="1"/>
    <col min="9" max="9" width="9.140625" style="4" customWidth="1"/>
    <col min="10" max="10" width="9.140625" style="104" customWidth="1"/>
    <col min="11" max="12" width="9.140625" customWidth="1"/>
    <col min="13" max="13" width="9.140625" style="4" customWidth="1"/>
    <col min="14" max="16" width="9.140625" customWidth="1"/>
    <col min="17" max="17" width="9.140625" style="104" customWidth="1"/>
    <col min="18" max="18" width="9.140625" customWidth="1"/>
    <col min="19" max="19" width="9.140625" style="4" customWidth="1"/>
    <col min="20" max="22" width="9.140625" customWidth="1"/>
    <col min="23" max="23" width="9.140625" style="104" customWidth="1"/>
    <col min="24" max="24" width="9.140625" customWidth="1"/>
    <col min="25" max="25" width="9.140625" style="4" customWidth="1"/>
    <col min="26" max="29" width="9.140625" customWidth="1"/>
    <col min="30" max="33" width="10.5703125" customWidth="1"/>
    <col min="36" max="39" width="9.140625" customWidth="1" outlineLevel="1"/>
    <col min="42" max="45" width="9.140625" customWidth="1" outlineLevel="1"/>
    <col min="48" max="51" width="9.140625" customWidth="1" outlineLevel="1"/>
    <col min="54" max="57" width="9.140625" customWidth="1" outlineLevel="1"/>
    <col min="60" max="63" width="9.140625" customWidth="1" outlineLevel="1"/>
    <col min="64" max="64" width="9.140625" customWidth="1"/>
    <col min="65" max="65" width="7.140625" bestFit="1" customWidth="1"/>
  </cols>
  <sheetData>
    <row r="1" spans="1:162" ht="15.75" thickBot="1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FF1" s="9"/>
    </row>
    <row r="2" spans="1:162" ht="96.6" customHeight="1" x14ac:dyDescent="0.25">
      <c r="B2" s="95" t="s">
        <v>104</v>
      </c>
      <c r="C2" s="45" t="s">
        <v>105</v>
      </c>
      <c r="D2" s="44" t="s">
        <v>106</v>
      </c>
      <c r="E2" s="108" t="s">
        <v>107</v>
      </c>
      <c r="F2" s="95" t="s">
        <v>104</v>
      </c>
      <c r="G2" s="45" t="s">
        <v>105</v>
      </c>
      <c r="H2" s="44" t="s">
        <v>106</v>
      </c>
      <c r="I2" s="108" t="s">
        <v>107</v>
      </c>
      <c r="J2" s="95" t="s">
        <v>104</v>
      </c>
      <c r="K2" s="45" t="s">
        <v>105</v>
      </c>
      <c r="L2" s="44" t="s">
        <v>106</v>
      </c>
      <c r="M2" s="108" t="s">
        <v>107</v>
      </c>
      <c r="N2" s="648" t="s">
        <v>108</v>
      </c>
      <c r="O2" s="646"/>
      <c r="P2" s="650"/>
      <c r="Q2" s="648" t="s">
        <v>109</v>
      </c>
      <c r="R2" s="646"/>
      <c r="S2" s="649"/>
      <c r="T2" s="645" t="s">
        <v>110</v>
      </c>
      <c r="U2" s="646"/>
      <c r="V2" s="646"/>
      <c r="W2" s="648" t="s">
        <v>111</v>
      </c>
      <c r="X2" s="646"/>
      <c r="Y2" s="649"/>
      <c r="Z2" s="114"/>
      <c r="AA2" s="640" t="s">
        <v>112</v>
      </c>
      <c r="AB2" s="641"/>
      <c r="AC2" s="641"/>
      <c r="AD2" s="641"/>
      <c r="AE2" s="641"/>
      <c r="AF2" s="641"/>
      <c r="AG2" s="27"/>
      <c r="AJ2" s="44" t="s">
        <v>113</v>
      </c>
      <c r="AK2" s="44" t="s">
        <v>113</v>
      </c>
      <c r="AL2" s="44" t="s">
        <v>113</v>
      </c>
      <c r="AM2" s="44" t="s">
        <v>113</v>
      </c>
      <c r="AP2" s="45" t="s">
        <v>105</v>
      </c>
      <c r="AQ2" s="45" t="s">
        <v>105</v>
      </c>
      <c r="AR2" s="45" t="s">
        <v>105</v>
      </c>
      <c r="AS2" s="45" t="s">
        <v>105</v>
      </c>
      <c r="AV2" s="44" t="s">
        <v>106</v>
      </c>
      <c r="AW2" s="44" t="s">
        <v>106</v>
      </c>
      <c r="AX2" s="44" t="s">
        <v>106</v>
      </c>
      <c r="AY2" s="44" t="s">
        <v>106</v>
      </c>
      <c r="BB2" s="44" t="s">
        <v>107</v>
      </c>
      <c r="BC2" s="44" t="s">
        <v>107</v>
      </c>
      <c r="BD2" s="44" t="s">
        <v>107</v>
      </c>
      <c r="BE2" s="44" t="s">
        <v>107</v>
      </c>
      <c r="BH2" s="44" t="s">
        <v>114</v>
      </c>
      <c r="BI2" s="44" t="s">
        <v>114</v>
      </c>
      <c r="BJ2" s="44" t="s">
        <v>114</v>
      </c>
      <c r="BK2" s="44" t="s">
        <v>114</v>
      </c>
      <c r="BL2" s="639" t="s">
        <v>115</v>
      </c>
      <c r="BM2" s="635"/>
      <c r="BN2" s="635"/>
      <c r="BO2" s="635"/>
      <c r="BP2" s="635"/>
      <c r="BQ2" s="635"/>
      <c r="BR2" s="639" t="s">
        <v>116</v>
      </c>
      <c r="BS2" s="635"/>
      <c r="BT2" s="635"/>
      <c r="BU2" s="635"/>
      <c r="BV2" s="635"/>
      <c r="BW2" s="635"/>
    </row>
    <row r="3" spans="1:162" ht="49.5" customHeight="1" thickBot="1" x14ac:dyDescent="0.3">
      <c r="A3" t="s">
        <v>22</v>
      </c>
      <c r="B3" s="97" t="s">
        <v>75</v>
      </c>
      <c r="C3" s="85" t="s">
        <v>75</v>
      </c>
      <c r="D3" s="83" t="s">
        <v>75</v>
      </c>
      <c r="E3" s="530" t="s">
        <v>75</v>
      </c>
      <c r="F3" s="97" t="s">
        <v>24</v>
      </c>
      <c r="G3" s="85" t="s">
        <v>24</v>
      </c>
      <c r="H3" s="85" t="s">
        <v>24</v>
      </c>
      <c r="I3" s="98" t="s">
        <v>24</v>
      </c>
      <c r="J3" s="97" t="s">
        <v>25</v>
      </c>
      <c r="K3" s="85" t="s">
        <v>25</v>
      </c>
      <c r="L3" s="85" t="s">
        <v>25</v>
      </c>
      <c r="M3" s="98" t="s">
        <v>25</v>
      </c>
      <c r="N3" s="85" t="s">
        <v>75</v>
      </c>
      <c r="O3" s="85" t="s">
        <v>24</v>
      </c>
      <c r="P3" s="85" t="s">
        <v>25</v>
      </c>
      <c r="Q3" s="97" t="s">
        <v>75</v>
      </c>
      <c r="R3" s="85" t="s">
        <v>24</v>
      </c>
      <c r="S3" s="98" t="s">
        <v>25</v>
      </c>
      <c r="T3" s="85" t="s">
        <v>75</v>
      </c>
      <c r="U3" s="85" t="s">
        <v>24</v>
      </c>
      <c r="V3" s="85" t="s">
        <v>25</v>
      </c>
      <c r="W3" s="97" t="s">
        <v>75</v>
      </c>
      <c r="X3" s="85" t="s">
        <v>24</v>
      </c>
      <c r="Y3" s="98" t="s">
        <v>25</v>
      </c>
      <c r="Z3" s="85"/>
      <c r="AA3" s="17" t="s">
        <v>75</v>
      </c>
      <c r="AB3" s="17" t="s">
        <v>24</v>
      </c>
      <c r="AC3" s="17" t="s">
        <v>78</v>
      </c>
      <c r="AD3" s="17" t="s">
        <v>79</v>
      </c>
      <c r="AE3" s="17" t="s">
        <v>80</v>
      </c>
      <c r="AF3" s="17" t="s">
        <v>81</v>
      </c>
      <c r="AG3" s="85" t="s">
        <v>82</v>
      </c>
      <c r="AJ3" s="85" t="s">
        <v>78</v>
      </c>
      <c r="AK3" s="85" t="s">
        <v>79</v>
      </c>
      <c r="AL3" s="85" t="s">
        <v>80</v>
      </c>
      <c r="AM3" s="84" t="s">
        <v>81</v>
      </c>
      <c r="AP3" s="85" t="s">
        <v>78</v>
      </c>
      <c r="AQ3" s="85" t="s">
        <v>79</v>
      </c>
      <c r="AR3" s="85" t="s">
        <v>80</v>
      </c>
      <c r="AS3" s="85" t="s">
        <v>81</v>
      </c>
      <c r="AV3" s="85" t="s">
        <v>78</v>
      </c>
      <c r="AW3" s="85" t="s">
        <v>79</v>
      </c>
      <c r="AX3" s="85" t="s">
        <v>80</v>
      </c>
      <c r="AY3" s="84" t="s">
        <v>81</v>
      </c>
      <c r="BB3" s="85" t="s">
        <v>78</v>
      </c>
      <c r="BC3" s="85" t="s">
        <v>79</v>
      </c>
      <c r="BD3" s="85" t="s">
        <v>80</v>
      </c>
      <c r="BE3" s="84" t="s">
        <v>81</v>
      </c>
      <c r="BH3" s="85" t="s">
        <v>78</v>
      </c>
      <c r="BI3" s="85" t="s">
        <v>79</v>
      </c>
      <c r="BJ3" s="85" t="s">
        <v>80</v>
      </c>
      <c r="BK3" s="84" t="s">
        <v>81</v>
      </c>
      <c r="BL3" s="83" t="s">
        <v>75</v>
      </c>
      <c r="BM3" s="85" t="s">
        <v>24</v>
      </c>
      <c r="BN3" s="85" t="s">
        <v>78</v>
      </c>
      <c r="BO3" s="85" t="s">
        <v>79</v>
      </c>
      <c r="BP3" s="85" t="s">
        <v>80</v>
      </c>
      <c r="BQ3" s="85" t="s">
        <v>81</v>
      </c>
      <c r="BR3" s="83" t="s">
        <v>75</v>
      </c>
      <c r="BS3" s="85" t="s">
        <v>24</v>
      </c>
      <c r="BT3" s="85" t="s">
        <v>78</v>
      </c>
      <c r="BU3" s="85" t="s">
        <v>79</v>
      </c>
      <c r="BV3" s="85" t="s">
        <v>80</v>
      </c>
      <c r="BW3" s="85" t="s">
        <v>81</v>
      </c>
    </row>
    <row r="4" spans="1:162" x14ac:dyDescent="0.25">
      <c r="A4" s="10">
        <v>45047</v>
      </c>
      <c r="B4" s="7">
        <f>VLOOKUP($A$4,$A$5:$AY$100,B1,FALSE)</f>
        <v>48</v>
      </c>
      <c r="C4" s="7">
        <f t="shared" ref="C4:AT4" si="0">VLOOKUP($A$4,$A$5:$AY$100,C1,FALSE)</f>
        <v>38</v>
      </c>
      <c r="D4" s="7">
        <f t="shared" si="0"/>
        <v>41</v>
      </c>
      <c r="E4" s="7">
        <f t="shared" si="0"/>
        <v>44</v>
      </c>
      <c r="F4" s="7">
        <f t="shared" si="0"/>
        <v>49</v>
      </c>
      <c r="G4" s="7">
        <f t="shared" si="0"/>
        <v>42</v>
      </c>
      <c r="H4" s="7">
        <f t="shared" si="0"/>
        <v>46</v>
      </c>
      <c r="I4" s="7">
        <f t="shared" si="0"/>
        <v>50</v>
      </c>
      <c r="J4" s="7">
        <f t="shared" si="0"/>
        <v>48</v>
      </c>
      <c r="K4" s="7">
        <f t="shared" si="0"/>
        <v>44</v>
      </c>
      <c r="L4" s="7">
        <f t="shared" si="0"/>
        <v>49</v>
      </c>
      <c r="M4" s="7">
        <f t="shared" si="0"/>
        <v>48</v>
      </c>
      <c r="N4" s="7">
        <f t="shared" si="0"/>
        <v>100</v>
      </c>
      <c r="O4" s="7">
        <f t="shared" si="0"/>
        <v>105</v>
      </c>
      <c r="P4" s="7">
        <f t="shared" si="0"/>
        <v>105</v>
      </c>
      <c r="Q4" s="7">
        <f t="shared" si="0"/>
        <v>402</v>
      </c>
      <c r="R4" s="7">
        <f t="shared" si="0"/>
        <v>408</v>
      </c>
      <c r="S4" s="7">
        <f t="shared" si="0"/>
        <v>397</v>
      </c>
      <c r="T4" s="7">
        <f t="shared" si="0"/>
        <v>12.611764705882354</v>
      </c>
      <c r="U4" s="7">
        <f t="shared" si="0"/>
        <v>13.440000000000001</v>
      </c>
      <c r="V4" s="7">
        <f t="shared" si="0"/>
        <v>13.07764705882353</v>
      </c>
      <c r="W4" s="7">
        <f t="shared" si="0"/>
        <v>10.588235294117647</v>
      </c>
      <c r="X4" s="7">
        <f t="shared" si="0"/>
        <v>10.588235294117647</v>
      </c>
      <c r="Y4" s="7">
        <f t="shared" si="0"/>
        <v>10.588235294117647</v>
      </c>
      <c r="Z4" s="7">
        <f t="shared" si="0"/>
        <v>0</v>
      </c>
      <c r="AA4" s="7">
        <f t="shared" si="0"/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0</v>
      </c>
      <c r="AL4" s="7">
        <f t="shared" si="0"/>
        <v>0</v>
      </c>
      <c r="AM4" s="7">
        <f t="shared" si="0"/>
        <v>0</v>
      </c>
      <c r="AN4" s="7">
        <f t="shared" si="0"/>
        <v>0</v>
      </c>
      <c r="AO4" s="7">
        <f t="shared" si="0"/>
        <v>0</v>
      </c>
      <c r="AP4" s="7">
        <f t="shared" si="0"/>
        <v>50.4</v>
      </c>
      <c r="AQ4" s="7">
        <f t="shared" si="0"/>
        <v>0</v>
      </c>
      <c r="AR4" s="7">
        <f t="shared" si="0"/>
        <v>0</v>
      </c>
      <c r="AS4" s="7">
        <f t="shared" si="0"/>
        <v>0</v>
      </c>
      <c r="AT4" s="7">
        <f t="shared" si="0"/>
        <v>0</v>
      </c>
      <c r="AU4" s="7"/>
      <c r="BA4" s="7"/>
    </row>
    <row r="5" spans="1:162" ht="15.75" x14ac:dyDescent="0.25">
      <c r="A5" s="20">
        <v>43367</v>
      </c>
      <c r="B5" s="99">
        <v>93</v>
      </c>
      <c r="C5" s="40">
        <v>78</v>
      </c>
      <c r="D5" s="64">
        <v>67</v>
      </c>
      <c r="E5" s="531">
        <v>102</v>
      </c>
      <c r="F5" s="99"/>
      <c r="G5" s="40"/>
      <c r="H5" s="40"/>
      <c r="I5" s="94"/>
      <c r="J5" s="99"/>
      <c r="K5" s="40"/>
      <c r="L5" s="40"/>
      <c r="M5" s="94"/>
      <c r="N5" s="40"/>
      <c r="O5" s="40"/>
      <c r="P5" s="40"/>
      <c r="Q5" s="99"/>
      <c r="R5" s="40"/>
      <c r="S5" s="94"/>
      <c r="T5" s="40"/>
      <c r="U5" s="40"/>
      <c r="V5" s="40"/>
      <c r="W5" s="99"/>
      <c r="X5" s="40"/>
      <c r="Y5" s="94"/>
      <c r="Z5" s="40"/>
      <c r="AA5" s="2">
        <f t="shared" ref="AA5:AA46" si="1">AVERAGE(B5,C5,D5,E5,)</f>
        <v>68</v>
      </c>
      <c r="AB5" s="2"/>
      <c r="AC5" s="2"/>
      <c r="AD5" s="7">
        <f>((AVERAGE(AA5,AC5)*('Summary Page'!$C$2+1))*('Summary Page'!$C$2+1))*('Summary Page'!$C$2+1)</f>
        <v>106.14092799999997</v>
      </c>
      <c r="AE5" s="7">
        <f>((AVERAGE(AA5,AC5)*('Summary Page'!$C$3+1))*('Summary Page'!$C$3+1))*('Summary Page'!$C$3+1)</f>
        <v>132.8125</v>
      </c>
      <c r="AF5" s="7">
        <f>((AVERAGE(AA5,AC5)*('Summary Page'!$C$4+1))*('Summary Page'!$C$4+1))*('Summary Page'!$C$4+1)</f>
        <v>117.50399999999998</v>
      </c>
      <c r="AG5" s="7">
        <v>80</v>
      </c>
      <c r="AJ5" s="40"/>
      <c r="AK5" s="7">
        <f>((AVERAGE(B5,AJ5)*('Summary Page'!$C$2+1))*('Summary Page'!$C$2+1))*('Summary Page'!$C$2+1)</f>
        <v>145.16332799999998</v>
      </c>
      <c r="AL5" s="7">
        <f>((AVERAGE(B5,AJ5)*('Summary Page'!$C$3+1))*('Summary Page'!$C$3+1))*('Summary Page'!$C$3+1)</f>
        <v>181.640625</v>
      </c>
      <c r="AM5" s="8">
        <f>((AVERAGE(B5,AJ5)*('Summary Page'!$C$4+1))*('Summary Page'!$C$4+1))*('Summary Page'!$C$4+1)</f>
        <v>160.70399999999998</v>
      </c>
      <c r="AP5" s="40"/>
      <c r="AQ5" s="7">
        <f>((AVERAGE(C5,AP5)*('Summary Page'!$C$2+1))*('Summary Page'!$C$2+1))*('Summary Page'!$C$2+1)</f>
        <v>121.74988799999997</v>
      </c>
      <c r="AR5" s="7">
        <f>((AVERAGE(C5,AP5)*('Summary Page'!$C$3+1))*('Summary Page'!$C$3+1))*('Summary Page'!$C$3+1)</f>
        <v>152.34375</v>
      </c>
      <c r="AS5" s="7">
        <f>((AVERAGE(C5,AP5)*('Summary Page'!$C$4+1))*('Summary Page'!$C$4+1))*('Summary Page'!$C$4+1)</f>
        <v>134.78399999999999</v>
      </c>
      <c r="AV5" s="40"/>
      <c r="AW5" s="7">
        <f>((AVERAGE(D5,AV5)*('Summary Page'!$C$2+1))*('Summary Page'!$C$2+1))*('Summary Page'!$C$2+1)</f>
        <v>104.58003199999999</v>
      </c>
      <c r="AX5" s="7">
        <f>((AVERAGE(D5,AV5)*('Summary Page'!$C$3+1))*('Summary Page'!$C$3+1))*('Summary Page'!$C$3+1)</f>
        <v>130.859375</v>
      </c>
      <c r="AY5" s="8">
        <f>((AVERAGE(D5,AV5)*('Summary Page'!$C$4+1))*('Summary Page'!$C$4+1))*('Summary Page'!$C$4+1)</f>
        <v>115.77599999999998</v>
      </c>
      <c r="BB5" s="40"/>
      <c r="BC5" s="7">
        <f>((AVERAGE(E5,BB5)*('Summary Page'!$C$2+1))*('Summary Page'!$C$2+1))*('Summary Page'!$C$2+1)</f>
        <v>159.21139199999996</v>
      </c>
      <c r="BD5" s="7">
        <f>((AVERAGE(E5,BB5)*('Summary Page'!$C$3+1))*('Summary Page'!$C$3+1))*('Summary Page'!$C$3+1)</f>
        <v>199.21875</v>
      </c>
      <c r="BE5" s="8">
        <f>((AVERAGE(E5,BB5)*('Summary Page'!$C$4+1))*('Summary Page'!$C$4+1))*('Summary Page'!$C$4+1)</f>
        <v>176.256</v>
      </c>
      <c r="BH5" s="40"/>
      <c r="BI5" s="7" t="e">
        <f>((AVERAGE(N5,BH5)*('Summary Page'!$C$2+1))*('Summary Page'!$C$2+1))*('Summary Page'!$C$2+1)</f>
        <v>#DIV/0!</v>
      </c>
      <c r="BJ5" s="7" t="e">
        <f>((AVERAGE(N5,BH5)*('Summary Page'!$C$3+1))*('Summary Page'!$C$3+1))*('Summary Page'!$C$3+1)</f>
        <v>#DIV/0!</v>
      </c>
      <c r="BK5" s="8" t="e">
        <f>((AVERAGE(N5,BH5)*('Summary Page'!$C$4+1))*('Summary Page'!$C$4+1))*('Summary Page'!$C$4+1)</f>
        <v>#DIV/0!</v>
      </c>
      <c r="BL5" s="9"/>
    </row>
    <row r="6" spans="1:162" ht="15.75" x14ac:dyDescent="0.25">
      <c r="A6" s="20">
        <v>43381</v>
      </c>
      <c r="B6" s="99">
        <v>97</v>
      </c>
      <c r="C6" s="40">
        <v>80</v>
      </c>
      <c r="D6" s="64">
        <v>69</v>
      </c>
      <c r="E6" s="531">
        <v>82</v>
      </c>
      <c r="F6" s="99"/>
      <c r="G6" s="40"/>
      <c r="H6" s="40"/>
      <c r="I6" s="94"/>
      <c r="J6" s="99"/>
      <c r="K6" s="40"/>
      <c r="L6" s="40"/>
      <c r="M6" s="94"/>
      <c r="N6" s="40"/>
      <c r="O6" s="40"/>
      <c r="P6" s="40"/>
      <c r="Q6" s="99"/>
      <c r="R6" s="40"/>
      <c r="S6" s="94"/>
      <c r="T6" s="40"/>
      <c r="U6" s="40"/>
      <c r="V6" s="40"/>
      <c r="W6" s="99"/>
      <c r="X6" s="40"/>
      <c r="Y6" s="94"/>
      <c r="Z6" s="40"/>
      <c r="AA6" s="2">
        <f t="shared" si="1"/>
        <v>65.599999999999994</v>
      </c>
      <c r="AB6" s="2"/>
      <c r="AC6" s="2"/>
      <c r="AD6" s="7">
        <f>((AVERAGE(AA6,AC6)*('Summary Page'!$C$2+1))*('Summary Page'!$C$2+1))*('Summary Page'!$C$2+1)</f>
        <v>102.39477759999998</v>
      </c>
      <c r="AE6" s="7">
        <f>((AVERAGE(AA6,AC6)*('Summary Page'!$C$3+1))*('Summary Page'!$C$3+1))*('Summary Page'!$C$3+1)</f>
        <v>128.125</v>
      </c>
      <c r="AF6" s="7">
        <f>((AVERAGE(AA6,AC6)*('Summary Page'!$C$4+1))*('Summary Page'!$C$4+1))*('Summary Page'!$C$4+1)</f>
        <v>113.35679999999998</v>
      </c>
      <c r="AG6" s="7">
        <v>80</v>
      </c>
      <c r="AJ6" s="40"/>
      <c r="AK6" s="7">
        <f>((AVERAGE(B6,AJ6)*('Summary Page'!$C$2+1))*('Summary Page'!$C$2+1))*('Summary Page'!$C$2+1)</f>
        <v>151.40691199999995</v>
      </c>
      <c r="AL6" s="7">
        <f>((AVERAGE(B6,AJ6)*('Summary Page'!$C$3+1))*('Summary Page'!$C$3+1))*('Summary Page'!$C$3+1)</f>
        <v>189.453125</v>
      </c>
      <c r="AM6" s="8">
        <f>((AVERAGE(B6,AJ6)*('Summary Page'!$C$4+1))*('Summary Page'!$C$4+1))*('Summary Page'!$C$4+1)</f>
        <v>167.61599999999996</v>
      </c>
      <c r="AP6" s="40"/>
      <c r="AQ6" s="7">
        <f>((AVERAGE(C6,AP6)*('Summary Page'!$C$2+1))*('Summary Page'!$C$2+1))*('Summary Page'!$C$2+1)</f>
        <v>124.87167999999998</v>
      </c>
      <c r="AR6" s="7">
        <f>((AVERAGE(C6,AP6)*('Summary Page'!$C$3+1))*('Summary Page'!$C$3+1))*('Summary Page'!$C$3+1)</f>
        <v>156.25</v>
      </c>
      <c r="AS6" s="7">
        <f>((AVERAGE(C6,AP6)*('Summary Page'!$C$4+1))*('Summary Page'!$C$4+1))*('Summary Page'!$C$4+1)</f>
        <v>138.23999999999998</v>
      </c>
      <c r="AV6" s="40"/>
      <c r="AW6" s="7">
        <f>((AVERAGE(D6,AV6)*('Summary Page'!$C$2+1))*('Summary Page'!$C$2+1))*('Summary Page'!$C$2+1)</f>
        <v>107.70182399999997</v>
      </c>
      <c r="AX6" s="7">
        <f>((AVERAGE(D6,AV6)*('Summary Page'!$C$3+1))*('Summary Page'!$C$3+1))*('Summary Page'!$C$3+1)</f>
        <v>134.765625</v>
      </c>
      <c r="AY6" s="8">
        <f>((AVERAGE(D6,AV6)*('Summary Page'!$C$4+1))*('Summary Page'!$C$4+1))*('Summary Page'!$C$4+1)</f>
        <v>119.232</v>
      </c>
      <c r="BB6" s="40"/>
      <c r="BC6" s="7">
        <f>((AVERAGE(E6,BB6)*('Summary Page'!$C$2+1))*('Summary Page'!$C$2+1))*('Summary Page'!$C$2+1)</f>
        <v>127.99347199999997</v>
      </c>
      <c r="BD6" s="7">
        <f>((AVERAGE(E6,BB6)*('Summary Page'!$C$3+1))*('Summary Page'!$C$3+1))*('Summary Page'!$C$3+1)</f>
        <v>160.15625</v>
      </c>
      <c r="BE6" s="8">
        <f>((AVERAGE(E6,BB6)*('Summary Page'!$C$4+1))*('Summary Page'!$C$4+1))*('Summary Page'!$C$4+1)</f>
        <v>141.69599999999997</v>
      </c>
      <c r="BH6" s="40"/>
      <c r="BI6" s="7" t="e">
        <f>((AVERAGE(N6,BH6)*('Summary Page'!$C$2+1))*('Summary Page'!$C$2+1))*('Summary Page'!$C$2+1)</f>
        <v>#DIV/0!</v>
      </c>
      <c r="BJ6" s="7" t="e">
        <f>((AVERAGE(N6,BH6)*('Summary Page'!$C$3+1))*('Summary Page'!$C$3+1))*('Summary Page'!$C$3+1)</f>
        <v>#DIV/0!</v>
      </c>
      <c r="BK6" s="8" t="e">
        <f>((AVERAGE(N6,BH6)*('Summary Page'!$C$4+1))*('Summary Page'!$C$4+1))*('Summary Page'!$C$4+1)</f>
        <v>#DIV/0!</v>
      </c>
      <c r="BL6" s="9"/>
    </row>
    <row r="7" spans="1:162" ht="15.75" x14ac:dyDescent="0.25">
      <c r="A7" s="20">
        <v>43402</v>
      </c>
      <c r="B7" s="99">
        <v>99</v>
      </c>
      <c r="C7" s="40">
        <v>79</v>
      </c>
      <c r="D7" s="64">
        <v>71</v>
      </c>
      <c r="E7" s="531">
        <v>96</v>
      </c>
      <c r="F7" s="101"/>
      <c r="G7" s="6"/>
      <c r="H7" s="6"/>
      <c r="I7" s="109"/>
      <c r="J7" s="101"/>
      <c r="K7" s="6"/>
      <c r="L7" s="6"/>
      <c r="M7" s="109"/>
      <c r="N7" s="40"/>
      <c r="O7" s="6"/>
      <c r="P7" s="6"/>
      <c r="Q7" s="101"/>
      <c r="R7" s="6"/>
      <c r="S7" s="109"/>
      <c r="T7" s="6"/>
      <c r="U7" s="6"/>
      <c r="V7" s="6"/>
      <c r="W7" s="101"/>
      <c r="X7" s="6"/>
      <c r="Y7" s="109"/>
      <c r="Z7" s="6"/>
      <c r="AA7" s="2">
        <f t="shared" si="1"/>
        <v>69</v>
      </c>
      <c r="AB7" s="2"/>
      <c r="AC7" s="2"/>
      <c r="AD7" s="7">
        <f>((AVERAGE(AA7,AC7)*('Summary Page'!$C$2+1))*('Summary Page'!$C$2+1))*('Summary Page'!$C$2+1)</f>
        <v>107.70182399999997</v>
      </c>
      <c r="AE7" s="7">
        <f>((AVERAGE(AA7,AC7)*('Summary Page'!$C$3+1))*('Summary Page'!$C$3+1))*('Summary Page'!$C$3+1)</f>
        <v>134.765625</v>
      </c>
      <c r="AF7" s="7">
        <f>((AVERAGE(AA7,AC7)*('Summary Page'!$C$4+1))*('Summary Page'!$C$4+1))*('Summary Page'!$C$4+1)</f>
        <v>119.232</v>
      </c>
      <c r="AG7" s="7">
        <v>80</v>
      </c>
      <c r="AJ7" s="6"/>
      <c r="AK7" s="7">
        <f>((AVERAGE(B7,AJ7)*('Summary Page'!$C$2+1))*('Summary Page'!$C$2+1))*('Summary Page'!$C$2+1)</f>
        <v>154.52870399999998</v>
      </c>
      <c r="AL7" s="7">
        <f>((AVERAGE(B7,AJ7)*('Summary Page'!$C$3+1))*('Summary Page'!$C$3+1))*('Summary Page'!$C$3+1)</f>
        <v>193.359375</v>
      </c>
      <c r="AM7" s="8">
        <f>((AVERAGE(B7,AJ7)*('Summary Page'!$C$4+1))*('Summary Page'!$C$4+1))*('Summary Page'!$C$4+1)</f>
        <v>171.072</v>
      </c>
      <c r="AP7" s="6"/>
      <c r="AQ7" s="7">
        <f>((AVERAGE(C7,AP7)*('Summary Page'!$C$2+1))*('Summary Page'!$C$2+1))*('Summary Page'!$C$2+1)</f>
        <v>123.31078399999998</v>
      </c>
      <c r="AR7" s="7">
        <f>((AVERAGE(C7,AP7)*('Summary Page'!$C$3+1))*('Summary Page'!$C$3+1))*('Summary Page'!$C$3+1)</f>
        <v>154.296875</v>
      </c>
      <c r="AS7" s="7">
        <f>((AVERAGE(C7,AP7)*('Summary Page'!$C$4+1))*('Summary Page'!$C$4+1))*('Summary Page'!$C$4+1)</f>
        <v>136.51199999999997</v>
      </c>
      <c r="AV7" s="6"/>
      <c r="AW7" s="7">
        <f>((AVERAGE(D7,AV7)*('Summary Page'!$C$2+1))*('Summary Page'!$C$2+1))*('Summary Page'!$C$2+1)</f>
        <v>110.82361599999999</v>
      </c>
      <c r="AX7" s="7">
        <f>((AVERAGE(D7,AV7)*('Summary Page'!$C$3+1))*('Summary Page'!$C$3+1))*('Summary Page'!$C$3+1)</f>
        <v>138.671875</v>
      </c>
      <c r="AY7" s="8">
        <f>((AVERAGE(D7,AV7)*('Summary Page'!$C$4+1))*('Summary Page'!$C$4+1))*('Summary Page'!$C$4+1)</f>
        <v>122.68799999999999</v>
      </c>
      <c r="BB7" s="6"/>
      <c r="BC7" s="7">
        <f>((AVERAGE(E7,BB7)*('Summary Page'!$C$2+1))*('Summary Page'!$C$2+1))*('Summary Page'!$C$2+1)</f>
        <v>149.84601599999996</v>
      </c>
      <c r="BD7" s="7">
        <f>((AVERAGE(E7,BB7)*('Summary Page'!$C$3+1))*('Summary Page'!$C$3+1))*('Summary Page'!$C$3+1)</f>
        <v>187.5</v>
      </c>
      <c r="BE7" s="8">
        <f>((AVERAGE(E7,BB7)*('Summary Page'!$C$4+1))*('Summary Page'!$C$4+1))*('Summary Page'!$C$4+1)</f>
        <v>165.88799999999998</v>
      </c>
      <c r="BH7" s="6"/>
      <c r="BI7" s="7" t="e">
        <f>((AVERAGE(N7,BH7)*('Summary Page'!$C$2+1))*('Summary Page'!$C$2+1))*('Summary Page'!$C$2+1)</f>
        <v>#DIV/0!</v>
      </c>
      <c r="BJ7" s="7" t="e">
        <f>((AVERAGE(N7,BH7)*('Summary Page'!$C$3+1))*('Summary Page'!$C$3+1))*('Summary Page'!$C$3+1)</f>
        <v>#DIV/0!</v>
      </c>
      <c r="BK7" s="8" t="e">
        <f>((AVERAGE(N7,BH7)*('Summary Page'!$C$4+1))*('Summary Page'!$C$4+1))*('Summary Page'!$C$4+1)</f>
        <v>#DIV/0!</v>
      </c>
      <c r="BL7" s="9"/>
    </row>
    <row r="8" spans="1:162" ht="15.75" x14ac:dyDescent="0.25">
      <c r="A8" s="20">
        <v>43409</v>
      </c>
      <c r="B8" s="99">
        <v>95</v>
      </c>
      <c r="C8" s="40">
        <v>73</v>
      </c>
      <c r="D8" s="64">
        <v>72</v>
      </c>
      <c r="E8" s="531">
        <v>91</v>
      </c>
      <c r="F8" s="99"/>
      <c r="G8" s="40"/>
      <c r="H8" s="40"/>
      <c r="I8" s="94"/>
      <c r="J8" s="99"/>
      <c r="K8" s="40"/>
      <c r="L8" s="40"/>
      <c r="M8" s="94"/>
      <c r="N8" s="40"/>
      <c r="O8" s="40"/>
      <c r="P8" s="40"/>
      <c r="Q8" s="99"/>
      <c r="R8" s="40"/>
      <c r="S8" s="94"/>
      <c r="T8" s="40"/>
      <c r="U8" s="40"/>
      <c r="V8" s="40"/>
      <c r="W8" s="99"/>
      <c r="X8" s="40"/>
      <c r="Y8" s="94"/>
      <c r="Z8" s="40"/>
      <c r="AA8" s="2">
        <f t="shared" si="1"/>
        <v>66.2</v>
      </c>
      <c r="AB8" s="2"/>
      <c r="AC8" s="2"/>
      <c r="AD8" s="7">
        <f>((AVERAGE(AA8,AC8)*('Summary Page'!$C$2+1))*('Summary Page'!$C$2+1))*('Summary Page'!$C$2+1)</f>
        <v>103.33131519999998</v>
      </c>
      <c r="AE8" s="7">
        <f>((AVERAGE(AA8,AC8)*('Summary Page'!$C$3+1))*('Summary Page'!$C$3+1))*('Summary Page'!$C$3+1)</f>
        <v>129.296875</v>
      </c>
      <c r="AF8" s="7">
        <f>((AVERAGE(AA8,AC8)*('Summary Page'!$C$4+1))*('Summary Page'!$C$4+1))*('Summary Page'!$C$4+1)</f>
        <v>114.39359999999998</v>
      </c>
      <c r="AG8" s="7">
        <v>80</v>
      </c>
      <c r="AJ8" s="40"/>
      <c r="AK8" s="7">
        <f>((AVERAGE(B8,AJ8)*('Summary Page'!$C$2+1))*('Summary Page'!$C$2+1))*('Summary Page'!$C$2+1)</f>
        <v>148.28511999999998</v>
      </c>
      <c r="AL8" s="7">
        <f>((AVERAGE(B8,AJ8)*('Summary Page'!$C$3+1))*('Summary Page'!$C$3+1))*('Summary Page'!$C$3+1)</f>
        <v>185.546875</v>
      </c>
      <c r="AM8" s="8">
        <f>((AVERAGE(B8,AJ8)*('Summary Page'!$C$4+1))*('Summary Page'!$C$4+1))*('Summary Page'!$C$4+1)</f>
        <v>164.15999999999997</v>
      </c>
      <c r="AP8" s="40"/>
      <c r="AQ8" s="7">
        <f>((AVERAGE(C8,AP8)*('Summary Page'!$C$2+1))*('Summary Page'!$C$2+1))*('Summary Page'!$C$2+1)</f>
        <v>113.94540799999997</v>
      </c>
      <c r="AR8" s="7">
        <f>((AVERAGE(C8,AP8)*('Summary Page'!$C$3+1))*('Summary Page'!$C$3+1))*('Summary Page'!$C$3+1)</f>
        <v>142.578125</v>
      </c>
      <c r="AS8" s="7">
        <f>((AVERAGE(C8,AP8)*('Summary Page'!$C$4+1))*('Summary Page'!$C$4+1))*('Summary Page'!$C$4+1)</f>
        <v>126.14399999999998</v>
      </c>
      <c r="AV8" s="40"/>
      <c r="AW8" s="7">
        <f>((AVERAGE(D8,AV8)*('Summary Page'!$C$2+1))*('Summary Page'!$C$2+1))*('Summary Page'!$C$2+1)</f>
        <v>112.38451199999997</v>
      </c>
      <c r="AX8" s="7">
        <f>((AVERAGE(D8,AV8)*('Summary Page'!$C$3+1))*('Summary Page'!$C$3+1))*('Summary Page'!$C$3+1)</f>
        <v>140.625</v>
      </c>
      <c r="AY8" s="8">
        <f>((AVERAGE(D8,AV8)*('Summary Page'!$C$4+1))*('Summary Page'!$C$4+1))*('Summary Page'!$C$4+1)</f>
        <v>124.41599999999998</v>
      </c>
      <c r="BB8" s="40"/>
      <c r="BC8" s="7">
        <f>((AVERAGE(E8,BB8)*('Summary Page'!$C$2+1))*('Summary Page'!$C$2+1))*('Summary Page'!$C$2+1)</f>
        <v>142.04153599999995</v>
      </c>
      <c r="BD8" s="7">
        <f>((AVERAGE(E8,BB8)*('Summary Page'!$C$3+1))*('Summary Page'!$C$3+1))*('Summary Page'!$C$3+1)</f>
        <v>177.734375</v>
      </c>
      <c r="BE8" s="8">
        <f>((AVERAGE(E8,BB8)*('Summary Page'!$C$4+1))*('Summary Page'!$C$4+1))*('Summary Page'!$C$4+1)</f>
        <v>157.24799999999999</v>
      </c>
      <c r="BH8" s="40"/>
      <c r="BI8" s="7" t="e">
        <f>((AVERAGE(N8,BH8)*('Summary Page'!$C$2+1))*('Summary Page'!$C$2+1))*('Summary Page'!$C$2+1)</f>
        <v>#DIV/0!</v>
      </c>
      <c r="BJ8" s="7" t="e">
        <f>((AVERAGE(N8,BH8)*('Summary Page'!$C$3+1))*('Summary Page'!$C$3+1))*('Summary Page'!$C$3+1)</f>
        <v>#DIV/0!</v>
      </c>
      <c r="BK8" s="8" t="e">
        <f>((AVERAGE(N8,BH8)*('Summary Page'!$C$4+1))*('Summary Page'!$C$4+1))*('Summary Page'!$C$4+1)</f>
        <v>#DIV/0!</v>
      </c>
      <c r="BL8" s="9"/>
    </row>
    <row r="9" spans="1:162" ht="15.75" x14ac:dyDescent="0.25">
      <c r="A9" s="20">
        <v>43423</v>
      </c>
      <c r="B9" s="99">
        <v>94</v>
      </c>
      <c r="C9" s="40">
        <v>66</v>
      </c>
      <c r="D9" s="64">
        <v>77</v>
      </c>
      <c r="E9" s="531">
        <v>82</v>
      </c>
      <c r="F9" s="99"/>
      <c r="G9" s="40"/>
      <c r="H9" s="40"/>
      <c r="I9" s="94"/>
      <c r="J9" s="99"/>
      <c r="K9" s="40"/>
      <c r="L9" s="40"/>
      <c r="M9" s="94"/>
      <c r="N9" s="40"/>
      <c r="O9" s="40"/>
      <c r="P9" s="40"/>
      <c r="Q9" s="99"/>
      <c r="R9" s="40"/>
      <c r="S9" s="94"/>
      <c r="T9" s="40"/>
      <c r="U9" s="40"/>
      <c r="V9" s="40"/>
      <c r="W9" s="99"/>
      <c r="X9" s="40"/>
      <c r="Y9" s="94"/>
      <c r="Z9" s="40"/>
      <c r="AA9" s="2">
        <f t="shared" si="1"/>
        <v>63.8</v>
      </c>
      <c r="AB9" s="2"/>
      <c r="AC9" s="2"/>
      <c r="AD9" s="7">
        <f>((AVERAGE(AA9,AC9)*('Summary Page'!$C$2+1))*('Summary Page'!$C$2+1))*('Summary Page'!$C$2+1)</f>
        <v>99.585164799999987</v>
      </c>
      <c r="AE9" s="7">
        <f>((AVERAGE(AA9,AC9)*('Summary Page'!$C$3+1))*('Summary Page'!$C$3+1))*('Summary Page'!$C$3+1)</f>
        <v>124.609375</v>
      </c>
      <c r="AF9" s="7">
        <f>((AVERAGE(AA9,AC9)*('Summary Page'!$C$4+1))*('Summary Page'!$C$4+1))*('Summary Page'!$C$4+1)</f>
        <v>110.24639999999998</v>
      </c>
      <c r="AG9" s="7">
        <v>80</v>
      </c>
      <c r="AJ9" s="40"/>
      <c r="AK9" s="7">
        <f>((AVERAGE(B9,AJ9)*('Summary Page'!$C$2+1))*('Summary Page'!$C$2+1))*('Summary Page'!$C$2+1)</f>
        <v>146.72422399999996</v>
      </c>
      <c r="AL9" s="7">
        <f>((AVERAGE(B9,AJ9)*('Summary Page'!$C$3+1))*('Summary Page'!$C$3+1))*('Summary Page'!$C$3+1)</f>
        <v>183.59375</v>
      </c>
      <c r="AM9" s="8">
        <f>((AVERAGE(B9,AJ9)*('Summary Page'!$C$4+1))*('Summary Page'!$C$4+1))*('Summary Page'!$C$4+1)</f>
        <v>162.43199999999999</v>
      </c>
      <c r="AP9" s="40"/>
      <c r="AQ9" s="7">
        <f>((AVERAGE(C9,AP9)*('Summary Page'!$C$2+1))*('Summary Page'!$C$2+1))*('Summary Page'!$C$2+1)</f>
        <v>103.01913599999996</v>
      </c>
      <c r="AR9" s="7">
        <f>((AVERAGE(C9,AP9)*('Summary Page'!$C$3+1))*('Summary Page'!$C$3+1))*('Summary Page'!$C$3+1)</f>
        <v>128.90625</v>
      </c>
      <c r="AS9" s="7">
        <f>((AVERAGE(C9,AP9)*('Summary Page'!$C$4+1))*('Summary Page'!$C$4+1))*('Summary Page'!$C$4+1)</f>
        <v>114.048</v>
      </c>
      <c r="AV9" s="40"/>
      <c r="AW9" s="7">
        <f>((AVERAGE(D9,AV9)*('Summary Page'!$C$2+1))*('Summary Page'!$C$2+1))*('Summary Page'!$C$2+1)</f>
        <v>120.18899199999997</v>
      </c>
      <c r="AX9" s="7">
        <f>((AVERAGE(D9,AV9)*('Summary Page'!$C$3+1))*('Summary Page'!$C$3+1))*('Summary Page'!$C$3+1)</f>
        <v>150.390625</v>
      </c>
      <c r="AY9" s="8">
        <f>((AVERAGE(D9,AV9)*('Summary Page'!$C$4+1))*('Summary Page'!$C$4+1))*('Summary Page'!$C$4+1)</f>
        <v>133.05599999999998</v>
      </c>
      <c r="BB9" s="40"/>
      <c r="BC9" s="7">
        <f>((AVERAGE(E9,BB9)*('Summary Page'!$C$2+1))*('Summary Page'!$C$2+1))*('Summary Page'!$C$2+1)</f>
        <v>127.99347199999997</v>
      </c>
      <c r="BD9" s="7">
        <f>((AVERAGE(E9,BB9)*('Summary Page'!$C$3+1))*('Summary Page'!$C$3+1))*('Summary Page'!$C$3+1)</f>
        <v>160.15625</v>
      </c>
      <c r="BE9" s="8">
        <f>((AVERAGE(E9,BB9)*('Summary Page'!$C$4+1))*('Summary Page'!$C$4+1))*('Summary Page'!$C$4+1)</f>
        <v>141.69599999999997</v>
      </c>
      <c r="BH9" s="40"/>
      <c r="BI9" s="7" t="e">
        <f>((AVERAGE(N9,BH9)*('Summary Page'!$C$2+1))*('Summary Page'!$C$2+1))*('Summary Page'!$C$2+1)</f>
        <v>#DIV/0!</v>
      </c>
      <c r="BJ9" s="7" t="e">
        <f>((AVERAGE(N9,BH9)*('Summary Page'!$C$3+1))*('Summary Page'!$C$3+1))*('Summary Page'!$C$3+1)</f>
        <v>#DIV/0!</v>
      </c>
      <c r="BK9" s="8" t="e">
        <f>((AVERAGE(N9,BH9)*('Summary Page'!$C$4+1))*('Summary Page'!$C$4+1))*('Summary Page'!$C$4+1)</f>
        <v>#DIV/0!</v>
      </c>
      <c r="BL9" s="9"/>
    </row>
    <row r="10" spans="1:162" ht="15.75" x14ac:dyDescent="0.25">
      <c r="A10" s="20">
        <v>43437</v>
      </c>
      <c r="B10" s="99">
        <v>97</v>
      </c>
      <c r="C10" s="40">
        <v>65</v>
      </c>
      <c r="D10" s="64">
        <v>70</v>
      </c>
      <c r="E10" s="531">
        <v>81</v>
      </c>
      <c r="F10" s="99"/>
      <c r="G10" s="40"/>
      <c r="H10" s="40"/>
      <c r="I10" s="94"/>
      <c r="J10" s="99"/>
      <c r="K10" s="40"/>
      <c r="L10" s="40"/>
      <c r="M10" s="94"/>
      <c r="N10" s="40"/>
      <c r="O10" s="40"/>
      <c r="P10" s="40"/>
      <c r="Q10" s="99"/>
      <c r="R10" s="40"/>
      <c r="S10" s="94"/>
      <c r="T10" s="40"/>
      <c r="U10" s="40"/>
      <c r="V10" s="40"/>
      <c r="W10" s="99"/>
      <c r="X10" s="40"/>
      <c r="Y10" s="94"/>
      <c r="Z10" s="40"/>
      <c r="AA10" s="2">
        <f t="shared" si="1"/>
        <v>62.6</v>
      </c>
      <c r="AB10" s="2"/>
      <c r="AC10" s="2"/>
      <c r="AD10" s="7">
        <f>((AVERAGE(AA10,AC10)*('Summary Page'!$C$2+1))*('Summary Page'!$C$2+1))*('Summary Page'!$C$2+1)</f>
        <v>97.712089599999985</v>
      </c>
      <c r="AE10" s="7">
        <f>((AVERAGE(AA10,AC10)*('Summary Page'!$C$3+1))*('Summary Page'!$C$3+1))*('Summary Page'!$C$3+1)</f>
        <v>122.265625</v>
      </c>
      <c r="AF10" s="7">
        <f>((AVERAGE(AA10,AC10)*('Summary Page'!$C$4+1))*('Summary Page'!$C$4+1))*('Summary Page'!$C$4+1)</f>
        <v>108.17280000000001</v>
      </c>
      <c r="AG10" s="7">
        <v>80</v>
      </c>
      <c r="AJ10" s="40"/>
      <c r="AK10" s="7">
        <f>((AVERAGE(B10,AJ10)*('Summary Page'!$C$2+1))*('Summary Page'!$C$2+1))*('Summary Page'!$C$2+1)</f>
        <v>151.40691199999995</v>
      </c>
      <c r="AL10" s="7">
        <f>((AVERAGE(B10,AJ10)*('Summary Page'!$C$3+1))*('Summary Page'!$C$3+1))*('Summary Page'!$C$3+1)</f>
        <v>189.453125</v>
      </c>
      <c r="AM10" s="8">
        <f>((AVERAGE(B10,AJ10)*('Summary Page'!$C$4+1))*('Summary Page'!$C$4+1))*('Summary Page'!$C$4+1)</f>
        <v>167.61599999999996</v>
      </c>
      <c r="AP10" s="40"/>
      <c r="AQ10" s="7">
        <f>((AVERAGE(C10,AP10)*('Summary Page'!$C$2+1))*('Summary Page'!$C$2+1))*('Summary Page'!$C$2+1)</f>
        <v>101.45823999999998</v>
      </c>
      <c r="AR10" s="7">
        <f>((AVERAGE(C10,AP10)*('Summary Page'!$C$3+1))*('Summary Page'!$C$3+1))*('Summary Page'!$C$3+1)</f>
        <v>126.953125</v>
      </c>
      <c r="AS10" s="7">
        <f>((AVERAGE(C10,AP10)*('Summary Page'!$C$4+1))*('Summary Page'!$C$4+1))*('Summary Page'!$C$4+1)</f>
        <v>112.32</v>
      </c>
      <c r="AV10" s="40"/>
      <c r="AW10" s="7">
        <f>((AVERAGE(D10,AV10)*('Summary Page'!$C$2+1))*('Summary Page'!$C$2+1))*('Summary Page'!$C$2+1)</f>
        <v>109.26271999999997</v>
      </c>
      <c r="AX10" s="7">
        <f>((AVERAGE(D10,AV10)*('Summary Page'!$C$3+1))*('Summary Page'!$C$3+1))*('Summary Page'!$C$3+1)</f>
        <v>136.71875</v>
      </c>
      <c r="AY10" s="8">
        <f>((AVERAGE(D10,AV10)*('Summary Page'!$C$4+1))*('Summary Page'!$C$4+1))*('Summary Page'!$C$4+1)</f>
        <v>120.96</v>
      </c>
      <c r="BB10" s="40"/>
      <c r="BC10" s="7">
        <f>((AVERAGE(E10,BB10)*('Summary Page'!$C$2+1))*('Summary Page'!$C$2+1))*('Summary Page'!$C$2+1)</f>
        <v>126.43257599999997</v>
      </c>
      <c r="BD10" s="7">
        <f>((AVERAGE(E10,BB10)*('Summary Page'!$C$3+1))*('Summary Page'!$C$3+1))*('Summary Page'!$C$3+1)</f>
        <v>158.203125</v>
      </c>
      <c r="BE10" s="8">
        <f>((AVERAGE(E10,BB10)*('Summary Page'!$C$4+1))*('Summary Page'!$C$4+1))*('Summary Page'!$C$4+1)</f>
        <v>139.96799999999999</v>
      </c>
      <c r="BH10" s="40"/>
      <c r="BI10" s="7" t="e">
        <f>((AVERAGE(N10,BH10)*('Summary Page'!$C$2+1))*('Summary Page'!$C$2+1))*('Summary Page'!$C$2+1)</f>
        <v>#DIV/0!</v>
      </c>
      <c r="BJ10" s="7" t="e">
        <f>((AVERAGE(N10,BH10)*('Summary Page'!$C$3+1))*('Summary Page'!$C$3+1))*('Summary Page'!$C$3+1)</f>
        <v>#DIV/0!</v>
      </c>
      <c r="BK10" s="8" t="e">
        <f>((AVERAGE(N10,BH10)*('Summary Page'!$C$4+1))*('Summary Page'!$C$4+1))*('Summary Page'!$C$4+1)</f>
        <v>#DIV/0!</v>
      </c>
      <c r="BL10" s="9"/>
    </row>
    <row r="11" spans="1:162" ht="15.75" x14ac:dyDescent="0.25">
      <c r="A11" s="20">
        <v>43451</v>
      </c>
      <c r="B11" s="99">
        <v>100</v>
      </c>
      <c r="C11" s="40">
        <v>63</v>
      </c>
      <c r="D11" s="64">
        <v>67</v>
      </c>
      <c r="E11" s="531">
        <v>72</v>
      </c>
      <c r="F11" s="99"/>
      <c r="G11" s="40"/>
      <c r="H11" s="40"/>
      <c r="I11" s="94"/>
      <c r="J11" s="99"/>
      <c r="K11" s="40"/>
      <c r="L11" s="40"/>
      <c r="M11" s="94"/>
      <c r="N11" s="40"/>
      <c r="O11" s="40"/>
      <c r="P11" s="40"/>
      <c r="Q11" s="99"/>
      <c r="R11" s="40"/>
      <c r="S11" s="94"/>
      <c r="T11" s="40"/>
      <c r="U11" s="40"/>
      <c r="V11" s="40"/>
      <c r="W11" s="99"/>
      <c r="X11" s="40"/>
      <c r="Y11" s="94"/>
      <c r="Z11" s="40"/>
      <c r="AA11" s="2">
        <f t="shared" si="1"/>
        <v>60.4</v>
      </c>
      <c r="AB11" s="2"/>
      <c r="AC11" s="2"/>
      <c r="AD11" s="7">
        <f>((AVERAGE(AA11,AC11)*('Summary Page'!$C$2+1))*('Summary Page'!$C$2+1))*('Summary Page'!$C$2+1)</f>
        <v>94.278118399999983</v>
      </c>
      <c r="AE11" s="7">
        <f>((AVERAGE(AA11,AC11)*('Summary Page'!$C$3+1))*('Summary Page'!$C$3+1))*('Summary Page'!$C$3+1)</f>
        <v>117.96875</v>
      </c>
      <c r="AF11" s="7">
        <f>((AVERAGE(AA11,AC11)*('Summary Page'!$C$4+1))*('Summary Page'!$C$4+1))*('Summary Page'!$C$4+1)</f>
        <v>104.37119999999997</v>
      </c>
      <c r="AG11" s="7">
        <v>80</v>
      </c>
      <c r="AJ11" s="40"/>
      <c r="AK11" s="7">
        <f>((AVERAGE(B6:B11)*('Summary Page'!$C$2+1))*('Summary Page'!$C$2+1))*('Summary Page'!$C$2+1)</f>
        <v>151.40691199999995</v>
      </c>
      <c r="AL11" s="7">
        <f>((AVERAGE(B6:B11)*('Summary Page'!$C$3+1))*('Summary Page'!$C$3+1))*('Summary Page'!$C$3+1)</f>
        <v>189.453125</v>
      </c>
      <c r="AM11" s="8">
        <f>((AVERAGE(B6:B11)*('Summary Page'!$C$4+1))*('Summary Page'!$C$4+1))*('Summary Page'!$C$4+1)</f>
        <v>167.61599999999996</v>
      </c>
      <c r="AP11" s="40"/>
      <c r="AQ11" s="7">
        <f>((AVERAGE(C6:C11)*('Summary Page'!$C$2+1))*('Summary Page'!$C$2+1))*('Summary Page'!$C$2+1)</f>
        <v>110.82361599999999</v>
      </c>
      <c r="AR11" s="7">
        <f>((AVERAGE(C6:C11)*('Summary Page'!$C$3+1))*('Summary Page'!$C$3+1))*('Summary Page'!$C$3+1)</f>
        <v>138.671875</v>
      </c>
      <c r="AS11" s="7">
        <f>((AVERAGE(C6:C11)*('Summary Page'!$C$4+1))*('Summary Page'!$C$4+1))*('Summary Page'!$C$4+1)</f>
        <v>122.68799999999999</v>
      </c>
      <c r="AV11" s="40"/>
      <c r="AW11" s="7">
        <f>((AVERAGE(D6:D11)*('Summary Page'!$C$2+1))*('Summary Page'!$C$2+1))*('Summary Page'!$C$2+1)</f>
        <v>110.82361599999999</v>
      </c>
      <c r="AX11" s="7">
        <f>((AVERAGE(D6:D11)*('Summary Page'!$C$3+1))*('Summary Page'!$C$3+1))*('Summary Page'!$C$3+1)</f>
        <v>138.671875</v>
      </c>
      <c r="AY11" s="8">
        <f>((AVERAGE(D6:D11)*('Summary Page'!$C$4+1))*('Summary Page'!$C$4+1))*('Summary Page'!$C$4+1)</f>
        <v>122.68799999999999</v>
      </c>
      <c r="BB11" s="40"/>
      <c r="BC11" s="30">
        <f>((AVERAGE(E6:E11)*('Summary Page'!$C$2+1))*('Summary Page'!$C$2+1))*('Summary Page'!$C$2+1)</f>
        <v>131.11526399999997</v>
      </c>
      <c r="BD11" s="30">
        <f>((AVERAGE(E6:E11)*('Summary Page'!$C$3+1))*('Summary Page'!$C$3+1))*('Summary Page'!$C$3+1)</f>
        <v>164.0625</v>
      </c>
      <c r="BE11" s="32">
        <f>((AVERAGE(E6:E11)*('Summary Page'!$C$4+1))*('Summary Page'!$C$4+1))*('Summary Page'!$C$4+1)</f>
        <v>145.15199999999999</v>
      </c>
      <c r="BH11" s="40"/>
      <c r="BI11" s="7" t="e">
        <f>((AVERAGE(N6:N11)*('Summary Page'!$C$2+1))*('Summary Page'!$C$2+1))*('Summary Page'!$C$2+1)</f>
        <v>#DIV/0!</v>
      </c>
      <c r="BJ11" s="7" t="e">
        <f>((AVERAGE(N6:N11)*('Summary Page'!$C$3+1))*('Summary Page'!$C$3+1))*('Summary Page'!$C$3+1)</f>
        <v>#DIV/0!</v>
      </c>
      <c r="BK11" s="7" t="e">
        <f>((AVERAGE(N6:N11)*('Summary Page'!$C$4+1))*('Summary Page'!$C$4+1))*('Summary Page'!$C$4+1)</f>
        <v>#DIV/0!</v>
      </c>
      <c r="BL11" s="9"/>
    </row>
    <row r="12" spans="1:162" ht="15.75" x14ac:dyDescent="0.25">
      <c r="A12" s="20">
        <v>43465</v>
      </c>
      <c r="B12" s="99">
        <v>100</v>
      </c>
      <c r="C12" s="40">
        <v>63</v>
      </c>
      <c r="D12" s="64">
        <v>67</v>
      </c>
      <c r="E12" s="531">
        <v>72</v>
      </c>
      <c r="F12" s="99"/>
      <c r="G12" s="40"/>
      <c r="H12" s="40"/>
      <c r="I12" s="94"/>
      <c r="J12" s="99"/>
      <c r="K12" s="40"/>
      <c r="L12" s="40"/>
      <c r="M12" s="94"/>
      <c r="N12" s="40"/>
      <c r="O12" s="40"/>
      <c r="P12" s="40"/>
      <c r="Q12" s="99"/>
      <c r="R12" s="40"/>
      <c r="S12" s="94"/>
      <c r="T12" s="40"/>
      <c r="U12" s="40"/>
      <c r="V12" s="40"/>
      <c r="W12" s="99"/>
      <c r="X12" s="40"/>
      <c r="Y12" s="94"/>
      <c r="Z12" s="40"/>
      <c r="AA12" s="2">
        <f t="shared" si="1"/>
        <v>60.4</v>
      </c>
      <c r="AB12" s="2"/>
      <c r="AC12" s="2"/>
      <c r="AD12" s="7">
        <f>((AVERAGE(AA12,AC12)*('Summary Page'!$C$2+1))*('Summary Page'!$C$2+1))*('Summary Page'!$C$2+1)</f>
        <v>94.278118399999983</v>
      </c>
      <c r="AE12" s="7">
        <f>((AVERAGE(AA12,AC12)*('Summary Page'!$C$3+1))*('Summary Page'!$C$3+1))*('Summary Page'!$C$3+1)</f>
        <v>117.96875</v>
      </c>
      <c r="AF12" s="7">
        <f>((AVERAGE(AA12,AC12)*('Summary Page'!$C$4+1))*('Summary Page'!$C$4+1))*('Summary Page'!$C$4+1)</f>
        <v>104.37119999999997</v>
      </c>
      <c r="AG12" s="7">
        <v>80</v>
      </c>
      <c r="AJ12" s="40"/>
      <c r="AK12" s="7">
        <f>((AVERAGE(B7:B12)*('Summary Page'!$C$2+1))*('Summary Page'!$C$2+1))*('Summary Page'!$C$2+1)</f>
        <v>152.18735999999998</v>
      </c>
      <c r="AL12" s="7">
        <f>((AVERAGE(B7:B12)*('Summary Page'!$C$3+1))*('Summary Page'!$C$3+1))*('Summary Page'!$C$3+1)</f>
        <v>190.4296875</v>
      </c>
      <c r="AM12" s="8">
        <f>((AVERAGE(B7:B12)*('Summary Page'!$C$4+1))*('Summary Page'!$C$4+1))*('Summary Page'!$C$4+1)</f>
        <v>168.48</v>
      </c>
      <c r="AP12" s="40"/>
      <c r="AQ12" s="7">
        <f>((AVERAGE(C7:C12)*('Summary Page'!$C$2+1))*('Summary Page'!$C$2+1))*('Summary Page'!$C$2+1)</f>
        <v>106.40107733333332</v>
      </c>
      <c r="AR12" s="7">
        <f>((AVERAGE(C7:C12)*('Summary Page'!$C$3+1))*('Summary Page'!$C$3+1))*('Summary Page'!$C$3+1)</f>
        <v>133.13802083333337</v>
      </c>
      <c r="AS12" s="7">
        <f>((AVERAGE(C7:C12)*('Summary Page'!$C$4+1))*('Summary Page'!$C$4+1))*('Summary Page'!$C$4+1)</f>
        <v>117.79199999999999</v>
      </c>
      <c r="AV12" s="40"/>
      <c r="AW12" s="7">
        <f>((AVERAGE(D7:D12)*('Summary Page'!$C$2+1))*('Summary Page'!$C$2+1))*('Summary Page'!$C$2+1)</f>
        <v>110.30331733333331</v>
      </c>
      <c r="AX12" s="7">
        <f>((AVERAGE(D7:D12)*('Summary Page'!$C$3+1))*('Summary Page'!$C$3+1))*('Summary Page'!$C$3+1)</f>
        <v>138.02083333333337</v>
      </c>
      <c r="AY12" s="8">
        <f>((AVERAGE(D7:D12)*('Summary Page'!$C$4+1))*('Summary Page'!$C$4+1))*('Summary Page'!$C$4+1)</f>
        <v>122.11199999999998</v>
      </c>
      <c r="BB12" s="40"/>
      <c r="BC12" s="30">
        <f>((AVERAGE(E7:E12)*('Summary Page'!$C$2+1))*('Summary Page'!$C$2+1))*('Summary Page'!$C$2+1)</f>
        <v>128.51377066666663</v>
      </c>
      <c r="BD12" s="30">
        <f>((AVERAGE(E7:E12)*('Summary Page'!$C$3+1))*('Summary Page'!$C$3+1))*('Summary Page'!$C$3+1)</f>
        <v>160.80729166666663</v>
      </c>
      <c r="BE12" s="32">
        <f>((AVERAGE(E7:E12)*('Summary Page'!$C$4+1))*('Summary Page'!$C$4+1))*('Summary Page'!$C$4+1)</f>
        <v>142.27199999999999</v>
      </c>
      <c r="BH12" s="40"/>
      <c r="BI12" s="7" t="e">
        <f>((AVERAGE(N7:N12)*('Summary Page'!$C$2+1))*('Summary Page'!$C$2+1))*('Summary Page'!$C$2+1)</f>
        <v>#DIV/0!</v>
      </c>
      <c r="BJ12" s="7" t="e">
        <f>((AVERAGE(N7:N12)*('Summary Page'!$C$3+1))*('Summary Page'!$C$3+1))*('Summary Page'!$C$3+1)</f>
        <v>#DIV/0!</v>
      </c>
      <c r="BK12" s="7" t="e">
        <f>((AVERAGE(N7:N12)*('Summary Page'!$C$4+1))*('Summary Page'!$C$4+1))*('Summary Page'!$C$4+1)</f>
        <v>#DIV/0!</v>
      </c>
      <c r="BL12" s="9"/>
    </row>
    <row r="13" spans="1:162" ht="15.75" x14ac:dyDescent="0.25">
      <c r="A13" s="20">
        <v>43479</v>
      </c>
      <c r="B13" s="99">
        <v>103</v>
      </c>
      <c r="C13" s="40">
        <v>67</v>
      </c>
      <c r="D13" s="64">
        <v>66</v>
      </c>
      <c r="E13" s="531">
        <v>70</v>
      </c>
      <c r="F13" s="99"/>
      <c r="G13" s="40"/>
      <c r="H13" s="40"/>
      <c r="I13" s="94"/>
      <c r="J13" s="99"/>
      <c r="K13" s="40"/>
      <c r="L13" s="40"/>
      <c r="M13" s="94"/>
      <c r="N13" s="40"/>
      <c r="O13" s="40"/>
      <c r="P13" s="40"/>
      <c r="Q13" s="99"/>
      <c r="R13" s="40"/>
      <c r="S13" s="94"/>
      <c r="T13" s="40"/>
      <c r="U13" s="40"/>
      <c r="V13" s="40"/>
      <c r="W13" s="99"/>
      <c r="X13" s="40"/>
      <c r="Y13" s="94"/>
      <c r="Z13" s="40"/>
      <c r="AA13" s="2">
        <f t="shared" si="1"/>
        <v>61.2</v>
      </c>
      <c r="AB13" s="2"/>
      <c r="AC13" s="2"/>
      <c r="AD13" s="7">
        <f>((AVERAGE(AA13,AC13)*('Summary Page'!$C$2+1))*('Summary Page'!$C$2+1))*('Summary Page'!$C$2+1)</f>
        <v>95.526835199999994</v>
      </c>
      <c r="AE13" s="7">
        <f>((AVERAGE(AA13,AC13)*('Summary Page'!$C$3+1))*('Summary Page'!$C$3+1))*('Summary Page'!$C$3+1)</f>
        <v>119.53125</v>
      </c>
      <c r="AF13" s="7">
        <f>((AVERAGE(AA13,AC13)*('Summary Page'!$C$4+1))*('Summary Page'!$C$4+1))*('Summary Page'!$C$4+1)</f>
        <v>105.75359999999999</v>
      </c>
      <c r="AG13" s="7">
        <v>80</v>
      </c>
      <c r="AJ13" s="40"/>
      <c r="AK13" s="7">
        <f>((AVERAGE(B8:B13)*('Summary Page'!$C$2+1))*('Summary Page'!$C$2+1))*('Summary Page'!$C$2+1)</f>
        <v>153.22795733333331</v>
      </c>
      <c r="AL13" s="7">
        <f>((AVERAGE(B8:B13)*('Summary Page'!$C$3+1))*('Summary Page'!$C$3+1))*('Summary Page'!$C$3+1)</f>
        <v>191.73177083333337</v>
      </c>
      <c r="AM13" s="8">
        <f>((AVERAGE(B8:B13)*('Summary Page'!$C$4+1))*('Summary Page'!$C$4+1))*('Summary Page'!$C$4+1)</f>
        <v>169.63199999999998</v>
      </c>
      <c r="AP13" s="40"/>
      <c r="AQ13" s="7">
        <f>((AVERAGE(C8:C13)*('Summary Page'!$C$2+1))*('Summary Page'!$C$2+1))*('Summary Page'!$C$2+1)</f>
        <v>103.27928533333331</v>
      </c>
      <c r="AR13" s="7">
        <f>((AVERAGE(C8:C13)*('Summary Page'!$C$3+1))*('Summary Page'!$C$3+1))*('Summary Page'!$C$3+1)</f>
        <v>129.23177083333337</v>
      </c>
      <c r="AS13" s="7">
        <f>((AVERAGE(C8:C13)*('Summary Page'!$C$4+1))*('Summary Page'!$C$4+1))*('Summary Page'!$C$4+1)</f>
        <v>114.336</v>
      </c>
      <c r="AV13" s="40"/>
      <c r="AW13" s="7">
        <f>((AVERAGE(D8:D13)*('Summary Page'!$C$2+1))*('Summary Page'!$C$2+1))*('Summary Page'!$C$2+1)</f>
        <v>109.00257066666664</v>
      </c>
      <c r="AX13" s="7">
        <f>((AVERAGE(D8:D13)*('Summary Page'!$C$3+1))*('Summary Page'!$C$3+1))*('Summary Page'!$C$3+1)</f>
        <v>136.39322916666663</v>
      </c>
      <c r="AY13" s="8">
        <f>((AVERAGE(D8:D13)*('Summary Page'!$C$4+1))*('Summary Page'!$C$4+1))*('Summary Page'!$C$4+1)</f>
        <v>120.67199999999998</v>
      </c>
      <c r="BB13" s="40"/>
      <c r="BC13" s="30">
        <f>((AVERAGE(E8:E13)*('Summary Page'!$C$2+1))*('Summary Page'!$C$2+1))*('Summary Page'!$C$2+1)</f>
        <v>121.74988799999997</v>
      </c>
      <c r="BD13" s="30">
        <f>((AVERAGE(E8:E13)*('Summary Page'!$C$3+1))*('Summary Page'!$C$3+1))*('Summary Page'!$C$3+1)</f>
        <v>152.34375</v>
      </c>
      <c r="BE13" s="32">
        <f>((AVERAGE(E8:E13)*('Summary Page'!$C$4+1))*('Summary Page'!$C$4+1))*('Summary Page'!$C$4+1)</f>
        <v>134.78399999999999</v>
      </c>
      <c r="BH13" s="40"/>
      <c r="BI13" s="7" t="e">
        <f>((AVERAGE(N8:N13)*('Summary Page'!$C$2+1))*('Summary Page'!$C$2+1))*('Summary Page'!$C$2+1)</f>
        <v>#DIV/0!</v>
      </c>
      <c r="BJ13" s="7" t="e">
        <f>((AVERAGE(N8:N13)*('Summary Page'!$C$3+1))*('Summary Page'!$C$3+1))*('Summary Page'!$C$3+1)</f>
        <v>#DIV/0!</v>
      </c>
      <c r="BK13" s="7" t="e">
        <f>((AVERAGE(N8:N13)*('Summary Page'!$C$4+1))*('Summary Page'!$C$4+1))*('Summary Page'!$C$4+1)</f>
        <v>#DIV/0!</v>
      </c>
      <c r="BL13" s="9"/>
    </row>
    <row r="14" spans="1:162" ht="15.75" x14ac:dyDescent="0.25">
      <c r="A14" s="20">
        <v>43493</v>
      </c>
      <c r="B14" s="99">
        <v>100</v>
      </c>
      <c r="C14" s="40">
        <v>76</v>
      </c>
      <c r="D14" s="64">
        <v>74</v>
      </c>
      <c r="E14" s="531">
        <v>78</v>
      </c>
      <c r="F14" s="99"/>
      <c r="G14" s="40"/>
      <c r="H14" s="40"/>
      <c r="I14" s="94"/>
      <c r="J14" s="99"/>
      <c r="K14" s="40"/>
      <c r="L14" s="40"/>
      <c r="M14" s="94"/>
      <c r="N14" s="40"/>
      <c r="O14" s="40"/>
      <c r="P14" s="40"/>
      <c r="Q14" s="99"/>
      <c r="R14" s="40"/>
      <c r="S14" s="94"/>
      <c r="T14" s="40"/>
      <c r="U14" s="40"/>
      <c r="V14" s="40"/>
      <c r="W14" s="99"/>
      <c r="X14" s="40"/>
      <c r="Y14" s="94"/>
      <c r="Z14" s="40"/>
      <c r="AA14" s="2">
        <f t="shared" si="1"/>
        <v>65.599999999999994</v>
      </c>
      <c r="AB14" s="2"/>
      <c r="AC14" s="2"/>
      <c r="AD14" s="7">
        <f>((AVERAGE(AA14,AC14)*('Summary Page'!$C$2+1))*('Summary Page'!$C$2+1))*('Summary Page'!$C$2+1)</f>
        <v>102.39477759999998</v>
      </c>
      <c r="AE14" s="7">
        <f>((AVERAGE(AA14,AC14)*('Summary Page'!$C$3+1))*('Summary Page'!$C$3+1))*('Summary Page'!$C$3+1)</f>
        <v>128.125</v>
      </c>
      <c r="AF14" s="7">
        <f>((AVERAGE(AA14,AC14)*('Summary Page'!$C$4+1))*('Summary Page'!$C$4+1))*('Summary Page'!$C$4+1)</f>
        <v>113.35679999999998</v>
      </c>
      <c r="AG14" s="7">
        <v>80</v>
      </c>
      <c r="AJ14" s="40"/>
      <c r="AK14" s="7">
        <f>((AVERAGE(B9:B14)*('Summary Page'!$C$2+1))*('Summary Page'!$C$2+1))*('Summary Page'!$C$2+1)</f>
        <v>154.52870399999998</v>
      </c>
      <c r="AL14" s="7">
        <f>((AVERAGE(B9:B14)*('Summary Page'!$C$3+1))*('Summary Page'!$C$3+1))*('Summary Page'!$C$3+1)</f>
        <v>193.359375</v>
      </c>
      <c r="AM14" s="8">
        <f>((AVERAGE(B9:B14)*('Summary Page'!$C$4+1))*('Summary Page'!$C$4+1))*('Summary Page'!$C$4+1)</f>
        <v>171.072</v>
      </c>
      <c r="AP14" s="40"/>
      <c r="AQ14" s="7">
        <f>((AVERAGE(C9:C14)*('Summary Page'!$C$2+1))*('Summary Page'!$C$2+1))*('Summary Page'!$C$2+1)</f>
        <v>104.05973333333331</v>
      </c>
      <c r="AR14" s="7">
        <f>((AVERAGE(C9:C14)*('Summary Page'!$C$3+1))*('Summary Page'!$C$3+1))*('Summary Page'!$C$3+1)</f>
        <v>130.20833333333337</v>
      </c>
      <c r="AS14" s="7">
        <f>((AVERAGE(C9:C14)*('Summary Page'!$C$4+1))*('Summary Page'!$C$4+1))*('Summary Page'!$C$4+1)</f>
        <v>115.19999999999999</v>
      </c>
      <c r="AV14" s="40"/>
      <c r="AW14" s="7">
        <f>((AVERAGE(D9:D14)*('Summary Page'!$C$2+1))*('Summary Page'!$C$2+1))*('Summary Page'!$C$2+1)</f>
        <v>109.52286933333332</v>
      </c>
      <c r="AX14" s="7">
        <f>((AVERAGE(D9:D14)*('Summary Page'!$C$3+1))*('Summary Page'!$C$3+1))*('Summary Page'!$C$3+1)</f>
        <v>137.04427083333337</v>
      </c>
      <c r="AY14" s="8">
        <f>((AVERAGE(D9:D14)*('Summary Page'!$C$4+1))*('Summary Page'!$C$4+1))*('Summary Page'!$C$4+1)</f>
        <v>121.248</v>
      </c>
      <c r="BB14" s="40"/>
      <c r="BC14" s="30">
        <f>((AVERAGE(E9:E14)*('Summary Page'!$C$2+1))*('Summary Page'!$C$2+1))*('Summary Page'!$C$2+1)</f>
        <v>118.36794666666664</v>
      </c>
      <c r="BD14" s="30">
        <f>((AVERAGE(E9:E14)*('Summary Page'!$C$3+1))*('Summary Page'!$C$3+1))*('Summary Page'!$C$3+1)</f>
        <v>148.11197916666663</v>
      </c>
      <c r="BE14" s="32">
        <f>((AVERAGE(E9:E14)*('Summary Page'!$C$4+1))*('Summary Page'!$C$4+1))*('Summary Page'!$C$4+1)</f>
        <v>131.03999999999996</v>
      </c>
      <c r="BH14" s="40"/>
      <c r="BI14" s="7" t="e">
        <f>((AVERAGE(N9:N14)*('Summary Page'!$C$2+1))*('Summary Page'!$C$2+1))*('Summary Page'!$C$2+1)</f>
        <v>#DIV/0!</v>
      </c>
      <c r="BJ14" s="7" t="e">
        <f>((AVERAGE(N9:N14)*('Summary Page'!$C$3+1))*('Summary Page'!$C$3+1))*('Summary Page'!$C$3+1)</f>
        <v>#DIV/0!</v>
      </c>
      <c r="BK14" s="7" t="e">
        <f>((AVERAGE(N9:N14)*('Summary Page'!$C$4+1))*('Summary Page'!$C$4+1))*('Summary Page'!$C$4+1)</f>
        <v>#DIV/0!</v>
      </c>
      <c r="BL14" s="9"/>
    </row>
    <row r="15" spans="1:162" ht="15.75" x14ac:dyDescent="0.25">
      <c r="A15" s="20">
        <v>43510</v>
      </c>
      <c r="B15" s="99">
        <v>87.5</v>
      </c>
      <c r="C15" s="40">
        <v>72</v>
      </c>
      <c r="D15" s="64">
        <v>69</v>
      </c>
      <c r="E15" s="531">
        <v>77</v>
      </c>
      <c r="F15" s="99"/>
      <c r="G15" s="40"/>
      <c r="H15" s="40"/>
      <c r="I15" s="94"/>
      <c r="J15" s="99"/>
      <c r="K15" s="40"/>
      <c r="L15" s="40"/>
      <c r="M15" s="94"/>
      <c r="N15" s="40"/>
      <c r="O15" s="40"/>
      <c r="P15" s="40"/>
      <c r="Q15" s="99"/>
      <c r="R15" s="40"/>
      <c r="S15" s="94"/>
      <c r="T15" s="40"/>
      <c r="U15" s="40"/>
      <c r="V15" s="40"/>
      <c r="W15" s="99"/>
      <c r="X15" s="40"/>
      <c r="Y15" s="94"/>
      <c r="Z15" s="40"/>
      <c r="AA15" s="2">
        <f t="shared" si="1"/>
        <v>61.1</v>
      </c>
      <c r="AB15" s="2"/>
      <c r="AC15" s="2"/>
      <c r="AD15" s="7">
        <f>((AVERAGE(AA15,AC15)*('Summary Page'!$C$2+1))*('Summary Page'!$C$2+1))*('Summary Page'!$C$2+1)</f>
        <v>95.370745599999978</v>
      </c>
      <c r="AE15" s="7">
        <f>((AVERAGE(AA15,AC15)*('Summary Page'!$C$3+1))*('Summary Page'!$C$3+1))*('Summary Page'!$C$3+1)</f>
        <v>119.3359375</v>
      </c>
      <c r="AF15" s="7">
        <f>((AVERAGE(AA15,AC15)*('Summary Page'!$C$4+1))*('Summary Page'!$C$4+1))*('Summary Page'!$C$4+1)</f>
        <v>105.5808</v>
      </c>
      <c r="AG15" s="7">
        <v>80</v>
      </c>
      <c r="AJ15" s="40"/>
      <c r="AK15" s="7">
        <f>((AVERAGE(B10:B15)*('Summary Page'!$C$2+1))*('Summary Page'!$C$2+1))*('Summary Page'!$C$2+1)</f>
        <v>152.83773333333332</v>
      </c>
      <c r="AL15" s="7">
        <f>((AVERAGE(B10:B15)*('Summary Page'!$C$3+1))*('Summary Page'!$C$3+1))*('Summary Page'!$C$3+1)</f>
        <v>191.24348958333337</v>
      </c>
      <c r="AM15" s="8">
        <f>((AVERAGE(B10:B15)*('Summary Page'!$C$4+1))*('Summary Page'!$C$4+1))*('Summary Page'!$C$4+1)</f>
        <v>169.2</v>
      </c>
      <c r="AP15" s="40"/>
      <c r="AQ15" s="7">
        <f>((AVERAGE(C10:C15)*('Summary Page'!$C$2+1))*('Summary Page'!$C$2+1))*('Summary Page'!$C$2+1)</f>
        <v>105.62062933333333</v>
      </c>
      <c r="AR15" s="7">
        <f>((AVERAGE(C10:C15)*('Summary Page'!$C$3+1))*('Summary Page'!$C$3+1))*('Summary Page'!$C$3+1)</f>
        <v>132.16145833333337</v>
      </c>
      <c r="AS15" s="7">
        <f>((AVERAGE(C10:C15)*('Summary Page'!$C$4+1))*('Summary Page'!$C$4+1))*('Summary Page'!$C$4+1)</f>
        <v>116.928</v>
      </c>
      <c r="AV15" s="40"/>
      <c r="AW15" s="7">
        <f>((AVERAGE(D10:D15)*('Summary Page'!$C$2+1))*('Summary Page'!$C$2+1))*('Summary Page'!$C$2+1)</f>
        <v>107.44167466666663</v>
      </c>
      <c r="AX15" s="7">
        <f>((AVERAGE(D10:D15)*('Summary Page'!$C$3+1))*('Summary Page'!$C$3+1))*('Summary Page'!$C$3+1)</f>
        <v>134.44010416666663</v>
      </c>
      <c r="AY15" s="8">
        <f>((AVERAGE(D10:D15)*('Summary Page'!$C$4+1))*('Summary Page'!$C$4+1))*('Summary Page'!$C$4+1)</f>
        <v>118.94399999999999</v>
      </c>
      <c r="BB15" s="40"/>
      <c r="BC15" s="30">
        <f>((AVERAGE(E10:E15)*('Summary Page'!$C$2+1))*('Summary Page'!$C$2+1))*('Summary Page'!$C$2+1)</f>
        <v>117.06719999999997</v>
      </c>
      <c r="BD15" s="30">
        <f>((AVERAGE(E10:E15)*('Summary Page'!$C$3+1))*('Summary Page'!$C$3+1))*('Summary Page'!$C$3+1)</f>
        <v>146.484375</v>
      </c>
      <c r="BE15" s="32">
        <f>((AVERAGE(E10:E15)*('Summary Page'!$C$4+1))*('Summary Page'!$C$4+1))*('Summary Page'!$C$4+1)</f>
        <v>129.6</v>
      </c>
      <c r="BH15" s="40"/>
      <c r="BI15" s="7" t="e">
        <f>((AVERAGE(N10:N15)*('Summary Page'!$C$2+1))*('Summary Page'!$C$2+1))*('Summary Page'!$C$2+1)</f>
        <v>#DIV/0!</v>
      </c>
      <c r="BJ15" s="7" t="e">
        <f>((AVERAGE(N10:N15)*('Summary Page'!$C$3+1))*('Summary Page'!$C$3+1))*('Summary Page'!$C$3+1)</f>
        <v>#DIV/0!</v>
      </c>
      <c r="BK15" s="7" t="e">
        <f>((AVERAGE(N10:N15)*('Summary Page'!$C$4+1))*('Summary Page'!$C$4+1))*('Summary Page'!$C$4+1)</f>
        <v>#DIV/0!</v>
      </c>
      <c r="BL15" s="9"/>
    </row>
    <row r="16" spans="1:162" s="31" customFormat="1" ht="15.75" x14ac:dyDescent="0.25">
      <c r="A16" s="20">
        <v>43525</v>
      </c>
      <c r="B16" s="102">
        <v>80</v>
      </c>
      <c r="C16" s="88">
        <v>69</v>
      </c>
      <c r="D16" s="87">
        <v>70</v>
      </c>
      <c r="E16" s="122">
        <v>66</v>
      </c>
      <c r="F16" s="102"/>
      <c r="G16" s="88"/>
      <c r="H16" s="88"/>
      <c r="I16" s="107"/>
      <c r="J16" s="102"/>
      <c r="K16" s="88"/>
      <c r="L16" s="88"/>
      <c r="M16" s="107"/>
      <c r="N16" s="88"/>
      <c r="O16" s="88"/>
      <c r="P16" s="88"/>
      <c r="Q16" s="102"/>
      <c r="R16" s="88"/>
      <c r="S16" s="107"/>
      <c r="T16" s="88"/>
      <c r="U16" s="88"/>
      <c r="V16" s="88"/>
      <c r="W16" s="102"/>
      <c r="X16" s="88"/>
      <c r="Y16" s="107"/>
      <c r="Z16" s="88"/>
      <c r="AA16" s="33">
        <f t="shared" si="1"/>
        <v>57</v>
      </c>
      <c r="AB16" s="33"/>
      <c r="AC16" s="33"/>
      <c r="AD16" s="30">
        <f>((AVERAGE(AA5:AA16)*('Summary Page'!$C$2+1))*('Summary Page'!$C$2+1))*('Summary Page'!$C$2+1)</f>
        <v>98.97381386666666</v>
      </c>
      <c r="AE16" s="30">
        <f>((AVERAGE(AA5:AA16)*('Summary Page'!$C$3+1))*('Summary Page'!$C$3+1))*('Summary Page'!$C$3+1)</f>
        <v>123.84440104166669</v>
      </c>
      <c r="AF16" s="30">
        <f>((AVERAGE(AA5:AA16)*('Summary Page'!$C$4+1))*('Summary Page'!$C$4+1))*('Summary Page'!$C$4+1)</f>
        <v>109.56960000000001</v>
      </c>
      <c r="AG16" s="30">
        <v>80</v>
      </c>
      <c r="AJ16" s="88"/>
      <c r="AK16" s="7">
        <f>((AVERAGE(B11:B16)*('Summary Page'!$C$2+1))*('Summary Page'!$C$2+1))*('Summary Page'!$C$2+1)</f>
        <v>148.41519466666662</v>
      </c>
      <c r="AL16" s="7">
        <f>((AVERAGE(B11:B16)*('Summary Page'!$C$3+1))*('Summary Page'!$C$3+1))*('Summary Page'!$C$3+1)</f>
        <v>185.70963541666663</v>
      </c>
      <c r="AM16" s="8">
        <f>((AVERAGE(B11:B16)*('Summary Page'!$C$4+1))*('Summary Page'!$C$4+1))*('Summary Page'!$C$4+1)</f>
        <v>164.30399999999997</v>
      </c>
      <c r="AP16" s="88"/>
      <c r="AQ16" s="7">
        <f>((AVERAGE(C11:C16)*('Summary Page'!$C$2+1))*('Summary Page'!$C$2+1))*('Summary Page'!$C$2+1)</f>
        <v>106.66122666666664</v>
      </c>
      <c r="AR16" s="7">
        <f>((AVERAGE(C11:C16)*('Summary Page'!$C$3+1))*('Summary Page'!$C$3+1))*('Summary Page'!$C$3+1)</f>
        <v>133.46354166666663</v>
      </c>
      <c r="AS16" s="7">
        <f>((AVERAGE(C11:C16)*('Summary Page'!$C$4+1))*('Summary Page'!$C$4+1))*('Summary Page'!$C$4+1)</f>
        <v>118.07999999999997</v>
      </c>
      <c r="AV16" s="88"/>
      <c r="AW16" s="7">
        <f>((AVERAGE(D11:D16)*('Summary Page'!$C$2+1))*('Summary Page'!$C$2+1))*('Summary Page'!$C$2+1)</f>
        <v>107.44167466666663</v>
      </c>
      <c r="AX16" s="7">
        <f>((AVERAGE(D11:D16)*('Summary Page'!$C$3+1))*('Summary Page'!$C$3+1))*('Summary Page'!$C$3+1)</f>
        <v>134.44010416666663</v>
      </c>
      <c r="AY16" s="8">
        <f>((AVERAGE(D11:D16)*('Summary Page'!$C$4+1))*('Summary Page'!$C$4+1))*('Summary Page'!$C$4+1)</f>
        <v>118.94399999999999</v>
      </c>
      <c r="BB16" s="88"/>
      <c r="BC16" s="30">
        <f>((AVERAGE(E11:E16)*('Summary Page'!$C$2+1))*('Summary Page'!$C$2+1))*('Summary Page'!$C$2+1)</f>
        <v>113.16495999999998</v>
      </c>
      <c r="BD16" s="30">
        <f>((AVERAGE(E11:E16)*('Summary Page'!$C$3+1))*('Summary Page'!$C$3+1))*('Summary Page'!$C$3+1)</f>
        <v>141.6015625</v>
      </c>
      <c r="BE16" s="32">
        <f>((AVERAGE(E11:E16)*('Summary Page'!$C$4+1))*('Summary Page'!$C$4+1))*('Summary Page'!$C$4+1)</f>
        <v>125.27999999999999</v>
      </c>
      <c r="BH16" s="88"/>
      <c r="BI16" s="7" t="e">
        <f>((AVERAGE(N11:N16)*('Summary Page'!$C$2+1))*('Summary Page'!$C$2+1))*('Summary Page'!$C$2+1)</f>
        <v>#DIV/0!</v>
      </c>
      <c r="BJ16" s="7" t="e">
        <f>((AVERAGE(N11:N16)*('Summary Page'!$C$3+1))*('Summary Page'!$C$3+1))*('Summary Page'!$C$3+1)</f>
        <v>#DIV/0!</v>
      </c>
      <c r="BK16" s="7" t="e">
        <f>((AVERAGE(N11:N16)*('Summary Page'!$C$4+1))*('Summary Page'!$C$4+1))*('Summary Page'!$C$4+1)</f>
        <v>#DIV/0!</v>
      </c>
      <c r="BL16"/>
      <c r="BM16"/>
      <c r="BN16"/>
      <c r="BO16"/>
      <c r="BP16"/>
      <c r="BQ16"/>
    </row>
    <row r="17" spans="1:75" ht="15.75" x14ac:dyDescent="0.25">
      <c r="A17" s="20">
        <v>43538</v>
      </c>
      <c r="B17" s="99">
        <v>78</v>
      </c>
      <c r="C17" s="40">
        <v>72</v>
      </c>
      <c r="D17" s="64">
        <v>72</v>
      </c>
      <c r="E17" s="531">
        <v>69</v>
      </c>
      <c r="F17" s="99"/>
      <c r="G17" s="40"/>
      <c r="H17" s="40"/>
      <c r="I17" s="94"/>
      <c r="J17" s="99"/>
      <c r="K17" s="40"/>
      <c r="L17" s="40"/>
      <c r="M17" s="94"/>
      <c r="N17" s="40"/>
      <c r="O17" s="40"/>
      <c r="P17" s="40"/>
      <c r="Q17" s="99"/>
      <c r="R17" s="40"/>
      <c r="S17" s="94"/>
      <c r="T17" s="40"/>
      <c r="U17" s="40"/>
      <c r="V17" s="40"/>
      <c r="W17" s="99"/>
      <c r="X17" s="40"/>
      <c r="Y17" s="94"/>
      <c r="Z17" s="40"/>
      <c r="AA17" s="2">
        <f t="shared" si="1"/>
        <v>58.2</v>
      </c>
      <c r="AB17" s="2"/>
      <c r="AC17" s="2"/>
      <c r="AD17" s="30">
        <f>((AVERAGE(AA6:AA17)*('Summary Page'!$C$2+1))*('Summary Page'!$C$2+1))*('Summary Page'!$C$2+1)</f>
        <v>97.69908213333332</v>
      </c>
      <c r="AE17" s="30">
        <f>((AVERAGE(AA6:AA17)*('Summary Page'!$C$3+1))*('Summary Page'!$C$3+1))*('Summary Page'!$C$3+1)</f>
        <v>122.24934895833336</v>
      </c>
      <c r="AF17" s="30">
        <f>((AVERAGE(AA6:AA17)*('Summary Page'!$C$4+1))*('Summary Page'!$C$4+1))*('Summary Page'!$C$4+1)</f>
        <v>108.15839999999999</v>
      </c>
      <c r="AG17" s="7">
        <v>80</v>
      </c>
      <c r="AJ17" s="40"/>
      <c r="AK17" s="7">
        <f>((AVERAGE(B12:B17)*('Summary Page'!$C$2+1))*('Summary Page'!$C$2+1))*('Summary Page'!$C$2+1)</f>
        <v>142.69190933333331</v>
      </c>
      <c r="AL17" s="7">
        <f>((AVERAGE(B12:B17)*('Summary Page'!$C$3+1))*('Summary Page'!$C$3+1))*('Summary Page'!$C$3+1)</f>
        <v>178.54817708333337</v>
      </c>
      <c r="AM17" s="8">
        <f>((AVERAGE(B12:B17)*('Summary Page'!$C$4+1))*('Summary Page'!$C$4+1))*('Summary Page'!$C$4+1)</f>
        <v>157.96799999999999</v>
      </c>
      <c r="AP17" s="40"/>
      <c r="AQ17" s="7">
        <f>((AVERAGE(C12:C17)*('Summary Page'!$C$2+1))*('Summary Page'!$C$2+1))*('Summary Page'!$C$2+1)</f>
        <v>109.00257066666664</v>
      </c>
      <c r="AR17" s="7">
        <f>((AVERAGE(C12:C17)*('Summary Page'!$C$3+1))*('Summary Page'!$C$3+1))*('Summary Page'!$C$3+1)</f>
        <v>136.39322916666663</v>
      </c>
      <c r="AS17" s="7">
        <f>((AVERAGE(C12:C17)*('Summary Page'!$C$4+1))*('Summary Page'!$C$4+1))*('Summary Page'!$C$4+1)</f>
        <v>120.67199999999998</v>
      </c>
      <c r="AV17" s="40"/>
      <c r="AW17" s="7">
        <f>((AVERAGE(D12:D17)*('Summary Page'!$C$2+1))*('Summary Page'!$C$2+1))*('Summary Page'!$C$2+1)</f>
        <v>108.74242133333333</v>
      </c>
      <c r="AX17" s="7">
        <f>((AVERAGE(D12:D17)*('Summary Page'!$C$3+1))*('Summary Page'!$C$3+1))*('Summary Page'!$C$3+1)</f>
        <v>136.06770833333337</v>
      </c>
      <c r="AY17" s="8">
        <f>((AVERAGE(D12:D17)*('Summary Page'!$C$4+1))*('Summary Page'!$C$4+1))*('Summary Page'!$C$4+1)</f>
        <v>120.384</v>
      </c>
      <c r="BB17" s="40"/>
      <c r="BC17" s="30">
        <f>((AVERAGE(E12:E17)*('Summary Page'!$C$2+1))*('Summary Page'!$C$2+1))*('Summary Page'!$C$2+1)</f>
        <v>112.38451199999997</v>
      </c>
      <c r="BD17" s="30">
        <f>((AVERAGE(E12:E17)*('Summary Page'!$C$3+1))*('Summary Page'!$C$3+1))*('Summary Page'!$C$3+1)</f>
        <v>140.625</v>
      </c>
      <c r="BE17" s="32">
        <f>((AVERAGE(E12:E17)*('Summary Page'!$C$4+1))*('Summary Page'!$C$4+1))*('Summary Page'!$C$4+1)</f>
        <v>124.41599999999998</v>
      </c>
      <c r="BH17" s="40"/>
      <c r="BI17" s="7" t="e">
        <f>((AVERAGE(N12:N17)*('Summary Page'!$C$2+1))*('Summary Page'!$C$2+1))*('Summary Page'!$C$2+1)</f>
        <v>#DIV/0!</v>
      </c>
      <c r="BJ17" s="7" t="e">
        <f>((AVERAGE(N12:N17)*('Summary Page'!$C$3+1))*('Summary Page'!$C$3+1))*('Summary Page'!$C$3+1)</f>
        <v>#DIV/0!</v>
      </c>
      <c r="BK17" s="7" t="e">
        <f>((AVERAGE(N12:N17)*('Summary Page'!$C$4+1))*('Summary Page'!$C$4+1))*('Summary Page'!$C$4+1)</f>
        <v>#DIV/0!</v>
      </c>
    </row>
    <row r="18" spans="1:75" ht="15.75" x14ac:dyDescent="0.25">
      <c r="A18" s="20">
        <v>43556</v>
      </c>
      <c r="B18" s="99">
        <v>78</v>
      </c>
      <c r="C18" s="40">
        <v>74</v>
      </c>
      <c r="D18" s="64">
        <v>73</v>
      </c>
      <c r="E18" s="531">
        <v>73</v>
      </c>
      <c r="F18" s="99"/>
      <c r="G18" s="40"/>
      <c r="H18" s="40"/>
      <c r="I18" s="94"/>
      <c r="J18" s="99"/>
      <c r="K18" s="40"/>
      <c r="L18" s="40"/>
      <c r="M18" s="94"/>
      <c r="N18" s="40"/>
      <c r="O18" s="40"/>
      <c r="P18" s="40"/>
      <c r="Q18" s="99"/>
      <c r="R18" s="40"/>
      <c r="S18" s="94"/>
      <c r="T18" s="40"/>
      <c r="U18" s="40"/>
      <c r="V18" s="40"/>
      <c r="W18" s="99"/>
      <c r="X18" s="40"/>
      <c r="Y18" s="94"/>
      <c r="Z18" s="40"/>
      <c r="AA18" s="2">
        <f t="shared" si="1"/>
        <v>59.6</v>
      </c>
      <c r="AB18" s="2"/>
      <c r="AC18" s="2"/>
      <c r="AD18" s="30">
        <f>((AVERAGE(AA7:AA18)*('Summary Page'!$C$2+1))*('Summary Page'!$C$2+1))*('Summary Page'!$C$2+1)</f>
        <v>96.918634133333299</v>
      </c>
      <c r="AE18" s="30">
        <f>((AVERAGE(AA7:AA18)*('Summary Page'!$C$3+1))*('Summary Page'!$C$3+1))*('Summary Page'!$C$3+1)</f>
        <v>121.27278645833336</v>
      </c>
      <c r="AF18" s="30">
        <f>((AVERAGE(AA7:AA18)*('Summary Page'!$C$4+1))*('Summary Page'!$C$4+1))*('Summary Page'!$C$4+1)</f>
        <v>107.29440000000001</v>
      </c>
      <c r="AG18" s="7">
        <v>80</v>
      </c>
      <c r="AJ18" s="40"/>
      <c r="AK18" s="7">
        <f>((AVERAGE(B13:B18)*('Summary Page'!$C$2+1))*('Summary Page'!$C$2+1))*('Summary Page'!$C$2+1)</f>
        <v>136.96862399999998</v>
      </c>
      <c r="AL18" s="7">
        <f>((AVERAGE(B13:B18)*('Summary Page'!$C$3+1))*('Summary Page'!$C$3+1))*('Summary Page'!$C$3+1)</f>
        <v>171.38671875</v>
      </c>
      <c r="AM18" s="8">
        <f>((AVERAGE(B13:B18)*('Summary Page'!$C$4+1))*('Summary Page'!$C$4+1))*('Summary Page'!$C$4+1)</f>
        <v>151.63199999999998</v>
      </c>
      <c r="AP18" s="40"/>
      <c r="AQ18" s="7">
        <f>((AVERAGE(C13:C18)*('Summary Page'!$C$2+1))*('Summary Page'!$C$2+1))*('Summary Page'!$C$2+1)</f>
        <v>111.86421333333332</v>
      </c>
      <c r="AR18" s="7">
        <f>((AVERAGE(C13:C18)*('Summary Page'!$C$3+1))*('Summary Page'!$C$3+1))*('Summary Page'!$C$3+1)</f>
        <v>139.97395833333337</v>
      </c>
      <c r="AS18" s="7">
        <f>((AVERAGE(C13:C18)*('Summary Page'!$C$4+1))*('Summary Page'!$C$4+1))*('Summary Page'!$C$4+1)</f>
        <v>123.84</v>
      </c>
      <c r="AV18" s="40"/>
      <c r="AW18" s="7">
        <f>((AVERAGE(D13:D18)*('Summary Page'!$C$2+1))*('Summary Page'!$C$2+1))*('Summary Page'!$C$2+1)</f>
        <v>110.30331733333331</v>
      </c>
      <c r="AX18" s="7">
        <f>((AVERAGE(D13:D18)*('Summary Page'!$C$3+1))*('Summary Page'!$C$3+1))*('Summary Page'!$C$3+1)</f>
        <v>138.02083333333337</v>
      </c>
      <c r="AY18" s="8">
        <f>((AVERAGE(D13:D18)*('Summary Page'!$C$4+1))*('Summary Page'!$C$4+1))*('Summary Page'!$C$4+1)</f>
        <v>122.11199999999998</v>
      </c>
      <c r="BB18" s="40"/>
      <c r="BC18" s="30">
        <f>((AVERAGE(E13:E18)*('Summary Page'!$C$2+1))*('Summary Page'!$C$2+1))*('Summary Page'!$C$2+1)</f>
        <v>112.64466133333333</v>
      </c>
      <c r="BD18" s="30">
        <f>((AVERAGE(E13:E18)*('Summary Page'!$C$3+1))*('Summary Page'!$C$3+1))*('Summary Page'!$C$3+1)</f>
        <v>140.95052083333337</v>
      </c>
      <c r="BE18" s="32">
        <f>((AVERAGE(E13:E18)*('Summary Page'!$C$4+1))*('Summary Page'!$C$4+1))*('Summary Page'!$C$4+1)</f>
        <v>124.70399999999999</v>
      </c>
      <c r="BH18" s="40"/>
      <c r="BI18" s="7" t="e">
        <f>((AVERAGE(N13:N18)*('Summary Page'!$C$2+1))*('Summary Page'!$C$2+1))*('Summary Page'!$C$2+1)</f>
        <v>#DIV/0!</v>
      </c>
      <c r="BJ18" s="7" t="e">
        <f>((AVERAGE(N13:N18)*('Summary Page'!$C$3+1))*('Summary Page'!$C$3+1))*('Summary Page'!$C$3+1)</f>
        <v>#DIV/0!</v>
      </c>
      <c r="BK18" s="7" t="e">
        <f>((AVERAGE(N13:N18)*('Summary Page'!$C$4+1))*('Summary Page'!$C$4+1))*('Summary Page'!$C$4+1)</f>
        <v>#DIV/0!</v>
      </c>
    </row>
    <row r="19" spans="1:75" ht="15.75" x14ac:dyDescent="0.25">
      <c r="A19" s="20">
        <v>43570</v>
      </c>
      <c r="B19" s="99">
        <v>83</v>
      </c>
      <c r="C19" s="40">
        <v>73</v>
      </c>
      <c r="D19" s="64">
        <v>73</v>
      </c>
      <c r="E19" s="531">
        <v>84</v>
      </c>
      <c r="F19" s="99"/>
      <c r="G19" s="40"/>
      <c r="H19" s="40"/>
      <c r="I19" s="94"/>
      <c r="J19" s="99"/>
      <c r="K19" s="40"/>
      <c r="L19" s="40"/>
      <c r="M19" s="94"/>
      <c r="N19" s="40"/>
      <c r="O19" s="40"/>
      <c r="P19" s="40"/>
      <c r="Q19" s="99"/>
      <c r="R19" s="40"/>
      <c r="S19" s="94"/>
      <c r="T19" s="40"/>
      <c r="U19" s="40"/>
      <c r="V19" s="40"/>
      <c r="W19" s="99"/>
      <c r="X19" s="40"/>
      <c r="Y19" s="94"/>
      <c r="Z19" s="40"/>
      <c r="AA19" s="2">
        <f t="shared" si="1"/>
        <v>62.6</v>
      </c>
      <c r="AB19" s="2"/>
      <c r="AC19" s="2"/>
      <c r="AD19" s="30">
        <f>((AVERAGE(AA8:AA19)*('Summary Page'!$C$2+1))*('Summary Page'!$C$2+1))*('Summary Page'!$C$2+1)</f>
        <v>96.086156266666663</v>
      </c>
      <c r="AE19" s="30">
        <f>((AVERAGE(AA8:AA19)*('Summary Page'!$C$3+1))*('Summary Page'!$C$3+1))*('Summary Page'!$C$3+1)</f>
        <v>120.23111979166669</v>
      </c>
      <c r="AF19" s="30">
        <f>((AVERAGE(AA8:AA19)*('Summary Page'!$C$4+1))*('Summary Page'!$C$4+1))*('Summary Page'!$C$4+1)</f>
        <v>106.3728</v>
      </c>
      <c r="AG19" s="7">
        <v>80</v>
      </c>
      <c r="AJ19" s="40"/>
      <c r="AK19" s="7">
        <f>((AVERAGE(B14:B19)*('Summary Page'!$C$2+1))*('Summary Page'!$C$2+1))*('Summary Page'!$C$2+1)</f>
        <v>131.76563733333333</v>
      </c>
      <c r="AL19" s="7">
        <f>((AVERAGE(B14:B19)*('Summary Page'!$C$3+1))*('Summary Page'!$C$3+1))*('Summary Page'!$C$3+1)</f>
        <v>164.87630208333337</v>
      </c>
      <c r="AM19" s="8">
        <f>((AVERAGE(B14:B19)*('Summary Page'!$C$4+1))*('Summary Page'!$C$4+1))*('Summary Page'!$C$4+1)</f>
        <v>145.87199999999999</v>
      </c>
      <c r="AP19" s="40"/>
      <c r="AQ19" s="7">
        <f>((AVERAGE(C14:C19)*('Summary Page'!$C$2+1))*('Summary Page'!$C$2+1))*('Summary Page'!$C$2+1)</f>
        <v>113.42510933333332</v>
      </c>
      <c r="AR19" s="7">
        <f>((AVERAGE(C14:C19)*('Summary Page'!$C$3+1))*('Summary Page'!$C$3+1))*('Summary Page'!$C$3+1)</f>
        <v>141.92708333333337</v>
      </c>
      <c r="AS19" s="7">
        <f>((AVERAGE(C14:C19)*('Summary Page'!$C$4+1))*('Summary Page'!$C$4+1))*('Summary Page'!$C$4+1)</f>
        <v>125.568</v>
      </c>
      <c r="AV19" s="40"/>
      <c r="AW19" s="7">
        <f>((AVERAGE(D14:D19)*('Summary Page'!$C$2+1))*('Summary Page'!$C$2+1))*('Summary Page'!$C$2+1)</f>
        <v>112.12436266666663</v>
      </c>
      <c r="AX19" s="7">
        <f>((AVERAGE(D14:D19)*('Summary Page'!$C$3+1))*('Summary Page'!$C$3+1))*('Summary Page'!$C$3+1)</f>
        <v>140.29947916666663</v>
      </c>
      <c r="AY19" s="8">
        <f>((AVERAGE(D14:D19)*('Summary Page'!$C$4+1))*('Summary Page'!$C$4+1))*('Summary Page'!$C$4+1)</f>
        <v>124.12799999999997</v>
      </c>
      <c r="BB19" s="40"/>
      <c r="BC19" s="30">
        <f>((AVERAGE(E14:E19)*('Summary Page'!$C$2+1))*('Summary Page'!$C$2+1))*('Summary Page'!$C$2+1)</f>
        <v>116.28675199999996</v>
      </c>
      <c r="BD19" s="30">
        <f>((AVERAGE(E14:E19)*('Summary Page'!$C$3+1))*('Summary Page'!$C$3+1))*('Summary Page'!$C$3+1)</f>
        <v>145.5078125</v>
      </c>
      <c r="BE19" s="32">
        <f>((AVERAGE(E14:E19)*('Summary Page'!$C$4+1))*('Summary Page'!$C$4+1))*('Summary Page'!$C$4+1)</f>
        <v>128.73599999999999</v>
      </c>
      <c r="BH19" s="40"/>
      <c r="BI19" s="7" t="e">
        <f>((AVERAGE(N14:N19)*('Summary Page'!$C$2+1))*('Summary Page'!$C$2+1))*('Summary Page'!$C$2+1)</f>
        <v>#DIV/0!</v>
      </c>
      <c r="BJ19" s="7" t="e">
        <f>((AVERAGE(N14:N19)*('Summary Page'!$C$3+1))*('Summary Page'!$C$3+1))*('Summary Page'!$C$3+1)</f>
        <v>#DIV/0!</v>
      </c>
      <c r="BK19" s="7" t="e">
        <f>((AVERAGE(N14:N19)*('Summary Page'!$C$4+1))*('Summary Page'!$C$4+1))*('Summary Page'!$C$4+1)</f>
        <v>#DIV/0!</v>
      </c>
    </row>
    <row r="20" spans="1:75" ht="15.75" x14ac:dyDescent="0.25">
      <c r="A20" s="20">
        <v>43586</v>
      </c>
      <c r="B20" s="99">
        <v>83</v>
      </c>
      <c r="C20" s="40">
        <v>72</v>
      </c>
      <c r="D20" s="64">
        <v>76</v>
      </c>
      <c r="E20" s="531">
        <v>80</v>
      </c>
      <c r="F20" s="99"/>
      <c r="G20" s="40"/>
      <c r="H20" s="40"/>
      <c r="I20" s="94"/>
      <c r="J20" s="99"/>
      <c r="K20" s="40"/>
      <c r="L20" s="40"/>
      <c r="M20" s="94"/>
      <c r="N20" s="40"/>
      <c r="O20" s="40"/>
      <c r="P20" s="40"/>
      <c r="Q20" s="99"/>
      <c r="R20" s="40"/>
      <c r="S20" s="94"/>
      <c r="T20" s="40"/>
      <c r="U20" s="40"/>
      <c r="V20" s="40"/>
      <c r="W20" s="99"/>
      <c r="X20" s="40"/>
      <c r="Y20" s="94"/>
      <c r="Z20" s="40"/>
      <c r="AA20" s="2">
        <f t="shared" si="1"/>
        <v>62.2</v>
      </c>
      <c r="AB20" s="2"/>
      <c r="AC20" s="2"/>
      <c r="AD20" s="30">
        <f>((AVERAGE(AA9:AA20)*('Summary Page'!$C$2+1))*('Summary Page'!$C$2+1))*('Summary Page'!$C$2+1)</f>
        <v>95.565857600000015</v>
      </c>
      <c r="AE20" s="30">
        <f>((AVERAGE(AA9:AA20)*('Summary Page'!$C$3+1))*('Summary Page'!$C$3+1))*('Summary Page'!$C$3+1)</f>
        <v>119.58007812500001</v>
      </c>
      <c r="AF20" s="30">
        <f>((AVERAGE(AA9:AA20)*('Summary Page'!$C$4+1))*('Summary Page'!$C$4+1))*('Summary Page'!$C$4+1)</f>
        <v>105.79680000000002</v>
      </c>
      <c r="AG20" s="7">
        <v>80</v>
      </c>
      <c r="AJ20" s="40"/>
      <c r="AK20" s="7">
        <f>((AVERAGE(B15:B20)*('Summary Page'!$C$2+1))*('Summary Page'!$C$2+1))*('Summary Page'!$C$2+1)</f>
        <v>127.34309866666663</v>
      </c>
      <c r="AL20" s="7">
        <f>((AVERAGE(B15:B20)*('Summary Page'!$C$3+1))*('Summary Page'!$C$3+1))*('Summary Page'!$C$3+1)</f>
        <v>159.34244791666663</v>
      </c>
      <c r="AM20" s="8">
        <f>((AVERAGE(B15:B20)*('Summary Page'!$C$4+1))*('Summary Page'!$C$4+1))*('Summary Page'!$C$4+1)</f>
        <v>140.97599999999997</v>
      </c>
      <c r="AP20" s="40"/>
      <c r="AQ20" s="7">
        <f>((AVERAGE(C15:C20)*('Summary Page'!$C$2+1))*('Summary Page'!$C$2+1))*('Summary Page'!$C$2+1)</f>
        <v>112.38451199999997</v>
      </c>
      <c r="AR20" s="7">
        <f>((AVERAGE(C15:C20)*('Summary Page'!$C$3+1))*('Summary Page'!$C$3+1))*('Summary Page'!$C$3+1)</f>
        <v>140.625</v>
      </c>
      <c r="AS20" s="7">
        <f>((AVERAGE(C15:C20)*('Summary Page'!$C$4+1))*('Summary Page'!$C$4+1))*('Summary Page'!$C$4+1)</f>
        <v>124.41599999999998</v>
      </c>
      <c r="AV20" s="40"/>
      <c r="AW20" s="7">
        <f>((AVERAGE(D15:D20)*('Summary Page'!$C$2+1))*('Summary Page'!$C$2+1))*('Summary Page'!$C$2+1)</f>
        <v>112.64466133333333</v>
      </c>
      <c r="AX20" s="7">
        <f>((AVERAGE(D15:D20)*('Summary Page'!$C$3+1))*('Summary Page'!$C$3+1))*('Summary Page'!$C$3+1)</f>
        <v>140.95052083333337</v>
      </c>
      <c r="AY20" s="8">
        <f>((AVERAGE(D15:D20)*('Summary Page'!$C$4+1))*('Summary Page'!$C$4+1))*('Summary Page'!$C$4+1)</f>
        <v>124.70399999999999</v>
      </c>
      <c r="BB20" s="40"/>
      <c r="BC20" s="30">
        <f>((AVERAGE(E15:E20)*('Summary Page'!$C$2+1))*('Summary Page'!$C$2+1))*('Summary Page'!$C$2+1)</f>
        <v>116.80705066666664</v>
      </c>
      <c r="BD20" s="30">
        <f>((AVERAGE(E15:E20)*('Summary Page'!$C$3+1))*('Summary Page'!$C$3+1))*('Summary Page'!$C$3+1)</f>
        <v>146.15885416666663</v>
      </c>
      <c r="BE20" s="32">
        <f>((AVERAGE(E15:E20)*('Summary Page'!$C$4+1))*('Summary Page'!$C$4+1))*('Summary Page'!$C$4+1)</f>
        <v>129.31199999999998</v>
      </c>
      <c r="BH20" s="40"/>
      <c r="BI20" s="7" t="e">
        <f>((AVERAGE(N15:N20)*('Summary Page'!$C$2+1))*('Summary Page'!$C$2+1))*('Summary Page'!$C$2+1)</f>
        <v>#DIV/0!</v>
      </c>
      <c r="BJ20" s="7" t="e">
        <f>((AVERAGE(N15:N20)*('Summary Page'!$C$3+1))*('Summary Page'!$C$3+1))*('Summary Page'!$C$3+1)</f>
        <v>#DIV/0!</v>
      </c>
      <c r="BK20" s="7" t="e">
        <f>((AVERAGE(N15:N20)*('Summary Page'!$C$4+1))*('Summary Page'!$C$4+1))*('Summary Page'!$C$4+1)</f>
        <v>#DIV/0!</v>
      </c>
    </row>
    <row r="21" spans="1:75" ht="15.75" x14ac:dyDescent="0.25">
      <c r="A21" s="20">
        <v>43599</v>
      </c>
      <c r="B21" s="99">
        <v>86.5</v>
      </c>
      <c r="C21" s="40">
        <v>81</v>
      </c>
      <c r="D21" s="64">
        <v>84</v>
      </c>
      <c r="E21" s="531">
        <v>90</v>
      </c>
      <c r="F21" s="99"/>
      <c r="G21" s="40"/>
      <c r="H21" s="40"/>
      <c r="I21" s="94"/>
      <c r="J21" s="99"/>
      <c r="K21" s="40"/>
      <c r="L21" s="40"/>
      <c r="M21" s="94"/>
      <c r="N21" s="40"/>
      <c r="O21" s="40"/>
      <c r="P21" s="40"/>
      <c r="Q21" s="99"/>
      <c r="R21" s="40"/>
      <c r="S21" s="94"/>
      <c r="T21" s="40"/>
      <c r="U21" s="40"/>
      <c r="V21" s="40"/>
      <c r="W21" s="99"/>
      <c r="X21" s="40"/>
      <c r="Y21" s="94"/>
      <c r="Z21" s="40"/>
      <c r="AA21" s="2">
        <f t="shared" si="1"/>
        <v>68.3</v>
      </c>
      <c r="AB21" s="2"/>
      <c r="AC21" s="2"/>
      <c r="AD21" s="30">
        <f>((AVERAGE(AA10:AA21)*('Summary Page'!$C$2+1))*('Summary Page'!$C$2+1))*('Summary Page'!$C$2+1)</f>
        <v>96.151193599999985</v>
      </c>
      <c r="AE21" s="30">
        <f>((AVERAGE(AA10:AA21)*('Summary Page'!$C$3+1))*('Summary Page'!$C$3+1))*('Summary Page'!$C$3+1)</f>
        <v>120.3125</v>
      </c>
      <c r="AF21" s="30">
        <f>((AVERAGE(AA10:AA21)*('Summary Page'!$C$4+1))*('Summary Page'!$C$4+1))*('Summary Page'!$C$4+1)</f>
        <v>106.44479999999999</v>
      </c>
      <c r="AG21" s="7">
        <v>80</v>
      </c>
      <c r="AJ21" s="40"/>
      <c r="AK21" s="7">
        <f>((AVERAGE(B16:B21)*('Summary Page'!$C$2+1))*('Summary Page'!$C$2+1))*('Summary Page'!$C$2+1)</f>
        <v>127.0829493333333</v>
      </c>
      <c r="AL21" s="7">
        <f>((AVERAGE(B16:B21)*('Summary Page'!$C$3+1))*('Summary Page'!$C$3+1))*('Summary Page'!$C$3+1)</f>
        <v>159.01692708333337</v>
      </c>
      <c r="AM21" s="8">
        <f>((AVERAGE(B16:B21)*('Summary Page'!$C$4+1))*('Summary Page'!$C$4+1))*('Summary Page'!$C$4+1)</f>
        <v>140.68799999999999</v>
      </c>
      <c r="AP21" s="40"/>
      <c r="AQ21" s="7">
        <f>((AVERAGE(C16:C21)*('Summary Page'!$C$2+1))*('Summary Page'!$C$2+1))*('Summary Page'!$C$2+1)</f>
        <v>114.72585599999998</v>
      </c>
      <c r="AR21" s="7">
        <f>((AVERAGE(C16:C21)*('Summary Page'!$C$3+1))*('Summary Page'!$C$3+1))*('Summary Page'!$C$3+1)</f>
        <v>143.5546875</v>
      </c>
      <c r="AS21" s="7">
        <f>((AVERAGE(C16:C21)*('Summary Page'!$C$4+1))*('Summary Page'!$C$4+1))*('Summary Page'!$C$4+1)</f>
        <v>127.008</v>
      </c>
      <c r="AV21" s="40"/>
      <c r="AW21" s="7">
        <f>((AVERAGE(D16:D21)*('Summary Page'!$C$2+1))*('Summary Page'!$C$2+1))*('Summary Page'!$C$2+1)</f>
        <v>116.54690133333331</v>
      </c>
      <c r="AX21" s="7">
        <f>((AVERAGE(D16:D21)*('Summary Page'!$C$3+1))*('Summary Page'!$C$3+1))*('Summary Page'!$C$3+1)</f>
        <v>145.83333333333337</v>
      </c>
      <c r="AY21" s="8">
        <f>((AVERAGE(D16:D21)*('Summary Page'!$C$4+1))*('Summary Page'!$C$4+1))*('Summary Page'!$C$4+1)</f>
        <v>129.024</v>
      </c>
      <c r="BB21" s="40"/>
      <c r="BC21" s="30">
        <f>((AVERAGE(E16:E21)*('Summary Page'!$C$2+1))*('Summary Page'!$C$2+1))*('Summary Page'!$C$2+1)</f>
        <v>120.18899199999997</v>
      </c>
      <c r="BD21" s="30">
        <f>((AVERAGE(E16:E21)*('Summary Page'!$C$3+1))*('Summary Page'!$C$3+1))*('Summary Page'!$C$3+1)</f>
        <v>150.390625</v>
      </c>
      <c r="BE21" s="32">
        <f>((AVERAGE(E16:E21)*('Summary Page'!$C$4+1))*('Summary Page'!$C$4+1))*('Summary Page'!$C$4+1)</f>
        <v>133.05599999999998</v>
      </c>
      <c r="BH21" s="40"/>
      <c r="BI21" s="7" t="e">
        <f>((AVERAGE(N16:N21)*('Summary Page'!$C$2+1))*('Summary Page'!$C$2+1))*('Summary Page'!$C$2+1)</f>
        <v>#DIV/0!</v>
      </c>
      <c r="BJ21" s="7" t="e">
        <f>((AVERAGE(N16:N21)*('Summary Page'!$C$3+1))*('Summary Page'!$C$3+1))*('Summary Page'!$C$3+1)</f>
        <v>#DIV/0!</v>
      </c>
      <c r="BK21" s="7" t="e">
        <f>((AVERAGE(N16:N21)*('Summary Page'!$C$4+1))*('Summary Page'!$C$4+1))*('Summary Page'!$C$4+1)</f>
        <v>#DIV/0!</v>
      </c>
    </row>
    <row r="22" spans="1:75" ht="15.75" x14ac:dyDescent="0.25">
      <c r="A22" s="20">
        <v>43617</v>
      </c>
      <c r="B22" s="99">
        <v>64</v>
      </c>
      <c r="C22" s="40">
        <v>79</v>
      </c>
      <c r="D22" s="64">
        <v>84</v>
      </c>
      <c r="E22" s="531">
        <v>91</v>
      </c>
      <c r="F22" s="99"/>
      <c r="G22" s="40"/>
      <c r="H22" s="40"/>
      <c r="I22" s="94"/>
      <c r="J22" s="99"/>
      <c r="K22" s="40"/>
      <c r="L22" s="40"/>
      <c r="M22" s="94"/>
      <c r="N22" s="40"/>
      <c r="O22" s="40"/>
      <c r="P22" s="40"/>
      <c r="Q22" s="99"/>
      <c r="R22" s="40"/>
      <c r="S22" s="94"/>
      <c r="T22" s="40"/>
      <c r="U22" s="40"/>
      <c r="V22" s="40"/>
      <c r="W22" s="99"/>
      <c r="X22" s="40"/>
      <c r="Y22" s="94"/>
      <c r="Z22" s="40"/>
      <c r="AA22" s="2">
        <f t="shared" si="1"/>
        <v>63.6</v>
      </c>
      <c r="AB22" s="2"/>
      <c r="AC22" s="2"/>
      <c r="AD22" s="30">
        <f>((AVERAGE(AA11:AA22)*('Summary Page'!$C$2+1))*('Summary Page'!$C$2+1))*('Summary Page'!$C$2+1)</f>
        <v>96.281268266666657</v>
      </c>
      <c r="AE22" s="30">
        <f>((AVERAGE(AA11:AA22)*('Summary Page'!$C$3+1))*('Summary Page'!$C$3+1))*('Summary Page'!$C$3+1)</f>
        <v>120.47526041666669</v>
      </c>
      <c r="AF22" s="30">
        <f>((AVERAGE(AA11:AA22)*('Summary Page'!$C$4+1))*('Summary Page'!$C$4+1))*('Summary Page'!$C$4+1)</f>
        <v>106.58879999999999</v>
      </c>
      <c r="AG22" s="7">
        <v>80</v>
      </c>
      <c r="AJ22" s="40"/>
      <c r="AK22" s="7">
        <f>((AVERAGE(B17:B22)*('Summary Page'!$C$2+1))*('Summary Page'!$C$2+1))*('Summary Page'!$C$2+1)</f>
        <v>122.92055999999997</v>
      </c>
      <c r="AL22" s="7">
        <f>((AVERAGE(B17:B22)*('Summary Page'!$C$3+1))*('Summary Page'!$C$3+1))*('Summary Page'!$C$3+1)</f>
        <v>153.80859375</v>
      </c>
      <c r="AM22" s="8">
        <f>((AVERAGE(B17:B22)*('Summary Page'!$C$4+1))*('Summary Page'!$C$4+1))*('Summary Page'!$C$4+1)</f>
        <v>136.07999999999998</v>
      </c>
      <c r="AP22" s="40"/>
      <c r="AQ22" s="7">
        <f>((AVERAGE(C17:C22)*('Summary Page'!$C$2+1))*('Summary Page'!$C$2+1))*('Summary Page'!$C$2+1)</f>
        <v>117.3273493333333</v>
      </c>
      <c r="AR22" s="7">
        <f>((AVERAGE(C17:C22)*('Summary Page'!$C$3+1))*('Summary Page'!$C$3+1))*('Summary Page'!$C$3+1)</f>
        <v>146.80989583333337</v>
      </c>
      <c r="AS22" s="7">
        <f>((AVERAGE(C17:C22)*('Summary Page'!$C$4+1))*('Summary Page'!$C$4+1))*('Summary Page'!$C$4+1)</f>
        <v>129.88799999999998</v>
      </c>
      <c r="AV22" s="40"/>
      <c r="AW22" s="7">
        <f>((AVERAGE(D17:D22)*('Summary Page'!$C$2+1))*('Summary Page'!$C$2+1))*('Summary Page'!$C$2+1)</f>
        <v>120.18899199999997</v>
      </c>
      <c r="AX22" s="7">
        <f>((AVERAGE(D17:D22)*('Summary Page'!$C$3+1))*('Summary Page'!$C$3+1))*('Summary Page'!$C$3+1)</f>
        <v>150.390625</v>
      </c>
      <c r="AY22" s="8">
        <f>((AVERAGE(D17:D22)*('Summary Page'!$C$4+1))*('Summary Page'!$C$4+1))*('Summary Page'!$C$4+1)</f>
        <v>133.05599999999998</v>
      </c>
      <c r="BB22" s="40"/>
      <c r="BC22" s="30">
        <f>((AVERAGE(E17:E22)*('Summary Page'!$C$2+1))*('Summary Page'!$C$2+1))*('Summary Page'!$C$2+1)</f>
        <v>126.69272533333333</v>
      </c>
      <c r="BD22" s="30">
        <f>((AVERAGE(E17:E22)*('Summary Page'!$C$3+1))*('Summary Page'!$C$3+1))*('Summary Page'!$C$3+1)</f>
        <v>158.52864583333337</v>
      </c>
      <c r="BE22" s="32">
        <f>((AVERAGE(E17:E22)*('Summary Page'!$C$4+1))*('Summary Page'!$C$4+1))*('Summary Page'!$C$4+1)</f>
        <v>140.256</v>
      </c>
      <c r="BH22" s="40"/>
      <c r="BI22" s="7" t="e">
        <f>((AVERAGE(N17:N22)*('Summary Page'!$C$2+1))*('Summary Page'!$C$2+1))*('Summary Page'!$C$2+1)</f>
        <v>#DIV/0!</v>
      </c>
      <c r="BJ22" s="7" t="e">
        <f>((AVERAGE(N17:N22)*('Summary Page'!$C$3+1))*('Summary Page'!$C$3+1))*('Summary Page'!$C$3+1)</f>
        <v>#DIV/0!</v>
      </c>
      <c r="BK22" s="7" t="e">
        <f>((AVERAGE(N17:N22)*('Summary Page'!$C$4+1))*('Summary Page'!$C$4+1))*('Summary Page'!$C$4+1)</f>
        <v>#DIV/0!</v>
      </c>
    </row>
    <row r="23" spans="1:75" ht="15.75" x14ac:dyDescent="0.25">
      <c r="A23" s="20">
        <v>43630</v>
      </c>
      <c r="B23" s="99">
        <v>65</v>
      </c>
      <c r="C23" s="40">
        <v>77</v>
      </c>
      <c r="D23" s="64">
        <v>85</v>
      </c>
      <c r="E23" s="531">
        <v>95</v>
      </c>
      <c r="F23" s="99"/>
      <c r="G23" s="40"/>
      <c r="H23" s="40"/>
      <c r="I23" s="94"/>
      <c r="J23" s="99"/>
      <c r="K23" s="40"/>
      <c r="L23" s="40"/>
      <c r="M23" s="94"/>
      <c r="N23" s="40"/>
      <c r="O23" s="40"/>
      <c r="P23" s="40"/>
      <c r="Q23" s="99"/>
      <c r="R23" s="40"/>
      <c r="S23" s="94"/>
      <c r="T23" s="40"/>
      <c r="U23" s="40"/>
      <c r="V23" s="40"/>
      <c r="W23" s="99"/>
      <c r="X23" s="40"/>
      <c r="Y23" s="94"/>
      <c r="Z23" s="40"/>
      <c r="AA23" s="2">
        <f t="shared" si="1"/>
        <v>64.400000000000006</v>
      </c>
      <c r="AB23" s="2"/>
      <c r="AC23" s="2"/>
      <c r="AD23" s="30">
        <f>((AVERAGE(AA12:AA23)*('Summary Page'!$C$2+1))*('Summary Page'!$C$2+1))*('Summary Page'!$C$2+1)</f>
        <v>96.801566933333305</v>
      </c>
      <c r="AE23" s="30">
        <f>((AVERAGE(AA12:AA23)*('Summary Page'!$C$3+1))*('Summary Page'!$C$3+1))*('Summary Page'!$C$3+1)</f>
        <v>121.12630208333331</v>
      </c>
      <c r="AF23" s="30">
        <f>((AVERAGE(AA12:AA23)*('Summary Page'!$C$4+1))*('Summary Page'!$C$4+1))*('Summary Page'!$C$4+1)</f>
        <v>107.16479999999999</v>
      </c>
      <c r="AG23" s="7">
        <v>80</v>
      </c>
      <c r="AJ23" s="40"/>
      <c r="AK23" s="7">
        <f>((AVERAGE(B18:B23)*('Summary Page'!$C$2+1))*('Summary Page'!$C$2+1))*('Summary Page'!$C$2+1)</f>
        <v>119.53861866666664</v>
      </c>
      <c r="AL23" s="7">
        <f>((AVERAGE(B18:B23)*('Summary Page'!$C$3+1))*('Summary Page'!$C$3+1))*('Summary Page'!$C$3+1)</f>
        <v>149.57682291666663</v>
      </c>
      <c r="AM23" s="8">
        <f>((AVERAGE(B18:B23)*('Summary Page'!$C$4+1))*('Summary Page'!$C$4+1))*('Summary Page'!$C$4+1)</f>
        <v>132.33599999999998</v>
      </c>
      <c r="AP23" s="40"/>
      <c r="AQ23" s="7">
        <f>((AVERAGE(C18:C23)*('Summary Page'!$C$2+1))*('Summary Page'!$C$2+1))*('Summary Page'!$C$2+1)</f>
        <v>118.62809599999999</v>
      </c>
      <c r="AR23" s="7">
        <f>((AVERAGE(C18:C23)*('Summary Page'!$C$3+1))*('Summary Page'!$C$3+1))*('Summary Page'!$C$3+1)</f>
        <v>148.4375</v>
      </c>
      <c r="AS23" s="7">
        <f>((AVERAGE(C18:C23)*('Summary Page'!$C$4+1))*('Summary Page'!$C$4+1))*('Summary Page'!$C$4+1)</f>
        <v>131.328</v>
      </c>
      <c r="AV23" s="40"/>
      <c r="AW23" s="7">
        <f>((AVERAGE(D18:D23)*('Summary Page'!$C$2+1))*('Summary Page'!$C$2+1))*('Summary Page'!$C$2+1)</f>
        <v>123.57093333333331</v>
      </c>
      <c r="AX23" s="7">
        <f>((AVERAGE(D18:D23)*('Summary Page'!$C$3+1))*('Summary Page'!$C$3+1))*('Summary Page'!$C$3+1)</f>
        <v>154.62239583333337</v>
      </c>
      <c r="AY23" s="8">
        <f>((AVERAGE(D18:D23)*('Summary Page'!$C$4+1))*('Summary Page'!$C$4+1))*('Summary Page'!$C$4+1)</f>
        <v>136.79999999999998</v>
      </c>
      <c r="BB23" s="40"/>
      <c r="BC23" s="30">
        <f>((AVERAGE(E18:E23)*('Summary Page'!$C$2+1))*('Summary Page'!$C$2+1))*('Summary Page'!$C$2+1)</f>
        <v>133.45660799999996</v>
      </c>
      <c r="BD23" s="30">
        <f>((AVERAGE(E18:E23)*('Summary Page'!$C$3+1))*('Summary Page'!$C$3+1))*('Summary Page'!$C$3+1)</f>
        <v>166.9921875</v>
      </c>
      <c r="BE23" s="32">
        <f>((AVERAGE(E18:E23)*('Summary Page'!$C$4+1))*('Summary Page'!$C$4+1))*('Summary Page'!$C$4+1)</f>
        <v>147.74399999999997</v>
      </c>
      <c r="BH23" s="40"/>
      <c r="BI23" s="7" t="e">
        <f>((AVERAGE(N18:N23)*('Summary Page'!$C$2+1))*('Summary Page'!$C$2+1))*('Summary Page'!$C$2+1)</f>
        <v>#DIV/0!</v>
      </c>
      <c r="BJ23" s="7" t="e">
        <f>((AVERAGE(N18:N23)*('Summary Page'!$C$3+1))*('Summary Page'!$C$3+1))*('Summary Page'!$C$3+1)</f>
        <v>#DIV/0!</v>
      </c>
      <c r="BK23" s="7" t="e">
        <f>((AVERAGE(N18:N23)*('Summary Page'!$C$4+1))*('Summary Page'!$C$4+1))*('Summary Page'!$C$4+1)</f>
        <v>#DIV/0!</v>
      </c>
    </row>
    <row r="24" spans="1:75" ht="15.75" x14ac:dyDescent="0.25">
      <c r="A24" s="20">
        <v>43647</v>
      </c>
      <c r="B24" s="99">
        <v>68</v>
      </c>
      <c r="C24" s="40">
        <v>72</v>
      </c>
      <c r="D24" s="64">
        <v>78</v>
      </c>
      <c r="E24" s="531">
        <v>99</v>
      </c>
      <c r="F24" s="99">
        <v>64</v>
      </c>
      <c r="G24" s="40">
        <v>64</v>
      </c>
      <c r="H24" s="40">
        <v>72</v>
      </c>
      <c r="I24" s="94">
        <v>77</v>
      </c>
      <c r="J24" s="99"/>
      <c r="K24" s="40"/>
      <c r="L24" s="40"/>
      <c r="M24" s="94"/>
      <c r="N24" s="40">
        <v>82</v>
      </c>
      <c r="O24" s="40">
        <v>70</v>
      </c>
      <c r="P24" s="40"/>
      <c r="Q24" s="99"/>
      <c r="R24" s="40"/>
      <c r="S24" s="94"/>
      <c r="T24" s="40"/>
      <c r="U24" s="40"/>
      <c r="V24" s="40"/>
      <c r="W24" s="99"/>
      <c r="X24" s="40"/>
      <c r="Y24" s="94"/>
      <c r="Z24" s="40"/>
      <c r="AA24" s="2">
        <f t="shared" si="1"/>
        <v>63.4</v>
      </c>
      <c r="AB24" s="2">
        <v>55</v>
      </c>
      <c r="AC24" s="2">
        <f t="shared" ref="AC24:AC46" si="2">AB24*1.2</f>
        <v>66</v>
      </c>
      <c r="AD24" s="30">
        <f>((AVERAGE(AA13:AA24)*('Summary Page'!$C$2+1))*('Summary Page'!$C$2+1))*('Summary Page'!$C$2+1)</f>
        <v>97.191790933333323</v>
      </c>
      <c r="AE24" s="30">
        <f>((AVERAGE(AA13:AA24)*('Summary Page'!$C$3+1))*('Summary Page'!$C$3+1))*('Summary Page'!$C$3+1)</f>
        <v>121.61458333333336</v>
      </c>
      <c r="AF24" s="30">
        <f>((AVERAGE(AA13:AA24)*('Summary Page'!$C$4+1))*('Summary Page'!$C$4+1))*('Summary Page'!$C$4+1)</f>
        <v>107.5968</v>
      </c>
      <c r="AG24" s="7">
        <v>80</v>
      </c>
      <c r="AJ24" s="7">
        <f t="shared" ref="AJ24:AJ29" si="3">F24*1.2</f>
        <v>76.8</v>
      </c>
      <c r="AK24" s="7">
        <f>((AVERAGE(B19:B24)*('Summary Page'!$C$2+1))*('Summary Page'!$C$2+1))*('Summary Page'!$C$2+1)</f>
        <v>116.93712533333333</v>
      </c>
      <c r="AL24" s="7">
        <f>((AVERAGE(B19:B24)*('Summary Page'!$C$3+1))*('Summary Page'!$C$3+1))*('Summary Page'!$C$3+1)</f>
        <v>146.32161458333337</v>
      </c>
      <c r="AM24" s="8">
        <f>((AVERAGE(B19:B24)*('Summary Page'!$C$4+1))*('Summary Page'!$C$4+1))*('Summary Page'!$C$4+1)</f>
        <v>129.45600000000002</v>
      </c>
      <c r="AP24" s="7">
        <f t="shared" ref="AP24:AP29" si="4">G24*1.2</f>
        <v>76.8</v>
      </c>
      <c r="AQ24" s="7">
        <f>((AVERAGE(C19:C24)*('Summary Page'!$C$2+1))*('Summary Page'!$C$2+1))*('Summary Page'!$C$2+1)</f>
        <v>118.10779733333331</v>
      </c>
      <c r="AR24" s="7">
        <f>((AVERAGE(C19:C24)*('Summary Page'!$C$3+1))*('Summary Page'!$C$3+1))*('Summary Page'!$C$3+1)</f>
        <v>147.78645833333337</v>
      </c>
      <c r="AS24" s="7">
        <f>((AVERAGE(C19:C24)*('Summary Page'!$C$4+1))*('Summary Page'!$C$4+1))*('Summary Page'!$C$4+1)</f>
        <v>130.75199999999998</v>
      </c>
      <c r="AV24" s="40">
        <f t="shared" ref="AV24:AV29" si="5">H24*1.2</f>
        <v>86.399999999999991</v>
      </c>
      <c r="AW24" s="7">
        <f>((AVERAGE(D19:D24)*('Summary Page'!$C$2+1))*('Summary Page'!$C$2+1))*('Summary Page'!$C$2+1)</f>
        <v>124.87167999999998</v>
      </c>
      <c r="AX24" s="7">
        <f>((AVERAGE(D19:D24)*('Summary Page'!$C$3+1))*('Summary Page'!$C$3+1))*('Summary Page'!$C$3+1)</f>
        <v>156.25</v>
      </c>
      <c r="AY24" s="8">
        <f>((AVERAGE(D19:D24)*('Summary Page'!$C$4+1))*('Summary Page'!$C$4+1))*('Summary Page'!$C$4+1)</f>
        <v>138.23999999999998</v>
      </c>
      <c r="BB24" s="40">
        <f t="shared" ref="BB24:BB29" si="6">I24*1.2</f>
        <v>92.399999999999991</v>
      </c>
      <c r="BC24" s="30">
        <f>((AVERAGE(E19:E24)*('Summary Page'!$C$2+1))*('Summary Page'!$C$2+1))*('Summary Page'!$C$2+1)</f>
        <v>140.22049066666662</v>
      </c>
      <c r="BD24" s="30">
        <f>((AVERAGE(E19:E24)*('Summary Page'!$C$3+1))*('Summary Page'!$C$3+1))*('Summary Page'!$C$3+1)</f>
        <v>175.45572916666663</v>
      </c>
      <c r="BE24" s="32">
        <f>((AVERAGE(E19:E24)*('Summary Page'!$C$4+1))*('Summary Page'!$C$4+1))*('Summary Page'!$C$4+1)</f>
        <v>155.23199999999997</v>
      </c>
      <c r="BH24" s="40">
        <f t="shared" ref="BH24:BH29" si="7">O24*1.2</f>
        <v>84</v>
      </c>
      <c r="BI24" s="7">
        <f>((AVERAGE(N19:N24)*('Summary Page'!$C$2+1))*('Summary Page'!$C$2+1))*('Summary Page'!$C$2+1)</f>
        <v>127.99347199999997</v>
      </c>
      <c r="BJ24" s="7">
        <f>((AVERAGE(N19:N24)*('Summary Page'!$C$3+1))*('Summary Page'!$C$3+1))*('Summary Page'!$C$3+1)</f>
        <v>160.15625</v>
      </c>
      <c r="BK24" s="7">
        <f>((AVERAGE(N19:N24)*('Summary Page'!$C$4+1))*('Summary Page'!$C$4+1))*('Summary Page'!$C$4+1)</f>
        <v>141.69599999999997</v>
      </c>
    </row>
    <row r="25" spans="1:75" ht="15.75" x14ac:dyDescent="0.25">
      <c r="A25" s="20">
        <v>43661</v>
      </c>
      <c r="B25" s="99">
        <v>63</v>
      </c>
      <c r="C25" s="40">
        <v>66</v>
      </c>
      <c r="D25" s="64">
        <v>70</v>
      </c>
      <c r="E25" s="531">
        <v>90</v>
      </c>
      <c r="F25" s="99">
        <v>59</v>
      </c>
      <c r="G25" s="40">
        <v>58</v>
      </c>
      <c r="H25" s="40">
        <v>65</v>
      </c>
      <c r="I25" s="94">
        <v>68</v>
      </c>
      <c r="J25" s="99"/>
      <c r="K25" s="40"/>
      <c r="L25" s="40"/>
      <c r="M25" s="94"/>
      <c r="N25" s="40">
        <v>82</v>
      </c>
      <c r="O25" s="40">
        <v>70</v>
      </c>
      <c r="P25" s="40"/>
      <c r="Q25" s="99"/>
      <c r="R25" s="40"/>
      <c r="S25" s="94"/>
      <c r="T25" s="40"/>
      <c r="U25" s="40"/>
      <c r="V25" s="40"/>
      <c r="W25" s="99"/>
      <c r="X25" s="40"/>
      <c r="Y25" s="94"/>
      <c r="Z25" s="40"/>
      <c r="AA25" s="2">
        <f t="shared" si="1"/>
        <v>57.8</v>
      </c>
      <c r="AB25" s="2">
        <f t="shared" ref="AB25:AB46" si="8">AVERAGE(F25,G25,H25,I25,)</f>
        <v>50</v>
      </c>
      <c r="AC25" s="2">
        <f t="shared" si="2"/>
        <v>60</v>
      </c>
      <c r="AD25" s="30">
        <f>((AVERAGE(AA14:AA25)*('Summary Page'!$C$2+1))*('Summary Page'!$C$2+1))*('Summary Page'!$C$2+1)</f>
        <v>96.749537066666633</v>
      </c>
      <c r="AE25" s="30">
        <f>((AVERAGE(AA14:AA25)*('Summary Page'!$C$3+1))*('Summary Page'!$C$3+1))*('Summary Page'!$C$3+1)</f>
        <v>121.06119791666664</v>
      </c>
      <c r="AF25" s="30">
        <f>((AVERAGE(AA14:AA25)*('Summary Page'!$C$4+1))*('Summary Page'!$C$4+1))*('Summary Page'!$C$4+1)</f>
        <v>107.10719999999998</v>
      </c>
      <c r="AG25" s="7">
        <v>80</v>
      </c>
      <c r="AJ25" s="7">
        <f t="shared" si="3"/>
        <v>70.8</v>
      </c>
      <c r="AK25" s="7">
        <f>((AVERAGE(B20:B25)*('Summary Page'!$C$2+1))*('Summary Page'!$C$2+1))*('Summary Page'!$C$2+1)</f>
        <v>111.73413866666665</v>
      </c>
      <c r="AL25" s="7">
        <f>((AVERAGE(B20:B25)*('Summary Page'!$C$3+1))*('Summary Page'!$C$3+1))*('Summary Page'!$C$3+1)</f>
        <v>139.81119791666663</v>
      </c>
      <c r="AM25" s="8">
        <f>((AVERAGE(B20:B25)*('Summary Page'!$C$4+1))*('Summary Page'!$C$4+1))*('Summary Page'!$C$4+1)</f>
        <v>123.69599999999997</v>
      </c>
      <c r="AP25" s="7">
        <f t="shared" si="4"/>
        <v>69.599999999999994</v>
      </c>
      <c r="AQ25" s="7">
        <f>((AVERAGE(C20:C25)*('Summary Page'!$C$2+1))*('Summary Page'!$C$2+1))*('Summary Page'!$C$2+1)</f>
        <v>116.28675199999996</v>
      </c>
      <c r="AR25" s="7">
        <f>((AVERAGE(C20:C25)*('Summary Page'!$C$3+1))*('Summary Page'!$C$3+1))*('Summary Page'!$C$3+1)</f>
        <v>145.5078125</v>
      </c>
      <c r="AS25" s="7">
        <f>((AVERAGE(C20:C25)*('Summary Page'!$C$4+1))*('Summary Page'!$C$4+1))*('Summary Page'!$C$4+1)</f>
        <v>128.73599999999999</v>
      </c>
      <c r="AV25" s="40">
        <f t="shared" si="5"/>
        <v>78</v>
      </c>
      <c r="AW25" s="7">
        <f>((AVERAGE(D20:D25)*('Summary Page'!$C$2+1))*('Summary Page'!$C$2+1))*('Summary Page'!$C$2+1)</f>
        <v>124.09123199999998</v>
      </c>
      <c r="AX25" s="7">
        <f>((AVERAGE(D20:D25)*('Summary Page'!$C$3+1))*('Summary Page'!$C$3+1))*('Summary Page'!$C$3+1)</f>
        <v>155.2734375</v>
      </c>
      <c r="AY25" s="8">
        <f>((AVERAGE(D20:D25)*('Summary Page'!$C$4+1))*('Summary Page'!$C$4+1))*('Summary Page'!$C$4+1)</f>
        <v>137.37599999999998</v>
      </c>
      <c r="BB25" s="40">
        <f t="shared" si="6"/>
        <v>81.599999999999994</v>
      </c>
      <c r="BC25" s="30">
        <f>((AVERAGE(E20:E25)*('Summary Page'!$C$2+1))*('Summary Page'!$C$2+1))*('Summary Page'!$C$2+1)</f>
        <v>141.78138666666663</v>
      </c>
      <c r="BD25" s="30">
        <f>((AVERAGE(E20:E25)*('Summary Page'!$C$3+1))*('Summary Page'!$C$3+1))*('Summary Page'!$C$3+1)</f>
        <v>177.40885416666663</v>
      </c>
      <c r="BE25" s="32">
        <f>((AVERAGE(E20:E25)*('Summary Page'!$C$4+1))*('Summary Page'!$C$4+1))*('Summary Page'!$C$4+1)</f>
        <v>156.95999999999998</v>
      </c>
      <c r="BH25" s="40">
        <f t="shared" si="7"/>
        <v>84</v>
      </c>
      <c r="BI25" s="7">
        <f>((AVERAGE(N20:N25)*('Summary Page'!$C$2+1))*('Summary Page'!$C$2+1))*('Summary Page'!$C$2+1)</f>
        <v>127.99347199999997</v>
      </c>
      <c r="BJ25" s="7">
        <f>((AVERAGE(N20:N25)*('Summary Page'!$C$3+1))*('Summary Page'!$C$3+1))*('Summary Page'!$C$3+1)</f>
        <v>160.15625</v>
      </c>
      <c r="BK25" s="7">
        <f>((AVERAGE(N20:N25)*('Summary Page'!$C$4+1))*('Summary Page'!$C$4+1))*('Summary Page'!$C$4+1)</f>
        <v>141.69599999999997</v>
      </c>
    </row>
    <row r="26" spans="1:75" ht="15.75" x14ac:dyDescent="0.25">
      <c r="A26" s="10">
        <v>43678</v>
      </c>
      <c r="B26" s="99">
        <v>60</v>
      </c>
      <c r="C26" s="40">
        <v>65</v>
      </c>
      <c r="D26" s="9">
        <v>67</v>
      </c>
      <c r="E26" s="532">
        <v>65</v>
      </c>
      <c r="F26" s="104">
        <v>58</v>
      </c>
      <c r="G26">
        <v>56</v>
      </c>
      <c r="H26">
        <v>62</v>
      </c>
      <c r="I26" s="4">
        <v>59</v>
      </c>
      <c r="N26">
        <v>75</v>
      </c>
      <c r="O26">
        <v>64</v>
      </c>
      <c r="Q26" s="104">
        <v>634</v>
      </c>
      <c r="R26">
        <v>634</v>
      </c>
      <c r="AA26" s="2">
        <f t="shared" si="1"/>
        <v>51.4</v>
      </c>
      <c r="AB26" s="2">
        <f t="shared" si="8"/>
        <v>47</v>
      </c>
      <c r="AC26" s="2">
        <f t="shared" si="2"/>
        <v>56.4</v>
      </c>
      <c r="AD26" s="30">
        <f>((AVERAGE(AA15:AA26)*('Summary Page'!$C$2+1))*('Summary Page'!$C$2+1))*('Summary Page'!$C$2+1)</f>
        <v>94.90247679999996</v>
      </c>
      <c r="AE26" s="30">
        <f>((AVERAGE(AA15:AA26)*('Summary Page'!$C$3+1))*('Summary Page'!$C$3+1))*('Summary Page'!$C$3+1)</f>
        <v>118.74999999999999</v>
      </c>
      <c r="AF26" s="30">
        <f>((AVERAGE(AA15:AA26)*('Summary Page'!$C$4+1))*('Summary Page'!$C$4+1))*('Summary Page'!$C$4+1)</f>
        <v>105.06239999999997</v>
      </c>
      <c r="AG26" s="7">
        <v>80</v>
      </c>
      <c r="AJ26" s="7">
        <f t="shared" si="3"/>
        <v>69.599999999999994</v>
      </c>
      <c r="AK26" s="7">
        <f>((AVERAGE(B21:B26)*('Summary Page'!$C$2+1))*('Summary Page'!$C$2+1))*('Summary Page'!$C$2+1)</f>
        <v>105.75070399999997</v>
      </c>
      <c r="AL26" s="7">
        <f>((AVERAGE(B21:B26)*('Summary Page'!$C$3+1))*('Summary Page'!$C$3+1))*('Summary Page'!$C$3+1)</f>
        <v>132.32421875</v>
      </c>
      <c r="AM26" s="8">
        <f>((AVERAGE(B21:B26)*('Summary Page'!$C$4+1))*('Summary Page'!$C$4+1))*('Summary Page'!$C$4+1)</f>
        <v>117.07199999999997</v>
      </c>
      <c r="AP26" s="7">
        <f t="shared" si="4"/>
        <v>67.2</v>
      </c>
      <c r="AQ26" s="7">
        <f>((AVERAGE(C21:C26)*('Summary Page'!$C$2+1))*('Summary Page'!$C$2+1))*('Summary Page'!$C$2+1)</f>
        <v>114.46570666666663</v>
      </c>
      <c r="AR26" s="7">
        <f>((AVERAGE(C21:C26)*('Summary Page'!$C$3+1))*('Summary Page'!$C$3+1))*('Summary Page'!$C$3+1)</f>
        <v>143.22916666666663</v>
      </c>
      <c r="AS26" s="7">
        <f>((AVERAGE(C21:C26)*('Summary Page'!$C$4+1))*('Summary Page'!$C$4+1))*('Summary Page'!$C$4+1)</f>
        <v>126.71999999999997</v>
      </c>
      <c r="AV26" s="40">
        <f t="shared" si="5"/>
        <v>74.399999999999991</v>
      </c>
      <c r="AW26" s="7">
        <f>((AVERAGE(D21:D26)*('Summary Page'!$C$2+1))*('Summary Page'!$C$2+1))*('Summary Page'!$C$2+1)</f>
        <v>121.74988799999997</v>
      </c>
      <c r="AX26" s="7">
        <f>((AVERAGE(D21:D26)*('Summary Page'!$C$3+1))*('Summary Page'!$C$3+1))*('Summary Page'!$C$3+1)</f>
        <v>152.34375</v>
      </c>
      <c r="AY26" s="8">
        <f>((AVERAGE(D21:D26)*('Summary Page'!$C$4+1))*('Summary Page'!$C$4+1))*('Summary Page'!$C$4+1)</f>
        <v>134.78399999999999</v>
      </c>
      <c r="BB26" s="40">
        <f t="shared" si="6"/>
        <v>70.8</v>
      </c>
      <c r="BC26" s="30">
        <f>((AVERAGE(E21:E26)*('Summary Page'!$C$2+1))*('Summary Page'!$C$2+1))*('Summary Page'!$C$2+1)</f>
        <v>137.87914666666663</v>
      </c>
      <c r="BD26" s="30">
        <f>((AVERAGE(E21:E26)*('Summary Page'!$C$3+1))*('Summary Page'!$C$3+1))*('Summary Page'!$C$3+1)</f>
        <v>172.52604166666663</v>
      </c>
      <c r="BE26" s="32">
        <f>((AVERAGE(E21:E26)*('Summary Page'!$C$4+1))*('Summary Page'!$C$4+1))*('Summary Page'!$C$4+1)</f>
        <v>152.63999999999996</v>
      </c>
      <c r="BH26" s="40">
        <f t="shared" si="7"/>
        <v>76.8</v>
      </c>
      <c r="BI26" s="7">
        <f>((AVERAGE(N21:N26)*('Summary Page'!$C$2+1))*('Summary Page'!$C$2+1))*('Summary Page'!$C$2+1)</f>
        <v>124.35138133333331</v>
      </c>
      <c r="BJ26" s="7">
        <f>((AVERAGE(N21:N26)*('Summary Page'!$C$3+1))*('Summary Page'!$C$3+1))*('Summary Page'!$C$3+1)</f>
        <v>155.59895833333337</v>
      </c>
      <c r="BK26" s="7">
        <f>((AVERAGE(N21:N26)*('Summary Page'!$C$4+1))*('Summary Page'!$C$4+1))*('Summary Page'!$C$4+1)</f>
        <v>137.66400000000002</v>
      </c>
      <c r="BL26" s="16">
        <f t="shared" ref="BL26:BM28" si="9">Q26/7.5/0.89/5</f>
        <v>18.99625468164794</v>
      </c>
      <c r="BM26" s="16">
        <f t="shared" si="9"/>
        <v>18.99625468164794</v>
      </c>
      <c r="BN26" s="7">
        <f t="shared" ref="BN26:BN31" si="10">BM26*1.2</f>
        <v>22.795505617977529</v>
      </c>
      <c r="BO26" s="7">
        <f>((AVERAGE(BL21:BL26)*('Summary Page'!$C$2+1))*('Summary Page'!$C$2+1))*('Summary Page'!$C$2+1)</f>
        <v>29.651177947565539</v>
      </c>
      <c r="BP26" s="7">
        <f>((AVERAGE(BL21:BL26)*('Summary Page'!$C$3+1))*('Summary Page'!$C$3+1))*('Summary Page'!$C$3+1)</f>
        <v>37.102059925093634</v>
      </c>
      <c r="BQ26" s="7">
        <f>((AVERAGE(BL21:BL26)*('Summary Page'!$C$4+1))*('Summary Page'!$C$4+1))*('Summary Page'!$C$4+1)</f>
        <v>32.825528089887641</v>
      </c>
      <c r="BR26" s="11">
        <f t="shared" ref="BR26:BR31" si="11">(BL26/6)+BL26</f>
        <v>22.162297128589262</v>
      </c>
      <c r="BS26" s="11">
        <f t="shared" ref="BS26:BS48" si="12">(BM26/6)+BM26</f>
        <v>22.162297128589262</v>
      </c>
      <c r="BT26" s="11">
        <f t="shared" ref="BT26:BT48" si="13">(BN26/6)+BN26</f>
        <v>26.594756554307118</v>
      </c>
      <c r="BU26" s="11">
        <f t="shared" ref="BU26:BU48" si="14">(BO26/6)+BO26</f>
        <v>34.593040938826462</v>
      </c>
      <c r="BV26" s="11">
        <f t="shared" ref="BV26:BV48" si="15">(BP26/6)+BP26</f>
        <v>43.285736579275905</v>
      </c>
      <c r="BW26" s="11">
        <f t="shared" ref="BW26:BW48" si="16">(BQ26/6)+BQ26</f>
        <v>38.296449438202245</v>
      </c>
    </row>
    <row r="27" spans="1:75" ht="15.75" x14ac:dyDescent="0.25">
      <c r="A27" s="10">
        <v>43710</v>
      </c>
      <c r="B27" s="99">
        <v>65</v>
      </c>
      <c r="C27" s="40">
        <v>70</v>
      </c>
      <c r="D27" s="64">
        <v>76</v>
      </c>
      <c r="E27" s="531">
        <v>85</v>
      </c>
      <c r="F27" s="99">
        <v>49</v>
      </c>
      <c r="G27" s="40">
        <v>49</v>
      </c>
      <c r="H27" s="40">
        <v>54</v>
      </c>
      <c r="I27" s="94">
        <v>47</v>
      </c>
      <c r="J27" s="99"/>
      <c r="K27" s="40"/>
      <c r="L27" s="40"/>
      <c r="M27" s="94"/>
      <c r="N27" s="40">
        <v>78</v>
      </c>
      <c r="O27" s="40">
        <v>60</v>
      </c>
      <c r="P27" s="40"/>
      <c r="Q27" s="104">
        <v>656</v>
      </c>
      <c r="R27">
        <v>578</v>
      </c>
      <c r="AA27" s="2">
        <f t="shared" si="1"/>
        <v>59.2</v>
      </c>
      <c r="AB27" s="2">
        <f t="shared" si="8"/>
        <v>39.799999999999997</v>
      </c>
      <c r="AC27" s="2">
        <f t="shared" si="2"/>
        <v>47.76</v>
      </c>
      <c r="AD27" s="30">
        <f>((AVERAGE(AA16:AA27)*('Summary Page'!$C$2+1))*('Summary Page'!$C$2+1))*('Summary Page'!$C$2+1)</f>
        <v>94.655334933333336</v>
      </c>
      <c r="AE27" s="30">
        <f>((AVERAGE(AA16:AA27)*('Summary Page'!$C$3+1))*('Summary Page'!$C$3+1))*('Summary Page'!$C$3+1)</f>
        <v>118.44075520833336</v>
      </c>
      <c r="AF27" s="30">
        <f>((AVERAGE(AA16:AA27)*('Summary Page'!$C$4+1))*('Summary Page'!$C$4+1))*('Summary Page'!$C$4+1)</f>
        <v>104.78880000000001</v>
      </c>
      <c r="AG27" s="7">
        <v>80</v>
      </c>
      <c r="AJ27" s="7">
        <f t="shared" si="3"/>
        <v>58.8</v>
      </c>
      <c r="AK27" s="7">
        <f>((AVERAGE(B22:B27)*('Summary Page'!$C$2+1))*('Summary Page'!$C$2+1))*('Summary Page'!$C$2+1)</f>
        <v>100.15749333333332</v>
      </c>
      <c r="AL27" s="7">
        <f>((AVERAGE(B22:B27)*('Summary Page'!$C$3+1))*('Summary Page'!$C$3+1))*('Summary Page'!$C$3+1)</f>
        <v>125.32552083333336</v>
      </c>
      <c r="AM27" s="8">
        <f>((AVERAGE(B22:B27)*('Summary Page'!$C$4+1))*('Summary Page'!$C$4+1))*('Summary Page'!$C$4+1)</f>
        <v>110.87999999999998</v>
      </c>
      <c r="AP27" s="7">
        <f t="shared" si="4"/>
        <v>58.8</v>
      </c>
      <c r="AQ27" s="7">
        <f>((AVERAGE(C22:C27)*('Summary Page'!$C$2+1))*('Summary Page'!$C$2+1))*('Summary Page'!$C$2+1)</f>
        <v>111.60406399999998</v>
      </c>
      <c r="AR27" s="7">
        <f>((AVERAGE(C22:C27)*('Summary Page'!$C$3+1))*('Summary Page'!$C$3+1))*('Summary Page'!$C$3+1)</f>
        <v>139.6484375</v>
      </c>
      <c r="AS27" s="7">
        <f>((AVERAGE(C22:C27)*('Summary Page'!$C$4+1))*('Summary Page'!$C$4+1))*('Summary Page'!$C$4+1)</f>
        <v>123.55199999999999</v>
      </c>
      <c r="AV27" s="40">
        <f t="shared" si="5"/>
        <v>64.8</v>
      </c>
      <c r="AW27" s="7">
        <f>((AVERAGE(D22:D27)*('Summary Page'!$C$2+1))*('Summary Page'!$C$2+1))*('Summary Page'!$C$2+1)</f>
        <v>119.66869333333332</v>
      </c>
      <c r="AX27" s="7">
        <f>((AVERAGE(D22:D27)*('Summary Page'!$C$3+1))*('Summary Page'!$C$3+1))*('Summary Page'!$C$3+1)</f>
        <v>149.73958333333337</v>
      </c>
      <c r="AY27" s="8">
        <f>((AVERAGE(D22:D27)*('Summary Page'!$C$4+1))*('Summary Page'!$C$4+1))*('Summary Page'!$C$4+1)</f>
        <v>132.47999999999999</v>
      </c>
      <c r="BB27" s="40">
        <f t="shared" si="6"/>
        <v>56.4</v>
      </c>
      <c r="BC27" s="30">
        <f>((AVERAGE(E22:E27)*('Summary Page'!$C$2+1))*('Summary Page'!$C$2+1))*('Summary Page'!$C$2+1)</f>
        <v>136.57839999999999</v>
      </c>
      <c r="BD27" s="30">
        <f>((AVERAGE(E22:E27)*('Summary Page'!$C$3+1))*('Summary Page'!$C$3+1))*('Summary Page'!$C$3+1)</f>
        <v>170.8984375</v>
      </c>
      <c r="BE27" s="32">
        <f>((AVERAGE(E22:E27)*('Summary Page'!$C$4+1))*('Summary Page'!$C$4+1))*('Summary Page'!$C$4+1)</f>
        <v>151.19999999999999</v>
      </c>
      <c r="BH27" s="40">
        <f t="shared" si="7"/>
        <v>72</v>
      </c>
      <c r="BI27" s="7">
        <f>((AVERAGE(N22:N27)*('Summary Page'!$C$2+1))*('Summary Page'!$C$2+1))*('Summary Page'!$C$2+1)</f>
        <v>123.70100799999997</v>
      </c>
      <c r="BJ27" s="7">
        <f>((AVERAGE(N22:N27)*('Summary Page'!$C$3+1))*('Summary Page'!$C$3+1))*('Summary Page'!$C$3+1)</f>
        <v>154.78515625</v>
      </c>
      <c r="BK27" s="7">
        <f>((AVERAGE(N22:N27)*('Summary Page'!$C$4+1))*('Summary Page'!$C$4+1))*('Summary Page'!$C$4+1)</f>
        <v>136.94399999999999</v>
      </c>
      <c r="BL27" s="16">
        <f t="shared" si="9"/>
        <v>19.655430711610485</v>
      </c>
      <c r="BM27" s="16">
        <f t="shared" si="9"/>
        <v>17.318352059925093</v>
      </c>
      <c r="BN27" s="7">
        <f t="shared" si="10"/>
        <v>20.782022471910111</v>
      </c>
      <c r="BO27" s="7">
        <f>((AVERAGE(BL22:BL27)*('Summary Page'!$C$2+1))*('Summary Page'!$C$2+1))*('Summary Page'!$C$2+1)</f>
        <v>30.165630561797744</v>
      </c>
      <c r="BP27" s="7">
        <f>((AVERAGE(BL22:BL27)*('Summary Page'!$C$3+1))*('Summary Page'!$C$3+1))*('Summary Page'!$C$3+1)</f>
        <v>37.745786516853926</v>
      </c>
      <c r="BQ27" s="7">
        <f>((AVERAGE(BL22:BL27)*('Summary Page'!$C$4+1))*('Summary Page'!$C$4+1))*('Summary Page'!$C$4+1)</f>
        <v>33.395056179775281</v>
      </c>
      <c r="BR27" s="11">
        <f t="shared" si="11"/>
        <v>22.931335830212234</v>
      </c>
      <c r="BS27" s="11">
        <f t="shared" si="12"/>
        <v>20.204744069912607</v>
      </c>
      <c r="BT27" s="11">
        <f t="shared" si="13"/>
        <v>24.245692883895128</v>
      </c>
      <c r="BU27" s="11">
        <f t="shared" si="14"/>
        <v>35.193235655430705</v>
      </c>
      <c r="BV27" s="11">
        <f t="shared" si="15"/>
        <v>44.036750936329582</v>
      </c>
      <c r="BW27" s="11">
        <f t="shared" si="16"/>
        <v>38.960898876404492</v>
      </c>
    </row>
    <row r="28" spans="1:75" ht="15.75" x14ac:dyDescent="0.25">
      <c r="A28" s="10">
        <v>43740</v>
      </c>
      <c r="B28" s="99">
        <v>86</v>
      </c>
      <c r="C28" s="40">
        <v>84</v>
      </c>
      <c r="D28" s="64">
        <v>112</v>
      </c>
      <c r="E28" s="531">
        <v>123</v>
      </c>
      <c r="F28" s="99">
        <v>68</v>
      </c>
      <c r="G28" s="40">
        <v>68</v>
      </c>
      <c r="H28" s="40">
        <v>88</v>
      </c>
      <c r="I28" s="94">
        <v>57</v>
      </c>
      <c r="J28" s="99"/>
      <c r="K28" s="40"/>
      <c r="L28" s="40"/>
      <c r="M28" s="94"/>
      <c r="N28" s="40">
        <v>109</v>
      </c>
      <c r="O28" s="40">
        <v>88</v>
      </c>
      <c r="P28" s="40"/>
      <c r="Q28" s="99">
        <v>419</v>
      </c>
      <c r="R28" s="40">
        <v>421</v>
      </c>
      <c r="S28" s="94"/>
      <c r="T28" s="40"/>
      <c r="U28" s="40"/>
      <c r="V28" s="40"/>
      <c r="W28" s="99"/>
      <c r="X28" s="40"/>
      <c r="Y28" s="94"/>
      <c r="Z28" s="40"/>
      <c r="AA28" s="2">
        <f t="shared" si="1"/>
        <v>81</v>
      </c>
      <c r="AB28" s="2">
        <f t="shared" si="8"/>
        <v>56.2</v>
      </c>
      <c r="AC28" s="2">
        <f t="shared" si="2"/>
        <v>67.44</v>
      </c>
      <c r="AD28" s="30">
        <f>((AVERAGE(AA17:AA28)*('Summary Page'!$C$2+1))*('Summary Page'!$C$2+1))*('Summary Page'!$C$2+1)</f>
        <v>97.777126933333307</v>
      </c>
      <c r="AE28" s="30">
        <f>((AVERAGE(AA17:AA28)*('Summary Page'!$C$3+1))*('Summary Page'!$C$3+1))*('Summary Page'!$C$3+1)</f>
        <v>122.34700520833336</v>
      </c>
      <c r="AF28" s="30">
        <f>((AVERAGE(AA17:AA28)*('Summary Page'!$C$4+1))*('Summary Page'!$C$4+1))*('Summary Page'!$C$4+1)</f>
        <v>108.24479999999998</v>
      </c>
      <c r="AG28" s="7">
        <v>80</v>
      </c>
      <c r="AJ28" s="7">
        <f t="shared" si="3"/>
        <v>81.599999999999994</v>
      </c>
      <c r="AK28" s="7">
        <f>((AVERAGE(B23:B28)*('Summary Page'!$C$2+1))*('Summary Page'!$C$2+1))*('Summary Page'!$C$2+1)</f>
        <v>105.88077866666663</v>
      </c>
      <c r="AL28" s="7">
        <f>((AVERAGE(B23:B28)*('Summary Page'!$C$3+1))*('Summary Page'!$C$3+1))*('Summary Page'!$C$3+1)</f>
        <v>132.48697916666663</v>
      </c>
      <c r="AM28" s="8">
        <f>((AVERAGE(B23:B28)*('Summary Page'!$C$4+1))*('Summary Page'!$C$4+1))*('Summary Page'!$C$4+1)</f>
        <v>117.21599999999998</v>
      </c>
      <c r="AP28" s="7">
        <f t="shared" si="4"/>
        <v>81.599999999999994</v>
      </c>
      <c r="AQ28" s="7">
        <f>((AVERAGE(C23:C28)*('Summary Page'!$C$2+1))*('Summary Page'!$C$2+1))*('Summary Page'!$C$2+1)</f>
        <v>112.90481066666662</v>
      </c>
      <c r="AR28" s="7">
        <f>((AVERAGE(C23:C28)*('Summary Page'!$C$3+1))*('Summary Page'!$C$3+1))*('Summary Page'!$C$3+1)</f>
        <v>141.27604166666663</v>
      </c>
      <c r="AS28" s="7">
        <f>((AVERAGE(C23:C28)*('Summary Page'!$C$4+1))*('Summary Page'!$C$4+1))*('Summary Page'!$C$4+1)</f>
        <v>124.99199999999999</v>
      </c>
      <c r="AV28" s="40">
        <f t="shared" si="5"/>
        <v>105.6</v>
      </c>
      <c r="AW28" s="7">
        <f>((AVERAGE(D23:D28)*('Summary Page'!$C$2+1))*('Summary Page'!$C$2+1))*('Summary Page'!$C$2+1)</f>
        <v>126.95287466666662</v>
      </c>
      <c r="AX28" s="7">
        <f>((AVERAGE(D23:D28)*('Summary Page'!$C$3+1))*('Summary Page'!$C$3+1))*('Summary Page'!$C$3+1)</f>
        <v>158.85416666666663</v>
      </c>
      <c r="AY28" s="8">
        <f>((AVERAGE(D23:D28)*('Summary Page'!$C$4+1))*('Summary Page'!$C$4+1))*('Summary Page'!$C$4+1)</f>
        <v>140.54399999999998</v>
      </c>
      <c r="BB28" s="40">
        <f t="shared" si="6"/>
        <v>68.399999999999991</v>
      </c>
      <c r="BC28" s="30">
        <f>((AVERAGE(E23:E28)*('Summary Page'!$C$2+1))*('Summary Page'!$C$2+1))*('Summary Page'!$C$2+1)</f>
        <v>144.90317866666663</v>
      </c>
      <c r="BD28" s="30">
        <f>((AVERAGE(E23:E28)*('Summary Page'!$C$3+1))*('Summary Page'!$C$3+1))*('Summary Page'!$C$3+1)</f>
        <v>181.31510416666663</v>
      </c>
      <c r="BE28" s="32">
        <f>((AVERAGE(E23:E28)*('Summary Page'!$C$4+1))*('Summary Page'!$C$4+1))*('Summary Page'!$C$4+1)</f>
        <v>160.41599999999997</v>
      </c>
      <c r="BH28" s="40">
        <f t="shared" si="7"/>
        <v>105.6</v>
      </c>
      <c r="BI28" s="7">
        <f>((AVERAGE(N23:N28)*('Summary Page'!$C$2+1))*('Summary Page'!$C$2+1))*('Summary Page'!$C$2+1)</f>
        <v>132.98833919999998</v>
      </c>
      <c r="BJ28" s="7">
        <f>((AVERAGE(N23:N28)*('Summary Page'!$C$3+1))*('Summary Page'!$C$3+1))*('Summary Page'!$C$3+1)</f>
        <v>166.40625</v>
      </c>
      <c r="BK28" s="7">
        <f>((AVERAGE(N23:N28)*('Summary Page'!$C$4+1))*('Summary Page'!$C$4+1))*('Summary Page'!$C$4+1)</f>
        <v>147.22559999999999</v>
      </c>
      <c r="BL28" s="16">
        <f t="shared" si="9"/>
        <v>12.554307116104869</v>
      </c>
      <c r="BM28" s="16">
        <f t="shared" si="9"/>
        <v>12.614232209737827</v>
      </c>
      <c r="BN28" s="7">
        <f t="shared" si="10"/>
        <v>15.137078651685391</v>
      </c>
      <c r="BO28" s="7">
        <f>((AVERAGE(BL23:BL28)*('Summary Page'!$C$2+1))*('Summary Page'!$C$2+1))*('Summary Page'!$C$2+1)</f>
        <v>26.642409627965041</v>
      </c>
      <c r="BP28" s="7">
        <f>((AVERAGE(BL23:BL28)*('Summary Page'!$C$3+1))*('Summary Page'!$C$3+1))*('Summary Page'!$C$3+1)</f>
        <v>33.337234706616734</v>
      </c>
      <c r="BQ28" s="7">
        <f>((AVERAGE(BL23:BL28)*('Summary Page'!$C$4+1))*('Summary Page'!$C$4+1))*('Summary Page'!$C$4+1)</f>
        <v>29.494651685393258</v>
      </c>
      <c r="BR28" s="11">
        <f t="shared" si="11"/>
        <v>14.646691635455682</v>
      </c>
      <c r="BS28" s="11">
        <f t="shared" si="12"/>
        <v>14.716604244694132</v>
      </c>
      <c r="BT28" s="11">
        <f t="shared" si="13"/>
        <v>17.659925093632957</v>
      </c>
      <c r="BU28" s="11">
        <f t="shared" si="14"/>
        <v>31.082811232625879</v>
      </c>
      <c r="BV28" s="11">
        <f t="shared" si="15"/>
        <v>38.893440491052857</v>
      </c>
      <c r="BW28" s="11">
        <f t="shared" si="16"/>
        <v>34.410426966292135</v>
      </c>
    </row>
    <row r="29" spans="1:75" ht="15.75" x14ac:dyDescent="0.25">
      <c r="A29" s="10">
        <v>43773</v>
      </c>
      <c r="B29" s="99">
        <v>85</v>
      </c>
      <c r="C29" s="40">
        <v>88</v>
      </c>
      <c r="D29" s="64">
        <v>118</v>
      </c>
      <c r="E29" s="531">
        <v>91</v>
      </c>
      <c r="F29" s="99">
        <v>52</v>
      </c>
      <c r="G29" s="40">
        <v>47</v>
      </c>
      <c r="H29" s="40">
        <v>61</v>
      </c>
      <c r="I29" s="94">
        <v>31</v>
      </c>
      <c r="J29" s="99"/>
      <c r="K29" s="40"/>
      <c r="L29" s="40"/>
      <c r="M29" s="94"/>
      <c r="N29" s="40">
        <v>118</v>
      </c>
      <c r="O29" s="40">
        <v>61</v>
      </c>
      <c r="P29" s="40"/>
      <c r="Q29" s="99">
        <v>405</v>
      </c>
      <c r="R29" s="40">
        <v>413</v>
      </c>
      <c r="S29" s="94"/>
      <c r="T29" s="40"/>
      <c r="U29" s="40"/>
      <c r="V29" s="40"/>
      <c r="W29" s="99"/>
      <c r="X29" s="40"/>
      <c r="Y29" s="94"/>
      <c r="Z29" s="40"/>
      <c r="AA29" s="2">
        <f t="shared" si="1"/>
        <v>76.400000000000006</v>
      </c>
      <c r="AB29" s="2">
        <f t="shared" si="8"/>
        <v>38.200000000000003</v>
      </c>
      <c r="AC29" s="2">
        <f t="shared" si="2"/>
        <v>45.84</v>
      </c>
      <c r="AD29" s="30">
        <f>((AVERAGE(AA18:AA29)*('Summary Page'!$C$2+1))*('Summary Page'!$C$2+1))*('Summary Page'!$C$2+1)</f>
        <v>100.14448586666667</v>
      </c>
      <c r="AE29" s="30">
        <f>((AVERAGE(AA18:AA29)*('Summary Page'!$C$3+1))*('Summary Page'!$C$3+1))*('Summary Page'!$C$3+1)</f>
        <v>125.3092447916667</v>
      </c>
      <c r="AF29" s="30">
        <f>((AVERAGE(AA18:AA29)*('Summary Page'!$C$4+1))*('Summary Page'!$C$4+1))*('Summary Page'!$C$4+1)</f>
        <v>110.8656</v>
      </c>
      <c r="AG29" s="7">
        <v>80</v>
      </c>
      <c r="AJ29" s="7">
        <f t="shared" si="3"/>
        <v>62.4</v>
      </c>
      <c r="AK29" s="7">
        <f>((AVERAGE(B24:B29)*('Summary Page'!$C$2+1))*('Summary Page'!$C$2+1))*('Summary Page'!$C$2+1)</f>
        <v>111.0837653333333</v>
      </c>
      <c r="AL29" s="7">
        <f>((AVERAGE(B24:B29)*('Summary Page'!$C$3+1))*('Summary Page'!$C$3+1))*('Summary Page'!$C$3+1)</f>
        <v>138.99739583333337</v>
      </c>
      <c r="AM29" s="8">
        <f>((AVERAGE(B24:B29)*('Summary Page'!$C$4+1))*('Summary Page'!$C$4+1))*('Summary Page'!$C$4+1)</f>
        <v>122.976</v>
      </c>
      <c r="AP29" s="7">
        <f t="shared" si="4"/>
        <v>56.4</v>
      </c>
      <c r="AQ29" s="7">
        <f>((AVERAGE(C24:C29)*('Summary Page'!$C$2+1))*('Summary Page'!$C$2+1))*('Summary Page'!$C$2+1)</f>
        <v>115.76645333333332</v>
      </c>
      <c r="AR29" s="7">
        <f>((AVERAGE(C24:C29)*('Summary Page'!$C$3+1))*('Summary Page'!$C$3+1))*('Summary Page'!$C$3+1)</f>
        <v>144.85677083333337</v>
      </c>
      <c r="AS29" s="7">
        <f>((AVERAGE(C24:C29)*('Summary Page'!$C$4+1))*('Summary Page'!$C$4+1))*('Summary Page'!$C$4+1)</f>
        <v>128.16</v>
      </c>
      <c r="AV29" s="40">
        <f t="shared" si="5"/>
        <v>73.2</v>
      </c>
      <c r="AW29" s="7">
        <f>((AVERAGE(D24:D29)*('Summary Page'!$C$2+1))*('Summary Page'!$C$2+1))*('Summary Page'!$C$2+1)</f>
        <v>135.53780266666664</v>
      </c>
      <c r="AX29" s="7">
        <f>((AVERAGE(D24:D29)*('Summary Page'!$C$3+1))*('Summary Page'!$C$3+1))*('Summary Page'!$C$3+1)</f>
        <v>169.59635416666663</v>
      </c>
      <c r="AY29" s="8">
        <f>((AVERAGE(D24:D29)*('Summary Page'!$C$4+1))*('Summary Page'!$C$4+1))*('Summary Page'!$C$4+1)</f>
        <v>150.04799999999997</v>
      </c>
      <c r="BB29" s="40">
        <f t="shared" si="6"/>
        <v>37.199999999999996</v>
      </c>
      <c r="BC29" s="30">
        <f>((AVERAGE(E24:E29)*('Summary Page'!$C$2+1))*('Summary Page'!$C$2+1))*('Summary Page'!$C$2+1)</f>
        <v>143.86258133333331</v>
      </c>
      <c r="BD29" s="30">
        <f>((AVERAGE(E24:E29)*('Summary Page'!$C$3+1))*('Summary Page'!$C$3+1))*('Summary Page'!$C$3+1)</f>
        <v>180.01302083333337</v>
      </c>
      <c r="BE29" s="32">
        <f>((AVERAGE(E24:E29)*('Summary Page'!$C$4+1))*('Summary Page'!$C$4+1))*('Summary Page'!$C$4+1)</f>
        <v>159.26399999999998</v>
      </c>
      <c r="BH29" s="40">
        <f t="shared" si="7"/>
        <v>73.2</v>
      </c>
      <c r="BI29" s="7">
        <f>((AVERAGE(N24:N29)*('Summary Page'!$C$2+1))*('Summary Page'!$C$2+1))*('Summary Page'!$C$2+1)</f>
        <v>141.52123733333332</v>
      </c>
      <c r="BJ29" s="7">
        <f>((AVERAGE(N24:N29)*('Summary Page'!$C$3+1))*('Summary Page'!$C$3+1))*('Summary Page'!$C$3+1)</f>
        <v>177.08333333333337</v>
      </c>
      <c r="BK29" s="7">
        <f>((AVERAGE(N24:N29)*('Summary Page'!$C$4+1))*('Summary Page'!$C$4+1))*('Summary Page'!$C$4+1)</f>
        <v>156.672</v>
      </c>
      <c r="BL29" s="16">
        <f t="shared" ref="BL29:BL50" si="17">Q29/7.5/0.89/5</f>
        <v>12.134831460674157</v>
      </c>
      <c r="BM29" s="16">
        <f t="shared" ref="BM29:BM50" si="18">R29/7.5/0.89/5</f>
        <v>12.374531835205993</v>
      </c>
      <c r="BN29" s="7">
        <f t="shared" si="10"/>
        <v>14.849438202247191</v>
      </c>
      <c r="BO29" s="7">
        <f>((AVERAGE(BL24:BL29)*('Summary Page'!$C$2+1))*('Summary Page'!$C$2+1))*('Summary Page'!$C$2+1)</f>
        <v>24.717109692883888</v>
      </c>
      <c r="BP29" s="7">
        <f>((AVERAGE(BL24:BL29)*('Summary Page'!$C$3+1))*('Summary Page'!$C$3+1))*('Summary Page'!$C$3+1)</f>
        <v>30.928136704119851</v>
      </c>
      <c r="BQ29" s="7">
        <f>((AVERAGE(BL24:BL29)*('Summary Page'!$C$4+1))*('Summary Page'!$C$4+1))*('Summary Page'!$C$4+1)</f>
        <v>27.363235955056179</v>
      </c>
      <c r="BR29" s="11">
        <f t="shared" si="11"/>
        <v>14.157303370786517</v>
      </c>
      <c r="BS29" s="11">
        <f t="shared" si="12"/>
        <v>14.436953807740325</v>
      </c>
      <c r="BT29" s="11">
        <f t="shared" si="13"/>
        <v>17.324344569288389</v>
      </c>
      <c r="BU29" s="11">
        <f t="shared" si="14"/>
        <v>28.836627975031202</v>
      </c>
      <c r="BV29" s="11">
        <f t="shared" si="15"/>
        <v>36.08282615480649</v>
      </c>
      <c r="BW29" s="11">
        <f t="shared" si="16"/>
        <v>31.923775280898877</v>
      </c>
    </row>
    <row r="30" spans="1:75" ht="15.75" x14ac:dyDescent="0.25">
      <c r="A30" s="10">
        <v>43801</v>
      </c>
      <c r="B30" s="99">
        <v>79</v>
      </c>
      <c r="C30" s="40">
        <v>81</v>
      </c>
      <c r="D30" s="64">
        <v>110</v>
      </c>
      <c r="E30" s="531">
        <v>76</v>
      </c>
      <c r="F30" s="99">
        <v>52</v>
      </c>
      <c r="G30" s="40">
        <v>52</v>
      </c>
      <c r="H30" s="40">
        <v>63</v>
      </c>
      <c r="I30" s="94">
        <v>40</v>
      </c>
      <c r="J30" s="99"/>
      <c r="K30" s="40"/>
      <c r="L30" s="40"/>
      <c r="M30" s="94"/>
      <c r="N30" s="40">
        <v>108</v>
      </c>
      <c r="O30" s="40">
        <v>67</v>
      </c>
      <c r="P30" s="40"/>
      <c r="Q30" s="99">
        <v>438</v>
      </c>
      <c r="R30" s="40">
        <v>274</v>
      </c>
      <c r="S30" s="94"/>
      <c r="T30" s="40"/>
      <c r="U30" s="40"/>
      <c r="V30" s="40"/>
      <c r="W30" s="99"/>
      <c r="X30" s="40"/>
      <c r="Y30" s="94"/>
      <c r="Z30" s="40"/>
      <c r="AA30" s="2">
        <f t="shared" si="1"/>
        <v>69.2</v>
      </c>
      <c r="AB30" s="2">
        <f t="shared" si="8"/>
        <v>41.4</v>
      </c>
      <c r="AC30" s="2">
        <f t="shared" si="2"/>
        <v>49.68</v>
      </c>
      <c r="AD30" s="30">
        <f>((AVERAGE(AA19:AA30)*('Summary Page'!$C$2+1))*('Summary Page'!$C$2+1))*('Summary Page'!$C$2+1)</f>
        <v>101.39320266666664</v>
      </c>
      <c r="AE30" s="30">
        <f>((AVERAGE(AA19:AA30)*('Summary Page'!$C$3+1))*('Summary Page'!$C$3+1))*('Summary Page'!$C$3+1)</f>
        <v>126.87174479166664</v>
      </c>
      <c r="AF30" s="30">
        <f>((AVERAGE(AA19:AA30)*('Summary Page'!$C$4+1))*('Summary Page'!$C$4+1))*('Summary Page'!$C$4+1)</f>
        <v>112.24799999999998</v>
      </c>
      <c r="AG30" s="7">
        <v>80</v>
      </c>
      <c r="AJ30" s="7">
        <f t="shared" ref="AJ30:AJ49" si="19">F30*1.2</f>
        <v>62.4</v>
      </c>
      <c r="AK30" s="7">
        <f>((AVERAGE(B25:B30)*('Summary Page'!$C$2+1))*('Summary Page'!$C$2+1))*('Summary Page'!$C$2+1)</f>
        <v>113.94540799999997</v>
      </c>
      <c r="AL30" s="7">
        <f>((AVERAGE(B25:B30)*('Summary Page'!$C$3+1))*('Summary Page'!$C$3+1))*('Summary Page'!$C$3+1)</f>
        <v>142.578125</v>
      </c>
      <c r="AM30" s="8">
        <f>((AVERAGE(B25:B30)*('Summary Page'!$C$4+1))*('Summary Page'!$C$4+1))*('Summary Page'!$C$4+1)</f>
        <v>126.14399999999998</v>
      </c>
      <c r="AP30" s="7">
        <f t="shared" ref="AP30:AP66" si="20">G30*1.2</f>
        <v>62.4</v>
      </c>
      <c r="AQ30" s="7">
        <f>((AVERAGE(C25:C30)*('Summary Page'!$C$2+1))*('Summary Page'!$C$2+1))*('Summary Page'!$C$2+1)</f>
        <v>118.10779733333331</v>
      </c>
      <c r="AR30" s="7">
        <f>((AVERAGE(C25:C30)*('Summary Page'!$C$3+1))*('Summary Page'!$C$3+1))*('Summary Page'!$C$3+1)</f>
        <v>147.78645833333337</v>
      </c>
      <c r="AS30" s="7">
        <f>((AVERAGE(C25:C30)*('Summary Page'!$C$4+1))*('Summary Page'!$C$4+1))*('Summary Page'!$C$4+1)</f>
        <v>130.75199999999998</v>
      </c>
      <c r="AV30" s="40">
        <f t="shared" ref="AV30:AV66" si="21">H30*1.2</f>
        <v>75.599999999999994</v>
      </c>
      <c r="AW30" s="7">
        <f>((AVERAGE(D25:D30)*('Summary Page'!$C$2+1))*('Summary Page'!$C$2+1))*('Summary Page'!$C$2+1)</f>
        <v>143.86258133333331</v>
      </c>
      <c r="AX30" s="7">
        <f>((AVERAGE(D25:D30)*('Summary Page'!$C$3+1))*('Summary Page'!$C$3+1))*('Summary Page'!$C$3+1)</f>
        <v>180.01302083333337</v>
      </c>
      <c r="AY30" s="8">
        <f>((AVERAGE(D25:D30)*('Summary Page'!$C$4+1))*('Summary Page'!$C$4+1))*('Summary Page'!$C$4+1)</f>
        <v>159.26399999999998</v>
      </c>
      <c r="BB30" s="40">
        <f t="shared" ref="BB30:BB49" si="22">I30*1.2</f>
        <v>48</v>
      </c>
      <c r="BC30" s="30">
        <f>((AVERAGE(E25:E30)*('Summary Page'!$C$2+1))*('Summary Page'!$C$2+1))*('Summary Page'!$C$2+1)</f>
        <v>137.87914666666663</v>
      </c>
      <c r="BD30" s="30">
        <f>((AVERAGE(E25:E30)*('Summary Page'!$C$3+1))*('Summary Page'!$C$3+1))*('Summary Page'!$C$3+1)</f>
        <v>172.52604166666663</v>
      </c>
      <c r="BE30" s="32">
        <f>((AVERAGE(E25:E30)*('Summary Page'!$C$4+1))*('Summary Page'!$C$4+1))*('Summary Page'!$C$4+1)</f>
        <v>152.63999999999996</v>
      </c>
      <c r="BH30" s="40">
        <f t="shared" ref="BH30:BH50" si="23">O30*1.2</f>
        <v>80.399999999999991</v>
      </c>
      <c r="BI30" s="7">
        <f>((AVERAGE(N25:N30)*('Summary Page'!$C$2+1))*('Summary Page'!$C$2+1))*('Summary Page'!$C$2+1)</f>
        <v>148.28511999999998</v>
      </c>
      <c r="BJ30" s="7">
        <f>((AVERAGE(N25:N30)*('Summary Page'!$C$3+1))*('Summary Page'!$C$3+1))*('Summary Page'!$C$3+1)</f>
        <v>185.546875</v>
      </c>
      <c r="BK30" s="7">
        <f>((AVERAGE(N25:N30)*('Summary Page'!$C$4+1))*('Summary Page'!$C$4+1))*('Summary Page'!$C$4+1)</f>
        <v>164.15999999999997</v>
      </c>
      <c r="BL30" s="16">
        <f t="shared" si="17"/>
        <v>13.123595505617976</v>
      </c>
      <c r="BM30" s="16">
        <f t="shared" si="18"/>
        <v>8.2097378277153545</v>
      </c>
      <c r="BN30" s="7">
        <f t="shared" si="10"/>
        <v>9.8516853932584247</v>
      </c>
      <c r="BO30" s="7">
        <f>((AVERAGE(BL25:BL30)*('Summary Page'!$C$2+1))*('Summary Page'!$C$2+1))*('Summary Page'!$C$2+1)</f>
        <v>23.870601300374528</v>
      </c>
      <c r="BP30" s="7">
        <f>((AVERAGE(BL25:BL30)*('Summary Page'!$C$3+1))*('Summary Page'!$C$3+1))*('Summary Page'!$C$3+1)</f>
        <v>29.868913857677903</v>
      </c>
      <c r="BQ30" s="7">
        <f>((AVERAGE(BL25:BL30)*('Summary Page'!$C$4+1))*('Summary Page'!$C$4+1))*('Summary Page'!$C$4+1)</f>
        <v>26.426103370786517</v>
      </c>
      <c r="BR30" s="11">
        <f t="shared" si="11"/>
        <v>15.310861423220972</v>
      </c>
      <c r="BS30" s="11">
        <f t="shared" si="12"/>
        <v>9.5780274656679136</v>
      </c>
      <c r="BT30" s="11">
        <f t="shared" si="13"/>
        <v>11.493632958801495</v>
      </c>
      <c r="BU30" s="11">
        <f t="shared" si="14"/>
        <v>27.849034850436951</v>
      </c>
      <c r="BV30" s="11">
        <f t="shared" si="15"/>
        <v>34.84706616729089</v>
      </c>
      <c r="BW30" s="11">
        <f t="shared" si="16"/>
        <v>30.83045393258427</v>
      </c>
    </row>
    <row r="31" spans="1:75" ht="15.75" x14ac:dyDescent="0.25">
      <c r="A31" s="10">
        <v>43838</v>
      </c>
      <c r="B31" s="99">
        <v>67</v>
      </c>
      <c r="C31" s="40">
        <v>71</v>
      </c>
      <c r="D31" s="64">
        <v>58</v>
      </c>
      <c r="E31" s="531">
        <v>77</v>
      </c>
      <c r="F31" s="99">
        <v>67</v>
      </c>
      <c r="G31" s="40">
        <v>64</v>
      </c>
      <c r="H31" s="40">
        <v>53</v>
      </c>
      <c r="I31" s="94">
        <v>51</v>
      </c>
      <c r="J31" s="99"/>
      <c r="K31" s="40"/>
      <c r="L31" s="40"/>
      <c r="M31" s="94"/>
      <c r="N31" s="40">
        <v>95</v>
      </c>
      <c r="O31" s="40">
        <v>78</v>
      </c>
      <c r="P31" s="40"/>
      <c r="Q31" s="99">
        <v>397</v>
      </c>
      <c r="R31" s="40">
        <v>414</v>
      </c>
      <c r="S31" s="94"/>
      <c r="T31" s="40"/>
      <c r="U31" s="40"/>
      <c r="V31" s="40"/>
      <c r="W31" s="99"/>
      <c r="X31" s="40"/>
      <c r="Y31" s="94"/>
      <c r="Z31" s="40"/>
      <c r="AA31" s="2">
        <f t="shared" si="1"/>
        <v>54.6</v>
      </c>
      <c r="AB31" s="2">
        <f t="shared" si="8"/>
        <v>47</v>
      </c>
      <c r="AC31" s="2">
        <f t="shared" si="2"/>
        <v>56.4</v>
      </c>
      <c r="AD31" s="30">
        <f>((AVERAGE(AA20:AA31)*('Summary Page'!$C$2+1))*('Summary Page'!$C$2+1))*('Summary Page'!$C$2+1)</f>
        <v>100.35260533333332</v>
      </c>
      <c r="AE31" s="30">
        <f>((AVERAGE(AA20:AA31)*('Summary Page'!$C$3+1))*('Summary Page'!$C$3+1))*('Summary Page'!$C$3+1)</f>
        <v>125.56966145833336</v>
      </c>
      <c r="AF31" s="30">
        <f>((AVERAGE(AA20:AA31)*('Summary Page'!$C$4+1))*('Summary Page'!$C$4+1))*('Summary Page'!$C$4+1)</f>
        <v>111.09599999999999</v>
      </c>
      <c r="AG31" s="7">
        <f t="shared" ref="AG31:AG48" si="24">AG30</f>
        <v>80</v>
      </c>
      <c r="AJ31" s="7">
        <f t="shared" si="19"/>
        <v>80.399999999999991</v>
      </c>
      <c r="AK31" s="7">
        <f>((AVERAGE(B26:B31)*('Summary Page'!$C$2+1))*('Summary Page'!$C$2+1))*('Summary Page'!$C$2+1)</f>
        <v>114.98600533333331</v>
      </c>
      <c r="AL31" s="7">
        <f>((AVERAGE(B26:B31)*('Summary Page'!$C$3+1))*('Summary Page'!$C$3+1))*('Summary Page'!$C$3+1)</f>
        <v>143.88020833333337</v>
      </c>
      <c r="AM31" s="8">
        <f>((AVERAGE(B26:B31)*('Summary Page'!$C$4+1))*('Summary Page'!$C$4+1))*('Summary Page'!$C$4+1)</f>
        <v>127.29599999999999</v>
      </c>
      <c r="AP31" s="7">
        <f t="shared" si="20"/>
        <v>76.8</v>
      </c>
      <c r="AQ31" s="7">
        <f>((AVERAGE(C26:C31)*('Summary Page'!$C$2+1))*('Summary Page'!$C$2+1))*('Summary Page'!$C$2+1)</f>
        <v>119.40854399999998</v>
      </c>
      <c r="AR31" s="7">
        <f>((AVERAGE(C26:C31)*('Summary Page'!$C$3+1))*('Summary Page'!$C$3+1))*('Summary Page'!$C$3+1)</f>
        <v>149.4140625</v>
      </c>
      <c r="AS31" s="7">
        <f>((AVERAGE(C26:C31)*('Summary Page'!$C$4+1))*('Summary Page'!$C$4+1))*('Summary Page'!$C$4+1)</f>
        <v>132.19199999999998</v>
      </c>
      <c r="AV31" s="40">
        <f t="shared" si="21"/>
        <v>63.599999999999994</v>
      </c>
      <c r="AW31" s="7">
        <f>((AVERAGE(D26:D31)*('Summary Page'!$C$2+1))*('Summary Page'!$C$2+1))*('Summary Page'!$C$2+1)</f>
        <v>140.74078933333331</v>
      </c>
      <c r="AX31" s="7">
        <f>((AVERAGE(D26:D31)*('Summary Page'!$C$3+1))*('Summary Page'!$C$3+1))*('Summary Page'!$C$3+1)</f>
        <v>176.10677083333337</v>
      </c>
      <c r="AY31" s="8">
        <f>((AVERAGE(D26:D31)*('Summary Page'!$C$4+1))*('Summary Page'!$C$4+1))*('Summary Page'!$C$4+1)</f>
        <v>155.80799999999999</v>
      </c>
      <c r="BB31" s="40">
        <f t="shared" si="22"/>
        <v>61.199999999999996</v>
      </c>
      <c r="BC31" s="30">
        <f>((AVERAGE(E26:E31)*('Summary Page'!$C$2+1))*('Summary Page'!$C$2+1))*('Summary Page'!$C$2+1)</f>
        <v>134.49720533333331</v>
      </c>
      <c r="BD31" s="30">
        <f>((AVERAGE(E26:E31)*('Summary Page'!$C$3+1))*('Summary Page'!$C$3+1))*('Summary Page'!$C$3+1)</f>
        <v>168.29427083333337</v>
      </c>
      <c r="BE31" s="32">
        <f>((AVERAGE(E26:E31)*('Summary Page'!$C$4+1))*('Summary Page'!$C$4+1))*('Summary Page'!$C$4+1)</f>
        <v>148.89599999999999</v>
      </c>
      <c r="BH31" s="40">
        <f t="shared" si="23"/>
        <v>93.6</v>
      </c>
      <c r="BI31" s="7">
        <f>((AVERAGE(N26:N31)*('Summary Page'!$C$2+1))*('Summary Page'!$C$2+1))*('Summary Page'!$C$2+1)</f>
        <v>151.66706133333329</v>
      </c>
      <c r="BJ31" s="7">
        <f>((AVERAGE(N26:N31)*('Summary Page'!$C$3+1))*('Summary Page'!$C$3+1))*('Summary Page'!$C$3+1)</f>
        <v>189.77864583333337</v>
      </c>
      <c r="BK31" s="7">
        <f>((AVERAGE(N26:N31)*('Summary Page'!$C$4+1))*('Summary Page'!$C$4+1))*('Summary Page'!$C$4+1)</f>
        <v>167.90399999999997</v>
      </c>
      <c r="BL31" s="16">
        <f t="shared" si="17"/>
        <v>11.895131086142321</v>
      </c>
      <c r="BM31" s="16">
        <f t="shared" si="18"/>
        <v>12.404494382022472</v>
      </c>
      <c r="BN31" s="7">
        <f t="shared" si="10"/>
        <v>14.885393258426966</v>
      </c>
      <c r="BO31" s="7">
        <f>((AVERAGE(BL26:BL31)*('Summary Page'!$C$2+1))*('Summary Page'!$C$2+1))*('Summary Page'!$C$2+1)</f>
        <v>22.986678172284641</v>
      </c>
      <c r="BP31" s="7">
        <f>((AVERAGE(BL26:BL31)*('Summary Page'!$C$3+1))*('Summary Page'!$C$3+1))*('Summary Page'!$C$3+1)</f>
        <v>28.762874531835209</v>
      </c>
      <c r="BQ31" s="7">
        <f>((AVERAGE(BL26:BL31)*('Summary Page'!$C$4+1))*('Summary Page'!$C$4+1))*('Summary Page'!$C$4+1)</f>
        <v>25.447550561797751</v>
      </c>
      <c r="BR31" s="11">
        <f t="shared" si="11"/>
        <v>13.877652933832708</v>
      </c>
      <c r="BS31" s="11">
        <f t="shared" si="12"/>
        <v>14.47191011235955</v>
      </c>
      <c r="BT31" s="11">
        <f t="shared" si="13"/>
        <v>17.366292134831461</v>
      </c>
      <c r="BU31" s="11">
        <f t="shared" si="14"/>
        <v>26.817791200998748</v>
      </c>
      <c r="BV31" s="11">
        <f t="shared" si="15"/>
        <v>33.556686953807741</v>
      </c>
      <c r="BW31" s="11">
        <f t="shared" si="16"/>
        <v>29.688808988764045</v>
      </c>
    </row>
    <row r="32" spans="1:75" ht="15.75" x14ac:dyDescent="0.25">
      <c r="A32" s="10">
        <v>43864</v>
      </c>
      <c r="B32" s="99">
        <v>60</v>
      </c>
      <c r="C32" s="40">
        <v>74</v>
      </c>
      <c r="D32" s="64">
        <v>60</v>
      </c>
      <c r="E32" s="531">
        <v>68</v>
      </c>
      <c r="F32" s="99">
        <v>39</v>
      </c>
      <c r="G32" s="40">
        <v>44</v>
      </c>
      <c r="H32" s="40">
        <v>36</v>
      </c>
      <c r="I32" s="94">
        <v>38</v>
      </c>
      <c r="J32" s="99"/>
      <c r="K32" s="40"/>
      <c r="L32" s="40"/>
      <c r="M32" s="94"/>
      <c r="N32" s="40">
        <v>97</v>
      </c>
      <c r="O32" s="40">
        <v>56</v>
      </c>
      <c r="P32" s="40"/>
      <c r="Q32" s="99">
        <v>403</v>
      </c>
      <c r="R32" s="40">
        <v>427</v>
      </c>
      <c r="S32" s="94"/>
      <c r="T32" s="40"/>
      <c r="U32" s="40"/>
      <c r="V32" s="40"/>
      <c r="W32" s="99"/>
      <c r="X32" s="40"/>
      <c r="Y32" s="94"/>
      <c r="Z32" s="40"/>
      <c r="AA32" s="2">
        <f t="shared" si="1"/>
        <v>52.4</v>
      </c>
      <c r="AB32" s="2">
        <f t="shared" si="8"/>
        <v>31.4</v>
      </c>
      <c r="AC32" s="2">
        <f t="shared" si="2"/>
        <v>37.68</v>
      </c>
      <c r="AD32" s="30">
        <f>((AVERAGE(AA21:AA32)*('Summary Page'!$C$2+1))*('Summary Page'!$C$2+1))*('Summary Page'!$C$2+1)</f>
        <v>99.07787359999999</v>
      </c>
      <c r="AE32" s="30">
        <f>((AVERAGE(AA21:AA32)*('Summary Page'!$C$3+1))*('Summary Page'!$C$3+1))*('Summary Page'!$C$3+1)</f>
        <v>123.974609375</v>
      </c>
      <c r="AF32" s="30">
        <f>((AVERAGE(AA21:AA32)*('Summary Page'!$C$4+1))*('Summary Page'!$C$4+1))*('Summary Page'!$C$4+1)</f>
        <v>109.6848</v>
      </c>
      <c r="AG32" s="7">
        <f t="shared" si="24"/>
        <v>80</v>
      </c>
      <c r="AJ32" s="7">
        <f t="shared" si="19"/>
        <v>46.8</v>
      </c>
      <c r="AK32" s="7">
        <f>((AVERAGE(B27:B32)*('Summary Page'!$C$2+1))*('Summary Page'!$C$2+1))*('Summary Page'!$C$2+1)</f>
        <v>114.98600533333331</v>
      </c>
      <c r="AL32" s="7">
        <f>((AVERAGE(B27:B32)*('Summary Page'!$C$3+1))*('Summary Page'!$C$3+1))*('Summary Page'!$C$3+1)</f>
        <v>143.88020833333337</v>
      </c>
      <c r="AM32" s="8">
        <f>((AVERAGE(B27:B32)*('Summary Page'!$C$4+1))*('Summary Page'!$C$4+1))*('Summary Page'!$C$4+1)</f>
        <v>127.29599999999999</v>
      </c>
      <c r="AP32" s="7">
        <f t="shared" si="20"/>
        <v>52.8</v>
      </c>
      <c r="AQ32" s="7">
        <f>((AVERAGE(C27:C32)*('Summary Page'!$C$2+1))*('Summary Page'!$C$2+1))*('Summary Page'!$C$2+1)</f>
        <v>121.74988799999997</v>
      </c>
      <c r="AR32" s="7">
        <f>((AVERAGE(C27:C32)*('Summary Page'!$C$3+1))*('Summary Page'!$C$3+1))*('Summary Page'!$C$3+1)</f>
        <v>152.34375</v>
      </c>
      <c r="AS32" s="7">
        <f>((AVERAGE(C27:C32)*('Summary Page'!$C$4+1))*('Summary Page'!$C$4+1))*('Summary Page'!$C$4+1)</f>
        <v>134.78399999999999</v>
      </c>
      <c r="AV32" s="40">
        <f t="shared" si="21"/>
        <v>43.199999999999996</v>
      </c>
      <c r="AW32" s="7">
        <f>((AVERAGE(D27:D32)*('Summary Page'!$C$2+1))*('Summary Page'!$C$2+1))*('Summary Page'!$C$2+1)</f>
        <v>138.91974399999998</v>
      </c>
      <c r="AX32" s="7">
        <f>((AVERAGE(D27:D32)*('Summary Page'!$C$3+1))*('Summary Page'!$C$3+1))*('Summary Page'!$C$3+1)</f>
        <v>173.828125</v>
      </c>
      <c r="AY32" s="8">
        <f>((AVERAGE(D27:D32)*('Summary Page'!$C$4+1))*('Summary Page'!$C$4+1))*('Summary Page'!$C$4+1)</f>
        <v>153.792</v>
      </c>
      <c r="BB32" s="40">
        <f t="shared" si="22"/>
        <v>45.6</v>
      </c>
      <c r="BC32" s="30">
        <f>((AVERAGE(E27:E32)*('Summary Page'!$C$2+1))*('Summary Page'!$C$2+1))*('Summary Page'!$C$2+1)</f>
        <v>135.27765333333332</v>
      </c>
      <c r="BD32" s="30">
        <f>((AVERAGE(E27:E32)*('Summary Page'!$C$3+1))*('Summary Page'!$C$3+1))*('Summary Page'!$C$3+1)</f>
        <v>169.27083333333337</v>
      </c>
      <c r="BE32" s="32">
        <f>((AVERAGE(E27:E32)*('Summary Page'!$C$4+1))*('Summary Page'!$C$4+1))*('Summary Page'!$C$4+1)</f>
        <v>149.76</v>
      </c>
      <c r="BH32" s="40">
        <f t="shared" si="23"/>
        <v>67.2</v>
      </c>
      <c r="BI32" s="7">
        <f>((AVERAGE(N27:N32)*('Summary Page'!$C$2+1))*('Summary Page'!$C$2+1))*('Summary Page'!$C$2+1)</f>
        <v>157.3903466666666</v>
      </c>
      <c r="BJ32" s="7">
        <f>((AVERAGE(N27:N32)*('Summary Page'!$C$3+1))*('Summary Page'!$C$3+1))*('Summary Page'!$C$3+1)</f>
        <v>196.94010416666663</v>
      </c>
      <c r="BK32" s="7">
        <f>((AVERAGE(N27:N32)*('Summary Page'!$C$4+1))*('Summary Page'!$C$4+1))*('Summary Page'!$C$4+1)</f>
        <v>174.23999999999998</v>
      </c>
      <c r="BL32" s="16">
        <f t="shared" si="17"/>
        <v>12.074906367041198</v>
      </c>
      <c r="BM32" s="16">
        <f t="shared" si="18"/>
        <v>12.794007490636703</v>
      </c>
      <c r="BN32" s="7">
        <f t="shared" ref="BN32:BN50" si="25">BM32*1.2</f>
        <v>15.352808988764043</v>
      </c>
      <c r="BO32" s="7">
        <f>((AVERAGE(BL27:BL32)*('Summary Page'!$C$2+1))*('Summary Page'!$C$2+1))*('Summary Page'!$C$2+1)</f>
        <v>21.186094022471906</v>
      </c>
      <c r="BP32" s="7">
        <f>((AVERAGE(BL27:BL32)*('Summary Page'!$C$3+1))*('Summary Page'!$C$3+1))*('Summary Page'!$C$3+1)</f>
        <v>26.50983146067416</v>
      </c>
      <c r="BQ32" s="7">
        <f>((AVERAGE(BL27:BL32)*('Summary Page'!$C$4+1))*('Summary Page'!$C$4+1))*('Summary Page'!$C$4+1)</f>
        <v>23.454202247191009</v>
      </c>
      <c r="BR32" s="11">
        <f t="shared" ref="BR32:BR50" si="26">(BL32/6)+BL32</f>
        <v>14.087390761548065</v>
      </c>
      <c r="BS32" s="11">
        <f t="shared" si="12"/>
        <v>14.926342072409486</v>
      </c>
      <c r="BT32" s="11">
        <f t="shared" si="13"/>
        <v>17.911610486891384</v>
      </c>
      <c r="BU32" s="11">
        <f t="shared" si="14"/>
        <v>24.717109692883891</v>
      </c>
      <c r="BV32" s="11">
        <f t="shared" si="15"/>
        <v>30.928136704119854</v>
      </c>
      <c r="BW32" s="11">
        <f t="shared" si="16"/>
        <v>27.363235955056176</v>
      </c>
    </row>
    <row r="33" spans="1:75" ht="15.75" x14ac:dyDescent="0.25">
      <c r="A33" s="10">
        <v>43894</v>
      </c>
      <c r="B33" s="99">
        <v>48</v>
      </c>
      <c r="C33" s="40">
        <v>64</v>
      </c>
      <c r="D33" s="64">
        <v>52</v>
      </c>
      <c r="E33" s="531">
        <v>68</v>
      </c>
      <c r="F33" s="99">
        <v>44</v>
      </c>
      <c r="G33" s="40">
        <v>50</v>
      </c>
      <c r="H33" s="40">
        <v>43</v>
      </c>
      <c r="I33" s="94">
        <v>42</v>
      </c>
      <c r="J33" s="99"/>
      <c r="K33" s="40"/>
      <c r="L33" s="40"/>
      <c r="M33" s="94"/>
      <c r="N33" s="40">
        <v>79</v>
      </c>
      <c r="O33" s="40">
        <v>59</v>
      </c>
      <c r="P33" s="40"/>
      <c r="Q33" s="99">
        <v>347</v>
      </c>
      <c r="R33" s="40">
        <v>276</v>
      </c>
      <c r="S33" s="94"/>
      <c r="T33" s="40"/>
      <c r="U33" s="40"/>
      <c r="V33" s="40"/>
      <c r="W33" s="99"/>
      <c r="X33" s="40"/>
      <c r="Y33" s="94"/>
      <c r="Z33" s="40"/>
      <c r="AA33" s="2">
        <f t="shared" si="1"/>
        <v>46.4</v>
      </c>
      <c r="AB33" s="2">
        <f t="shared" si="8"/>
        <v>35.799999999999997</v>
      </c>
      <c r="AC33" s="2">
        <f t="shared" si="2"/>
        <v>42.959999999999994</v>
      </c>
      <c r="AD33" s="30">
        <f>((AVERAGE(AA22:AA33)*('Summary Page'!$C$2+1))*('Summary Page'!$C$2+1))*('Summary Page'!$C$2+1)</f>
        <v>96.229238399999986</v>
      </c>
      <c r="AE33" s="30">
        <f>((AVERAGE(AA22:AA33)*('Summary Page'!$C$3+1))*('Summary Page'!$C$3+1))*('Summary Page'!$C$3+1)</f>
        <v>120.41015625</v>
      </c>
      <c r="AF33" s="30">
        <f>((AVERAGE(AA22:AA33)*('Summary Page'!$C$4+1))*('Summary Page'!$C$4+1))*('Summary Page'!$C$4+1)</f>
        <v>106.53119999999997</v>
      </c>
      <c r="AG33" s="7">
        <f t="shared" si="24"/>
        <v>80</v>
      </c>
      <c r="AJ33" s="7">
        <f t="shared" si="19"/>
        <v>52.8</v>
      </c>
      <c r="AK33" s="7">
        <f>((AVERAGE(B28:B33)*('Summary Page'!$C$2+1))*('Summary Page'!$C$2+1))*('Summary Page'!$C$2+1)</f>
        <v>110.56346666666664</v>
      </c>
      <c r="AL33" s="7">
        <f>((AVERAGE(B28:B33)*('Summary Page'!$C$3+1))*('Summary Page'!$C$3+1))*('Summary Page'!$C$3+1)</f>
        <v>138.34635416666663</v>
      </c>
      <c r="AM33" s="8">
        <f>((AVERAGE(B28:B33)*('Summary Page'!$C$4+1))*('Summary Page'!$C$4+1))*('Summary Page'!$C$4+1)</f>
        <v>122.39999999999998</v>
      </c>
      <c r="AP33" s="7">
        <f t="shared" si="20"/>
        <v>60</v>
      </c>
      <c r="AQ33" s="7">
        <f>((AVERAGE(C28:C33)*('Summary Page'!$C$2+1))*('Summary Page'!$C$2+1))*('Summary Page'!$C$2+1)</f>
        <v>120.18899199999997</v>
      </c>
      <c r="AR33" s="7">
        <f>((AVERAGE(C28:C33)*('Summary Page'!$C$3+1))*('Summary Page'!$C$3+1))*('Summary Page'!$C$3+1)</f>
        <v>150.390625</v>
      </c>
      <c r="AS33" s="7">
        <f>((AVERAGE(C28:C33)*('Summary Page'!$C$4+1))*('Summary Page'!$C$4+1))*('Summary Page'!$C$4+1)</f>
        <v>133.05599999999998</v>
      </c>
      <c r="AV33" s="40">
        <f t="shared" si="21"/>
        <v>51.6</v>
      </c>
      <c r="AW33" s="7">
        <f>((AVERAGE(D28:D33)*('Summary Page'!$C$2+1))*('Summary Page'!$C$2+1))*('Summary Page'!$C$2+1)</f>
        <v>132.67615999999998</v>
      </c>
      <c r="AX33" s="7">
        <f>((AVERAGE(D28:D33)*('Summary Page'!$C$3+1))*('Summary Page'!$C$3+1))*('Summary Page'!$C$3+1)</f>
        <v>166.015625</v>
      </c>
      <c r="AY33" s="8">
        <f>((AVERAGE(D28:D33)*('Summary Page'!$C$4+1))*('Summary Page'!$C$4+1))*('Summary Page'!$C$4+1)</f>
        <v>146.88</v>
      </c>
      <c r="BB33" s="40">
        <f t="shared" si="22"/>
        <v>50.4</v>
      </c>
      <c r="BC33" s="30">
        <f>((AVERAGE(E28:E33)*('Summary Page'!$C$2+1))*('Summary Page'!$C$2+1))*('Summary Page'!$C$2+1)</f>
        <v>130.85511466666662</v>
      </c>
      <c r="BD33" s="30">
        <f>((AVERAGE(E28:E33)*('Summary Page'!$C$3+1))*('Summary Page'!$C$3+1))*('Summary Page'!$C$3+1)</f>
        <v>163.73697916666663</v>
      </c>
      <c r="BE33" s="32">
        <f>((AVERAGE(E28:E33)*('Summary Page'!$C$4+1))*('Summary Page'!$C$4+1))*('Summary Page'!$C$4+1)</f>
        <v>144.86399999999998</v>
      </c>
      <c r="BH33" s="40">
        <f t="shared" si="23"/>
        <v>70.8</v>
      </c>
      <c r="BI33" s="7">
        <f>((AVERAGE(N28:N33)*('Summary Page'!$C$2+1))*('Summary Page'!$C$2+1))*('Summary Page'!$C$2+1)</f>
        <v>157.65049599999998</v>
      </c>
      <c r="BJ33" s="7">
        <f>((AVERAGE(N28:N33)*('Summary Page'!$C$3+1))*('Summary Page'!$C$3+1))*('Summary Page'!$C$3+1)</f>
        <v>197.265625</v>
      </c>
      <c r="BK33" s="7">
        <f>((AVERAGE(N28:N33)*('Summary Page'!$C$4+1))*('Summary Page'!$C$4+1))*('Summary Page'!$C$4+1)</f>
        <v>174.52799999999996</v>
      </c>
      <c r="BL33" s="16">
        <f t="shared" si="17"/>
        <v>10.397003745318353</v>
      </c>
      <c r="BM33" s="16">
        <f t="shared" si="18"/>
        <v>8.2696629213483135</v>
      </c>
      <c r="BN33" s="7">
        <f t="shared" si="25"/>
        <v>9.9235955056179765</v>
      </c>
      <c r="BO33" s="7">
        <f>((AVERAGE(BL28:BL33)*('Summary Page'!$C$2+1))*('Summary Page'!$C$2+1))*('Summary Page'!$C$2+1)</f>
        <v>18.77752041947565</v>
      </c>
      <c r="BP33" s="7">
        <f>((AVERAGE(BL28:BL33)*('Summary Page'!$C$3+1))*('Summary Page'!$C$3+1))*('Summary Page'!$C$3+1)</f>
        <v>23.496020599250937</v>
      </c>
      <c r="BQ33" s="7">
        <f>((AVERAGE(BL28:BL33)*('Summary Page'!$C$4+1))*('Summary Page'!$C$4+1))*('Summary Page'!$C$4+1)</f>
        <v>20.787775280898877</v>
      </c>
      <c r="BR33" s="11">
        <f t="shared" si="26"/>
        <v>12.129837702871411</v>
      </c>
      <c r="BS33" s="11">
        <f t="shared" si="12"/>
        <v>9.6479400749063657</v>
      </c>
      <c r="BT33" s="11">
        <f t="shared" si="13"/>
        <v>11.57752808988764</v>
      </c>
      <c r="BU33" s="11">
        <f t="shared" si="14"/>
        <v>21.907107156054924</v>
      </c>
      <c r="BV33" s="11">
        <f t="shared" si="15"/>
        <v>27.412024032459428</v>
      </c>
      <c r="BW33" s="11">
        <f t="shared" si="16"/>
        <v>24.252404494382024</v>
      </c>
    </row>
    <row r="34" spans="1:75" ht="15.75" x14ac:dyDescent="0.25">
      <c r="A34" s="10">
        <v>43927</v>
      </c>
      <c r="B34" s="99">
        <v>62</v>
      </c>
      <c r="C34" s="40">
        <v>74</v>
      </c>
      <c r="D34" s="64">
        <v>62</v>
      </c>
      <c r="E34" s="531">
        <v>66</v>
      </c>
      <c r="F34" s="99">
        <v>54</v>
      </c>
      <c r="G34" s="40">
        <v>70</v>
      </c>
      <c r="H34" s="40">
        <v>60</v>
      </c>
      <c r="I34" s="94">
        <v>57</v>
      </c>
      <c r="J34" s="99"/>
      <c r="K34" s="40"/>
      <c r="L34" s="40"/>
      <c r="M34" s="94"/>
      <c r="N34" s="40">
        <v>84</v>
      </c>
      <c r="O34" s="40">
        <v>81</v>
      </c>
      <c r="P34" s="40"/>
      <c r="Q34" s="99">
        <v>592</v>
      </c>
      <c r="R34" s="40">
        <v>592</v>
      </c>
      <c r="S34" s="94"/>
      <c r="T34" s="40"/>
      <c r="U34" s="40"/>
      <c r="V34" s="40"/>
      <c r="W34" s="99"/>
      <c r="X34" s="40"/>
      <c r="Y34" s="94"/>
      <c r="Z34" s="40"/>
      <c r="AA34" s="2">
        <f t="shared" si="1"/>
        <v>52.8</v>
      </c>
      <c r="AB34" s="2">
        <f t="shared" si="8"/>
        <v>48.2</v>
      </c>
      <c r="AC34" s="2">
        <f t="shared" si="2"/>
        <v>57.84</v>
      </c>
      <c r="AD34" s="30">
        <f>((AVERAGE(AA23:AA34)*('Summary Page'!$C$2+1))*('Summary Page'!$C$2+1))*('Summary Page'!$C$2+1)</f>
        <v>94.824431999999987</v>
      </c>
      <c r="AE34" s="30">
        <f>((AVERAGE(AA23:AA34)*('Summary Page'!$C$3+1))*('Summary Page'!$C$3+1))*('Summary Page'!$C$3+1)</f>
        <v>118.65234375</v>
      </c>
      <c r="AF34" s="30">
        <f>((AVERAGE(AA23:AA34)*('Summary Page'!$C$4+1))*('Summary Page'!$C$4+1))*('Summary Page'!$C$4+1)</f>
        <v>104.97599999999998</v>
      </c>
      <c r="AG34" s="7">
        <f t="shared" si="24"/>
        <v>80</v>
      </c>
      <c r="AJ34" s="7">
        <f t="shared" si="19"/>
        <v>64.8</v>
      </c>
      <c r="AK34" s="7">
        <f>((AVERAGE(B29:B34)*('Summary Page'!$C$2+1))*('Summary Page'!$C$2+1))*('Summary Page'!$C$2+1)</f>
        <v>104.31988266666664</v>
      </c>
      <c r="AL34" s="7">
        <f>((AVERAGE(B29:B34)*('Summary Page'!$C$3+1))*('Summary Page'!$C$3+1))*('Summary Page'!$C$3+1)</f>
        <v>130.53385416666663</v>
      </c>
      <c r="AM34" s="8">
        <f>((AVERAGE(B29:B34)*('Summary Page'!$C$4+1))*('Summary Page'!$C$4+1))*('Summary Page'!$C$4+1)</f>
        <v>115.48799999999997</v>
      </c>
      <c r="AP34" s="7">
        <f t="shared" si="20"/>
        <v>84</v>
      </c>
      <c r="AQ34" s="7">
        <f>((AVERAGE(C29:C34)*('Summary Page'!$C$2+1))*('Summary Page'!$C$2+1))*('Summary Page'!$C$2+1)</f>
        <v>117.58749866666665</v>
      </c>
      <c r="AR34" s="7">
        <f>((AVERAGE(C29:C34)*('Summary Page'!$C$3+1))*('Summary Page'!$C$3+1))*('Summary Page'!$C$3+1)</f>
        <v>147.13541666666663</v>
      </c>
      <c r="AS34" s="7">
        <f>((AVERAGE(C29:C34)*('Summary Page'!$C$4+1))*('Summary Page'!$C$4+1))*('Summary Page'!$C$4+1)</f>
        <v>130.17599999999999</v>
      </c>
      <c r="AV34" s="40">
        <f t="shared" si="21"/>
        <v>72</v>
      </c>
      <c r="AW34" s="7">
        <f>((AVERAGE(D29:D34)*('Summary Page'!$C$2+1))*('Summary Page'!$C$2+1))*('Summary Page'!$C$2+1)</f>
        <v>119.66869333333332</v>
      </c>
      <c r="AX34" s="7">
        <f>((AVERAGE(D29:D34)*('Summary Page'!$C$3+1))*('Summary Page'!$C$3+1))*('Summary Page'!$C$3+1)</f>
        <v>149.73958333333337</v>
      </c>
      <c r="AY34" s="8">
        <f>((AVERAGE(D29:D34)*('Summary Page'!$C$4+1))*('Summary Page'!$C$4+1))*('Summary Page'!$C$4+1)</f>
        <v>132.47999999999999</v>
      </c>
      <c r="BB34" s="40">
        <f t="shared" si="22"/>
        <v>68.399999999999991</v>
      </c>
      <c r="BC34" s="30">
        <f>((AVERAGE(E29:E34)*('Summary Page'!$C$2+1))*('Summary Page'!$C$2+1))*('Summary Page'!$C$2+1)</f>
        <v>116.02660266666663</v>
      </c>
      <c r="BD34" s="30">
        <f>((AVERAGE(E29:E34)*('Summary Page'!$C$3+1))*('Summary Page'!$C$3+1))*('Summary Page'!$C$3+1)</f>
        <v>145.18229166666663</v>
      </c>
      <c r="BE34" s="32">
        <f>((AVERAGE(E29:E34)*('Summary Page'!$C$4+1))*('Summary Page'!$C$4+1))*('Summary Page'!$C$4+1)</f>
        <v>128.44799999999998</v>
      </c>
      <c r="BH34" s="40">
        <f t="shared" si="23"/>
        <v>97.2</v>
      </c>
      <c r="BI34" s="7">
        <f>((AVERAGE(N29:N34)*('Summary Page'!$C$2+1))*('Summary Page'!$C$2+1))*('Summary Page'!$C$2+1)</f>
        <v>151.14676266666663</v>
      </c>
      <c r="BJ34" s="7">
        <f>((AVERAGE(N29:N34)*('Summary Page'!$C$3+1))*('Summary Page'!$C$3+1))*('Summary Page'!$C$3+1)</f>
        <v>189.12760416666663</v>
      </c>
      <c r="BK34" s="7">
        <f>((AVERAGE(N29:N34)*('Summary Page'!$C$4+1))*('Summary Page'!$C$4+1))*('Summary Page'!$C$4+1)</f>
        <v>167.32799999999995</v>
      </c>
      <c r="BL34" s="16">
        <f t="shared" si="17"/>
        <v>17.737827715355806</v>
      </c>
      <c r="BM34" s="16">
        <f t="shared" si="18"/>
        <v>17.737827715355806</v>
      </c>
      <c r="BN34" s="7">
        <f t="shared" si="25"/>
        <v>21.285393258426968</v>
      </c>
      <c r="BO34" s="7">
        <f>((AVERAGE(BL29:BL34)*('Summary Page'!$C$2+1))*('Summary Page'!$C$2+1))*('Summary Page'!$C$2+1)</f>
        <v>20.126009847690387</v>
      </c>
      <c r="BP34" s="7">
        <f>((AVERAGE(BL29:BL34)*('Summary Page'!$C$3+1))*('Summary Page'!$C$3+1))*('Summary Page'!$C$3+1)</f>
        <v>25.183364544319602</v>
      </c>
      <c r="BQ34" s="7">
        <f>((AVERAGE(BL29:BL34)*('Summary Page'!$C$4+1))*('Summary Page'!$C$4+1))*('Summary Page'!$C$4+1)</f>
        <v>22.280629213483145</v>
      </c>
      <c r="BR34" s="11">
        <f t="shared" si="26"/>
        <v>20.694132334581774</v>
      </c>
      <c r="BS34" s="11">
        <f t="shared" si="12"/>
        <v>20.694132334581774</v>
      </c>
      <c r="BT34" s="11">
        <f t="shared" si="13"/>
        <v>24.83295880149813</v>
      </c>
      <c r="BU34" s="11">
        <f t="shared" si="14"/>
        <v>23.480344822305451</v>
      </c>
      <c r="BV34" s="11">
        <f t="shared" si="15"/>
        <v>29.380591968372869</v>
      </c>
      <c r="BW34" s="11">
        <f t="shared" si="16"/>
        <v>25.994067415730335</v>
      </c>
    </row>
    <row r="35" spans="1:75" ht="15.75" x14ac:dyDescent="0.25">
      <c r="A35" s="10">
        <v>43955</v>
      </c>
      <c r="B35" s="99">
        <v>65</v>
      </c>
      <c r="C35" s="40">
        <v>81</v>
      </c>
      <c r="D35" s="64">
        <v>68</v>
      </c>
      <c r="E35" s="531">
        <v>75</v>
      </c>
      <c r="F35" s="99">
        <v>52</v>
      </c>
      <c r="G35" s="40">
        <v>65</v>
      </c>
      <c r="H35" s="40">
        <v>55</v>
      </c>
      <c r="I35" s="94">
        <v>48</v>
      </c>
      <c r="J35" s="99"/>
      <c r="K35" s="40"/>
      <c r="L35" s="40"/>
      <c r="M35" s="94"/>
      <c r="N35" s="40">
        <v>96</v>
      </c>
      <c r="O35" s="40">
        <v>76</v>
      </c>
      <c r="P35" s="40"/>
      <c r="Q35" s="99">
        <v>461</v>
      </c>
      <c r="R35" s="40">
        <v>460</v>
      </c>
      <c r="S35" s="94"/>
      <c r="T35" s="40"/>
      <c r="U35" s="40"/>
      <c r="V35" s="40"/>
      <c r="W35" s="99"/>
      <c r="X35" s="40"/>
      <c r="Y35" s="94"/>
      <c r="Z35" s="40"/>
      <c r="AA35" s="2">
        <f t="shared" si="1"/>
        <v>57.8</v>
      </c>
      <c r="AB35" s="2">
        <f t="shared" si="8"/>
        <v>44</v>
      </c>
      <c r="AC35" s="2">
        <f t="shared" si="2"/>
        <v>52.8</v>
      </c>
      <c r="AD35" s="30">
        <f>((AVERAGE(AA24:AA35)*('Summary Page'!$C$2+1))*('Summary Page'!$C$2+1))*('Summary Page'!$C$2+1)</f>
        <v>93.965939199999966</v>
      </c>
      <c r="AE35" s="30">
        <f>((AVERAGE(AA24:AA35)*('Summary Page'!$C$3+1))*('Summary Page'!$C$3+1))*('Summary Page'!$C$3+1)</f>
        <v>117.57812499999999</v>
      </c>
      <c r="AF35" s="30">
        <f>((AVERAGE(AA24:AA35)*('Summary Page'!$C$4+1))*('Summary Page'!$C$4+1))*('Summary Page'!$C$4+1)</f>
        <v>104.02559999999997</v>
      </c>
      <c r="AG35" s="7">
        <f t="shared" si="24"/>
        <v>80</v>
      </c>
      <c r="AJ35" s="7">
        <f t="shared" si="19"/>
        <v>62.4</v>
      </c>
      <c r="AK35" s="7">
        <f>((AVERAGE(B30:B35)*('Summary Page'!$C$2+1))*('Summary Page'!$C$2+1))*('Summary Page'!$C$2+1)</f>
        <v>99.116895999999969</v>
      </c>
      <c r="AL35" s="7">
        <f>((AVERAGE(B30:B35)*('Summary Page'!$C$3+1))*('Summary Page'!$C$3+1))*('Summary Page'!$C$3+1)</f>
        <v>124.0234375</v>
      </c>
      <c r="AM35" s="8">
        <f>((AVERAGE(B30:B35)*('Summary Page'!$C$4+1))*('Summary Page'!$C$4+1))*('Summary Page'!$C$4+1)</f>
        <v>109.72799999999999</v>
      </c>
      <c r="AP35" s="7">
        <f t="shared" si="20"/>
        <v>78</v>
      </c>
      <c r="AQ35" s="7">
        <f>((AVERAGE(C30:C35)*('Summary Page'!$C$2+1))*('Summary Page'!$C$2+1))*('Summary Page'!$C$2+1)</f>
        <v>115.76645333333332</v>
      </c>
      <c r="AR35" s="7">
        <f>((AVERAGE(C30:C35)*('Summary Page'!$C$3+1))*('Summary Page'!$C$3+1))*('Summary Page'!$C$3+1)</f>
        <v>144.85677083333337</v>
      </c>
      <c r="AS35" s="7">
        <f>((AVERAGE(C30:C35)*('Summary Page'!$C$4+1))*('Summary Page'!$C$4+1))*('Summary Page'!$C$4+1)</f>
        <v>128.16</v>
      </c>
      <c r="AV35" s="40">
        <f t="shared" si="21"/>
        <v>66</v>
      </c>
      <c r="AW35" s="7">
        <f>((AVERAGE(D30:D35)*('Summary Page'!$C$2+1))*('Summary Page'!$C$2+1))*('Summary Page'!$C$2+1)</f>
        <v>106.66122666666664</v>
      </c>
      <c r="AX35" s="7">
        <f>((AVERAGE(D30:D35)*('Summary Page'!$C$3+1))*('Summary Page'!$C$3+1))*('Summary Page'!$C$3+1)</f>
        <v>133.46354166666663</v>
      </c>
      <c r="AY35" s="8">
        <f>((AVERAGE(D30:D35)*('Summary Page'!$C$4+1))*('Summary Page'!$C$4+1))*('Summary Page'!$C$4+1)</f>
        <v>118.07999999999997</v>
      </c>
      <c r="BB35" s="40">
        <f t="shared" si="22"/>
        <v>57.599999999999994</v>
      </c>
      <c r="BC35" s="30">
        <f>((AVERAGE(E30:E35)*('Summary Page'!$C$2+1))*('Summary Page'!$C$2+1))*('Summary Page'!$C$2+1)</f>
        <v>111.86421333333332</v>
      </c>
      <c r="BD35" s="30">
        <f>((AVERAGE(E30:E35)*('Summary Page'!$C$3+1))*('Summary Page'!$C$3+1))*('Summary Page'!$C$3+1)</f>
        <v>139.97395833333337</v>
      </c>
      <c r="BE35" s="32">
        <f>((AVERAGE(E30:E35)*('Summary Page'!$C$4+1))*('Summary Page'!$C$4+1))*('Summary Page'!$C$4+1)</f>
        <v>123.84</v>
      </c>
      <c r="BH35" s="40">
        <f t="shared" si="23"/>
        <v>91.2</v>
      </c>
      <c r="BI35" s="7">
        <f>((AVERAGE(N30:N35)*('Summary Page'!$C$2+1))*('Summary Page'!$C$2+1))*('Summary Page'!$C$2+1)</f>
        <v>145.42347733333332</v>
      </c>
      <c r="BJ35" s="7">
        <f>((AVERAGE(N30:N35)*('Summary Page'!$C$3+1))*('Summary Page'!$C$3+1))*('Summary Page'!$C$3+1)</f>
        <v>181.96614583333337</v>
      </c>
      <c r="BK35" s="7">
        <f>((AVERAGE(N30:N35)*('Summary Page'!$C$4+1))*('Summary Page'!$C$4+1))*('Summary Page'!$C$4+1)</f>
        <v>160.99199999999999</v>
      </c>
      <c r="BL35" s="16">
        <f t="shared" si="17"/>
        <v>13.812734082397004</v>
      </c>
      <c r="BM35" s="16">
        <f t="shared" si="18"/>
        <v>13.782771535580526</v>
      </c>
      <c r="BN35" s="7">
        <f t="shared" si="25"/>
        <v>16.539325842696631</v>
      </c>
      <c r="BO35" s="7">
        <f>((AVERAGE(BL30:BL35)*('Summary Page'!$C$2+1))*('Summary Page'!$C$2+1))*('Summary Page'!$C$2+1)</f>
        <v>20.562515096129825</v>
      </c>
      <c r="BP35" s="7">
        <f>((AVERAGE(BL30:BL35)*('Summary Page'!$C$3+1))*('Summary Page'!$C$3+1))*('Summary Page'!$C$3+1)</f>
        <v>25.729556803995003</v>
      </c>
      <c r="BQ35" s="7">
        <f>((AVERAGE(BL30:BL35)*('Summary Page'!$C$4+1))*('Summary Page'!$C$4+1))*('Summary Page'!$C$4+1)</f>
        <v>22.763865168539319</v>
      </c>
      <c r="BR35" s="11">
        <f t="shared" si="26"/>
        <v>16.11485642946317</v>
      </c>
      <c r="BS35" s="11">
        <f t="shared" si="12"/>
        <v>16.079900124843945</v>
      </c>
      <c r="BT35" s="11">
        <f t="shared" si="13"/>
        <v>19.295880149812735</v>
      </c>
      <c r="BU35" s="11">
        <f t="shared" si="14"/>
        <v>23.989600945484796</v>
      </c>
      <c r="BV35" s="11">
        <f t="shared" si="15"/>
        <v>30.017816271327504</v>
      </c>
      <c r="BW35" s="11">
        <f t="shared" si="16"/>
        <v>26.557842696629205</v>
      </c>
    </row>
    <row r="36" spans="1:75" ht="15.75" x14ac:dyDescent="0.25">
      <c r="A36" s="10">
        <v>43984</v>
      </c>
      <c r="B36" s="99">
        <v>64</v>
      </c>
      <c r="C36" s="40">
        <v>81</v>
      </c>
      <c r="D36" s="64">
        <v>71</v>
      </c>
      <c r="E36" s="531">
        <v>72</v>
      </c>
      <c r="F36" s="99">
        <v>47</v>
      </c>
      <c r="G36" s="40">
        <v>74</v>
      </c>
      <c r="H36" s="40">
        <v>63</v>
      </c>
      <c r="I36" s="94">
        <v>65</v>
      </c>
      <c r="J36" s="99"/>
      <c r="K36" s="40"/>
      <c r="L36" s="40"/>
      <c r="M36" s="94"/>
      <c r="N36" s="40">
        <v>94</v>
      </c>
      <c r="O36" s="40">
        <v>86</v>
      </c>
      <c r="P36" s="40"/>
      <c r="Q36" s="99">
        <v>460</v>
      </c>
      <c r="R36" s="40">
        <v>460</v>
      </c>
      <c r="S36" s="94"/>
      <c r="T36" s="40"/>
      <c r="U36" s="40"/>
      <c r="V36" s="40"/>
      <c r="W36" s="99"/>
      <c r="X36" s="40"/>
      <c r="Y36" s="94"/>
      <c r="Z36" s="40"/>
      <c r="AA36" s="2">
        <f t="shared" si="1"/>
        <v>57.6</v>
      </c>
      <c r="AB36" s="2">
        <f t="shared" si="8"/>
        <v>49.8</v>
      </c>
      <c r="AC36" s="2">
        <f t="shared" si="2"/>
        <v>59.759999999999991</v>
      </c>
      <c r="AD36" s="30">
        <f>((AVERAGE(AA25:AA36)*('Summary Page'!$C$2+1))*('Summary Page'!$C$2+1))*('Summary Page'!$C$2+1)</f>
        <v>93.211506133333302</v>
      </c>
      <c r="AE36" s="30">
        <f>((AVERAGE(AA25:AA36)*('Summary Page'!$C$3+1))*('Summary Page'!$C$3+1))*('Summary Page'!$C$3+1)</f>
        <v>116.63411458333331</v>
      </c>
      <c r="AF36" s="30">
        <f>((AVERAGE(AA25:AA36)*('Summary Page'!$C$4+1))*('Summary Page'!$C$4+1))*('Summary Page'!$C$4+1)</f>
        <v>103.19039999999998</v>
      </c>
      <c r="AG36" s="7">
        <f t="shared" si="24"/>
        <v>80</v>
      </c>
      <c r="AJ36" s="7">
        <f t="shared" si="19"/>
        <v>56.4</v>
      </c>
      <c r="AK36" s="7">
        <f>((AVERAGE(B31:B36)*('Summary Page'!$C$2+1))*('Summary Page'!$C$2+1))*('Summary Page'!$C$2+1)</f>
        <v>95.214655999999977</v>
      </c>
      <c r="AL36" s="7">
        <f>((AVERAGE(B31:B36)*('Summary Page'!$C$3+1))*('Summary Page'!$C$3+1))*('Summary Page'!$C$3+1)</f>
        <v>119.140625</v>
      </c>
      <c r="AM36" s="8">
        <f>((AVERAGE(B31:B36)*('Summary Page'!$C$4+1))*('Summary Page'!$C$4+1))*('Summary Page'!$C$4+1)</f>
        <v>105.408</v>
      </c>
      <c r="AP36" s="7">
        <f t="shared" si="20"/>
        <v>88.8</v>
      </c>
      <c r="AQ36" s="7">
        <f>((AVERAGE(C31:C36)*('Summary Page'!$C$2+1))*('Summary Page'!$C$2+1))*('Summary Page'!$C$2+1)</f>
        <v>115.76645333333332</v>
      </c>
      <c r="AR36" s="7">
        <f>((AVERAGE(C31:C36)*('Summary Page'!$C$3+1))*('Summary Page'!$C$3+1))*('Summary Page'!$C$3+1)</f>
        <v>144.85677083333337</v>
      </c>
      <c r="AS36" s="7">
        <f>((AVERAGE(C31:C36)*('Summary Page'!$C$4+1))*('Summary Page'!$C$4+1))*('Summary Page'!$C$4+1)</f>
        <v>128.16</v>
      </c>
      <c r="AV36" s="40">
        <f t="shared" si="21"/>
        <v>75.599999999999994</v>
      </c>
      <c r="AW36" s="7">
        <f>((AVERAGE(D31:D36)*('Summary Page'!$C$2+1))*('Summary Page'!$C$2+1))*('Summary Page'!$C$2+1)</f>
        <v>96.515402666666645</v>
      </c>
      <c r="AX36" s="7">
        <f>((AVERAGE(D31:D36)*('Summary Page'!$C$3+1))*('Summary Page'!$C$3+1))*('Summary Page'!$C$3+1)</f>
        <v>120.76822916666669</v>
      </c>
      <c r="AY36" s="8">
        <f>((AVERAGE(D31:D36)*('Summary Page'!$C$4+1))*('Summary Page'!$C$4+1))*('Summary Page'!$C$4+1)</f>
        <v>106.848</v>
      </c>
      <c r="BB36" s="40">
        <f t="shared" si="22"/>
        <v>78</v>
      </c>
      <c r="BC36" s="30">
        <f>((AVERAGE(E31:E36)*('Summary Page'!$C$2+1))*('Summary Page'!$C$2+1))*('Summary Page'!$C$2+1)</f>
        <v>110.82361599999999</v>
      </c>
      <c r="BD36" s="30">
        <f>((AVERAGE(E31:E36)*('Summary Page'!$C$3+1))*('Summary Page'!$C$3+1))*('Summary Page'!$C$3+1)</f>
        <v>138.671875</v>
      </c>
      <c r="BE36" s="32">
        <f>((AVERAGE(E31:E36)*('Summary Page'!$C$4+1))*('Summary Page'!$C$4+1))*('Summary Page'!$C$4+1)</f>
        <v>122.68799999999999</v>
      </c>
      <c r="BH36" s="40">
        <f t="shared" si="23"/>
        <v>103.2</v>
      </c>
      <c r="BI36" s="7">
        <f>((AVERAGE(N31:N36)*('Summary Page'!$C$2+1))*('Summary Page'!$C$2+1))*('Summary Page'!$C$2+1)</f>
        <v>141.78138666666663</v>
      </c>
      <c r="BJ36" s="7">
        <f>((AVERAGE(N31:N36)*('Summary Page'!$C$3+1))*('Summary Page'!$C$3+1))*('Summary Page'!$C$3+1)</f>
        <v>177.40885416666663</v>
      </c>
      <c r="BK36" s="7">
        <f>((AVERAGE(N31:N36)*('Summary Page'!$C$4+1))*('Summary Page'!$C$4+1))*('Summary Page'!$C$4+1)</f>
        <v>156.95999999999998</v>
      </c>
      <c r="BL36" s="16">
        <f t="shared" si="17"/>
        <v>13.782771535580526</v>
      </c>
      <c r="BM36" s="16">
        <f t="shared" si="18"/>
        <v>13.782771535580526</v>
      </c>
      <c r="BN36" s="7">
        <f t="shared" si="25"/>
        <v>16.539325842696631</v>
      </c>
      <c r="BO36" s="7">
        <f>((AVERAGE(BL31:BL36)*('Summary Page'!$C$2+1))*('Summary Page'!$C$2+1))*('Summary Page'!$C$2+1)</f>
        <v>20.733999300873901</v>
      </c>
      <c r="BP36" s="7">
        <f>((AVERAGE(BL31:BL36)*('Summary Page'!$C$3+1))*('Summary Page'!$C$3+1))*('Summary Page'!$C$3+1)</f>
        <v>25.94413233458177</v>
      </c>
      <c r="BQ36" s="7">
        <f>((AVERAGE(BL31:BL36)*('Summary Page'!$C$4+1))*('Summary Page'!$C$4+1))*('Summary Page'!$C$4+1)</f>
        <v>22.953707865168539</v>
      </c>
      <c r="BR36" s="11">
        <f t="shared" si="26"/>
        <v>16.079900124843945</v>
      </c>
      <c r="BS36" s="11">
        <f t="shared" si="12"/>
        <v>16.079900124843945</v>
      </c>
      <c r="BT36" s="11">
        <f t="shared" si="13"/>
        <v>19.295880149812735</v>
      </c>
      <c r="BU36" s="11">
        <f t="shared" si="14"/>
        <v>24.189665851019551</v>
      </c>
      <c r="BV36" s="11">
        <f t="shared" si="15"/>
        <v>30.268154390345398</v>
      </c>
      <c r="BW36" s="11">
        <f t="shared" si="16"/>
        <v>26.779325842696629</v>
      </c>
    </row>
    <row r="37" spans="1:75" ht="15.75" x14ac:dyDescent="0.25">
      <c r="A37" s="10">
        <v>44014</v>
      </c>
      <c r="B37" s="99">
        <v>62</v>
      </c>
      <c r="C37" s="40">
        <v>86</v>
      </c>
      <c r="D37" s="64">
        <v>73</v>
      </c>
      <c r="E37" s="531">
        <v>85</v>
      </c>
      <c r="F37" s="99">
        <v>55</v>
      </c>
      <c r="G37" s="40">
        <v>82</v>
      </c>
      <c r="H37" s="40">
        <v>70</v>
      </c>
      <c r="I37" s="94">
        <v>68</v>
      </c>
      <c r="J37" s="99"/>
      <c r="K37" s="40"/>
      <c r="L37" s="40"/>
      <c r="M37" s="94"/>
      <c r="N37" s="40">
        <v>102</v>
      </c>
      <c r="O37" s="40">
        <v>92</v>
      </c>
      <c r="P37" s="40"/>
      <c r="Q37" s="99">
        <v>598</v>
      </c>
      <c r="R37" s="40">
        <v>517</v>
      </c>
      <c r="S37" s="94"/>
      <c r="T37" s="40"/>
      <c r="U37" s="40"/>
      <c r="V37" s="40"/>
      <c r="W37" s="99"/>
      <c r="X37" s="40"/>
      <c r="Y37" s="94"/>
      <c r="Z37" s="40"/>
      <c r="AA37" s="2">
        <f t="shared" si="1"/>
        <v>61.2</v>
      </c>
      <c r="AB37" s="2">
        <f t="shared" si="8"/>
        <v>55</v>
      </c>
      <c r="AC37" s="2">
        <f t="shared" si="2"/>
        <v>66</v>
      </c>
      <c r="AD37" s="30">
        <f>((AVERAGE(AA26:AA37)*('Summary Page'!$C$2+1))*('Summary Page'!$C$2+1))*('Summary Page'!$C$2+1)</f>
        <v>93.653759999999977</v>
      </c>
      <c r="AE37" s="30">
        <f>((AVERAGE(AA26:AA37)*('Summary Page'!$C$3+1))*('Summary Page'!$C$3+1))*('Summary Page'!$C$3+1)</f>
        <v>117.1875</v>
      </c>
      <c r="AF37" s="30">
        <f>((AVERAGE(AA26:AA37)*('Summary Page'!$C$4+1))*('Summary Page'!$C$4+1))*('Summary Page'!$C$4+1)</f>
        <v>103.67999999999999</v>
      </c>
      <c r="AG37" s="7">
        <f t="shared" si="24"/>
        <v>80</v>
      </c>
      <c r="AJ37" s="7">
        <f t="shared" si="19"/>
        <v>66</v>
      </c>
      <c r="AK37" s="7">
        <f>((AVERAGE(B32:B37)*('Summary Page'!$C$2+1))*('Summary Page'!$C$2+1))*('Summary Page'!$C$2+1)</f>
        <v>93.913909333333308</v>
      </c>
      <c r="AL37" s="7">
        <f>((AVERAGE(B32:B37)*('Summary Page'!$C$3+1))*('Summary Page'!$C$3+1))*('Summary Page'!$C$3+1)</f>
        <v>117.51302083333331</v>
      </c>
      <c r="AM37" s="8">
        <f>((AVERAGE(B32:B37)*('Summary Page'!$C$4+1))*('Summary Page'!$C$4+1))*('Summary Page'!$C$4+1)</f>
        <v>103.96799999999998</v>
      </c>
      <c r="AP37" s="7">
        <f t="shared" si="20"/>
        <v>98.399999999999991</v>
      </c>
      <c r="AQ37" s="7">
        <f>((AVERAGE(C32:C37)*('Summary Page'!$C$2+1))*('Summary Page'!$C$2+1))*('Summary Page'!$C$2+1)</f>
        <v>119.66869333333332</v>
      </c>
      <c r="AR37" s="7">
        <f>((AVERAGE(C32:C37)*('Summary Page'!$C$3+1))*('Summary Page'!$C$3+1))*('Summary Page'!$C$3+1)</f>
        <v>149.73958333333337</v>
      </c>
      <c r="AS37" s="7">
        <f>((AVERAGE(C32:C37)*('Summary Page'!$C$4+1))*('Summary Page'!$C$4+1))*('Summary Page'!$C$4+1)</f>
        <v>132.47999999999999</v>
      </c>
      <c r="AV37" s="40">
        <f t="shared" si="21"/>
        <v>84</v>
      </c>
      <c r="AW37" s="7">
        <f>((AVERAGE(D32:D37)*('Summary Page'!$C$2+1))*('Summary Page'!$C$2+1))*('Summary Page'!$C$2+1)</f>
        <v>100.41764266666664</v>
      </c>
      <c r="AX37" s="7">
        <f>((AVERAGE(D32:D37)*('Summary Page'!$C$3+1))*('Summary Page'!$C$3+1))*('Summary Page'!$C$3+1)</f>
        <v>125.65104166666664</v>
      </c>
      <c r="AY37" s="8">
        <f>((AVERAGE(D32:D37)*('Summary Page'!$C$4+1))*('Summary Page'!$C$4+1))*('Summary Page'!$C$4+1)</f>
        <v>111.16799999999998</v>
      </c>
      <c r="BB37" s="40">
        <f t="shared" si="22"/>
        <v>81.599999999999994</v>
      </c>
      <c r="BC37" s="30">
        <f>((AVERAGE(E32:E37)*('Summary Page'!$C$2+1))*('Summary Page'!$C$2+1))*('Summary Page'!$C$2+1)</f>
        <v>112.90481066666662</v>
      </c>
      <c r="BD37" s="30">
        <f>((AVERAGE(E32:E37)*('Summary Page'!$C$3+1))*('Summary Page'!$C$3+1))*('Summary Page'!$C$3+1)</f>
        <v>141.27604166666663</v>
      </c>
      <c r="BE37" s="32">
        <f>((AVERAGE(E32:E37)*('Summary Page'!$C$4+1))*('Summary Page'!$C$4+1))*('Summary Page'!$C$4+1)</f>
        <v>124.99199999999999</v>
      </c>
      <c r="BH37" s="40">
        <f t="shared" si="23"/>
        <v>110.39999999999999</v>
      </c>
      <c r="BI37" s="7">
        <f>((AVERAGE(N32:N37)*('Summary Page'!$C$2+1))*('Summary Page'!$C$2+1))*('Summary Page'!$C$2+1)</f>
        <v>143.60243199999999</v>
      </c>
      <c r="BJ37" s="7">
        <f>((AVERAGE(N32:N37)*('Summary Page'!$C$3+1))*('Summary Page'!$C$3+1))*('Summary Page'!$C$3+1)</f>
        <v>179.6875</v>
      </c>
      <c r="BK37" s="7">
        <f>((AVERAGE(N32:N37)*('Summary Page'!$C$4+1))*('Summary Page'!$C$4+1))*('Summary Page'!$C$4+1)</f>
        <v>158.97599999999997</v>
      </c>
      <c r="BL37" s="16">
        <f t="shared" si="17"/>
        <v>17.917602996254679</v>
      </c>
      <c r="BM37" s="16">
        <f t="shared" si="18"/>
        <v>15.490636704119851</v>
      </c>
      <c r="BN37" s="7">
        <f t="shared" si="25"/>
        <v>18.588764044943819</v>
      </c>
      <c r="BO37" s="7">
        <f>((AVERAGE(BL32:BL37)*('Summary Page'!$C$2+1))*('Summary Page'!$C$2+1))*('Summary Page'!$C$2+1)</f>
        <v>22.300741353308361</v>
      </c>
      <c r="BP37" s="7">
        <f>((AVERAGE(BL32:BL37)*('Summary Page'!$C$3+1))*('Summary Page'!$C$3+1))*('Summary Page'!$C$3+1)</f>
        <v>27.904572409488139</v>
      </c>
      <c r="BQ37" s="7">
        <f>((AVERAGE(BL32:BL37)*('Summary Page'!$C$4+1))*('Summary Page'!$C$4+1))*('Summary Page'!$C$4+1)</f>
        <v>24.688179775280897</v>
      </c>
      <c r="BR37" s="11">
        <f t="shared" si="26"/>
        <v>20.903870162297125</v>
      </c>
      <c r="BS37" s="11">
        <f t="shared" si="12"/>
        <v>18.072409488139826</v>
      </c>
      <c r="BT37" s="11">
        <f t="shared" si="13"/>
        <v>21.686891385767787</v>
      </c>
      <c r="BU37" s="11">
        <f t="shared" si="14"/>
        <v>26.017531578859753</v>
      </c>
      <c r="BV37" s="11">
        <f t="shared" si="15"/>
        <v>32.55533447773616</v>
      </c>
      <c r="BW37" s="11">
        <f t="shared" si="16"/>
        <v>28.802876404494381</v>
      </c>
    </row>
    <row r="38" spans="1:75" ht="15.75" x14ac:dyDescent="0.25">
      <c r="A38" s="10">
        <v>44054</v>
      </c>
      <c r="B38" s="99">
        <v>64</v>
      </c>
      <c r="C38" s="40">
        <v>95</v>
      </c>
      <c r="D38" s="64">
        <v>80</v>
      </c>
      <c r="E38" s="531">
        <v>93</v>
      </c>
      <c r="F38" s="99">
        <v>56</v>
      </c>
      <c r="G38" s="40">
        <v>88</v>
      </c>
      <c r="H38" s="40">
        <v>77</v>
      </c>
      <c r="I38" s="94">
        <v>83</v>
      </c>
      <c r="J38" s="99"/>
      <c r="K38" s="40"/>
      <c r="L38" s="40"/>
      <c r="M38" s="94"/>
      <c r="N38" s="40">
        <v>104</v>
      </c>
      <c r="O38" s="40">
        <v>92</v>
      </c>
      <c r="P38" s="40"/>
      <c r="Q38" s="99">
        <v>517</v>
      </c>
      <c r="R38" s="40">
        <v>495</v>
      </c>
      <c r="S38" s="94"/>
      <c r="T38" s="40"/>
      <c r="U38" s="40"/>
      <c r="V38" s="40"/>
      <c r="W38" s="99"/>
      <c r="X38" s="40"/>
      <c r="Y38" s="94"/>
      <c r="Z38" s="40"/>
      <c r="AA38" s="2">
        <f t="shared" si="1"/>
        <v>66.400000000000006</v>
      </c>
      <c r="AB38" s="2">
        <f t="shared" si="8"/>
        <v>60.8</v>
      </c>
      <c r="AC38" s="2">
        <f t="shared" si="2"/>
        <v>72.959999999999994</v>
      </c>
      <c r="AD38" s="30">
        <f>((AVERAGE(AA27:AA38)*('Summary Page'!$C$2+1))*('Summary Page'!$C$2+1))*('Summary Page'!$C$2+1)</f>
        <v>95.60487999999998</v>
      </c>
      <c r="AE38" s="30">
        <f>((AVERAGE(AA27:AA38)*('Summary Page'!$C$3+1))*('Summary Page'!$C$3+1))*('Summary Page'!$C$3+1)</f>
        <v>119.62890625</v>
      </c>
      <c r="AF38" s="30">
        <f>((AVERAGE(AA27:AA38)*('Summary Page'!$C$4+1))*('Summary Page'!$C$4+1))*('Summary Page'!$C$4+1)</f>
        <v>105.84</v>
      </c>
      <c r="AG38" s="7">
        <f t="shared" si="24"/>
        <v>80</v>
      </c>
      <c r="AJ38" s="7">
        <f t="shared" si="19"/>
        <v>67.2</v>
      </c>
      <c r="AK38" s="7">
        <f>((AVERAGE(B33:B38)*('Summary Page'!$C$2+1))*('Summary Page'!$C$2+1))*('Summary Page'!$C$2+1)</f>
        <v>94.95450666666666</v>
      </c>
      <c r="AL38" s="7">
        <f>((AVERAGE(B33:B38)*('Summary Page'!$C$3+1))*('Summary Page'!$C$3+1))*('Summary Page'!$C$3+1)</f>
        <v>118.81510416666669</v>
      </c>
      <c r="AM38" s="8">
        <f>((AVERAGE(B33:B38)*('Summary Page'!$C$4+1))*('Summary Page'!$C$4+1))*('Summary Page'!$C$4+1)</f>
        <v>105.11999999999999</v>
      </c>
      <c r="AP38" s="7">
        <f t="shared" si="20"/>
        <v>105.6</v>
      </c>
      <c r="AQ38" s="7">
        <f>((AVERAGE(C33:C38)*('Summary Page'!$C$2+1))*('Summary Page'!$C$2+1))*('Summary Page'!$C$2+1)</f>
        <v>125.13182933333331</v>
      </c>
      <c r="AR38" s="7">
        <f>((AVERAGE(C33:C38)*('Summary Page'!$C$3+1))*('Summary Page'!$C$3+1))*('Summary Page'!$C$3+1)</f>
        <v>156.57552083333337</v>
      </c>
      <c r="AS38" s="7">
        <f>((AVERAGE(C33:C38)*('Summary Page'!$C$4+1))*('Summary Page'!$C$4+1))*('Summary Page'!$C$4+1)</f>
        <v>138.52799999999999</v>
      </c>
      <c r="AV38" s="40">
        <f t="shared" si="21"/>
        <v>92.399999999999991</v>
      </c>
      <c r="AW38" s="7">
        <f>((AVERAGE(D33:D38)*('Summary Page'!$C$2+1))*('Summary Page'!$C$2+1))*('Summary Page'!$C$2+1)</f>
        <v>105.62062933333333</v>
      </c>
      <c r="AX38" s="7">
        <f>((AVERAGE(D33:D38)*('Summary Page'!$C$3+1))*('Summary Page'!$C$3+1))*('Summary Page'!$C$3+1)</f>
        <v>132.16145833333337</v>
      </c>
      <c r="AY38" s="8">
        <f>((AVERAGE(D33:D38)*('Summary Page'!$C$4+1))*('Summary Page'!$C$4+1))*('Summary Page'!$C$4+1)</f>
        <v>116.928</v>
      </c>
      <c r="BB38" s="40">
        <f t="shared" si="22"/>
        <v>99.6</v>
      </c>
      <c r="BC38" s="30">
        <f>((AVERAGE(E33:E38)*('Summary Page'!$C$2+1))*('Summary Page'!$C$2+1))*('Summary Page'!$C$2+1)</f>
        <v>119.40854399999998</v>
      </c>
      <c r="BD38" s="30">
        <f>((AVERAGE(E33:E38)*('Summary Page'!$C$3+1))*('Summary Page'!$C$3+1))*('Summary Page'!$C$3+1)</f>
        <v>149.4140625</v>
      </c>
      <c r="BE38" s="32">
        <f>((AVERAGE(E33:E38)*('Summary Page'!$C$4+1))*('Summary Page'!$C$4+1))*('Summary Page'!$C$4+1)</f>
        <v>132.19199999999998</v>
      </c>
      <c r="BH38" s="40">
        <f t="shared" si="23"/>
        <v>110.39999999999999</v>
      </c>
      <c r="BI38" s="7">
        <f>((AVERAGE(N33:N38)*('Summary Page'!$C$2+1))*('Summary Page'!$C$2+1))*('Summary Page'!$C$2+1)</f>
        <v>145.42347733333332</v>
      </c>
      <c r="BJ38" s="7">
        <f>((AVERAGE(N33:N38)*('Summary Page'!$C$3+1))*('Summary Page'!$C$3+1))*('Summary Page'!$C$3+1)</f>
        <v>181.96614583333337</v>
      </c>
      <c r="BK38" s="7">
        <f>((AVERAGE(N33:N38)*('Summary Page'!$C$4+1))*('Summary Page'!$C$4+1))*('Summary Page'!$C$4+1)</f>
        <v>160.99199999999999</v>
      </c>
      <c r="BL38" s="16">
        <f t="shared" si="17"/>
        <v>15.490636704119851</v>
      </c>
      <c r="BM38" s="16">
        <f t="shared" si="18"/>
        <v>14.831460674157304</v>
      </c>
      <c r="BN38" s="7">
        <f t="shared" si="25"/>
        <v>17.797752808988765</v>
      </c>
      <c r="BO38" s="7">
        <f>((AVERAGE(BL33:BL38)*('Summary Page'!$C$2+1))*('Summary Page'!$C$2+1))*('Summary Page'!$C$2+1)</f>
        <v>23.189341323345808</v>
      </c>
      <c r="BP38" s="7">
        <f>((AVERAGE(BL33:BL38)*('Summary Page'!$C$3+1))*('Summary Page'!$C$3+1))*('Summary Page'!$C$3+1)</f>
        <v>29.016463795255927</v>
      </c>
      <c r="BQ38" s="7">
        <f>((AVERAGE(BL33:BL38)*('Summary Page'!$C$4+1))*('Summary Page'!$C$4+1))*('Summary Page'!$C$4+1)</f>
        <v>25.671910112359544</v>
      </c>
      <c r="BR38" s="11">
        <f t="shared" si="26"/>
        <v>18.072409488139826</v>
      </c>
      <c r="BS38" s="11">
        <f t="shared" si="12"/>
        <v>17.303370786516854</v>
      </c>
      <c r="BT38" s="11">
        <f t="shared" si="13"/>
        <v>20.764044943820224</v>
      </c>
      <c r="BU38" s="11">
        <f t="shared" si="14"/>
        <v>27.054231543903441</v>
      </c>
      <c r="BV38" s="11">
        <f t="shared" si="15"/>
        <v>33.852541094465245</v>
      </c>
      <c r="BW38" s="11">
        <f t="shared" si="16"/>
        <v>29.950561797752801</v>
      </c>
    </row>
    <row r="39" spans="1:75" ht="15.75" x14ac:dyDescent="0.25">
      <c r="A39" s="10">
        <v>44078</v>
      </c>
      <c r="B39" s="99">
        <v>67</v>
      </c>
      <c r="C39" s="40">
        <v>113</v>
      </c>
      <c r="D39" s="64">
        <v>99</v>
      </c>
      <c r="E39" s="531">
        <v>113</v>
      </c>
      <c r="F39" s="99">
        <v>41</v>
      </c>
      <c r="G39" s="40">
        <v>70</v>
      </c>
      <c r="H39" s="40">
        <v>62</v>
      </c>
      <c r="I39" s="94">
        <v>68</v>
      </c>
      <c r="J39" s="99"/>
      <c r="K39" s="40"/>
      <c r="L39" s="40"/>
      <c r="M39" s="94"/>
      <c r="N39" s="40">
        <v>130</v>
      </c>
      <c r="O39" s="40">
        <v>77</v>
      </c>
      <c r="P39" s="40"/>
      <c r="Q39" s="99">
        <v>501</v>
      </c>
      <c r="R39" s="40">
        <v>473</v>
      </c>
      <c r="S39" s="94"/>
      <c r="T39" s="40"/>
      <c r="U39" s="40"/>
      <c r="V39" s="40"/>
      <c r="W39" s="99"/>
      <c r="X39" s="40"/>
      <c r="Y39" s="94"/>
      <c r="Z39" s="40"/>
      <c r="AA39" s="2">
        <f t="shared" si="1"/>
        <v>78.400000000000006</v>
      </c>
      <c r="AB39" s="2">
        <f t="shared" si="8"/>
        <v>48.2</v>
      </c>
      <c r="AC39" s="2">
        <f t="shared" si="2"/>
        <v>57.84</v>
      </c>
      <c r="AD39" s="30">
        <f>((AVERAGE(AA28:AA39)*('Summary Page'!$C$2+1))*('Summary Page'!$C$2+1))*('Summary Page'!$C$2+1)</f>
        <v>98.102313599999974</v>
      </c>
      <c r="AE39" s="30">
        <f>((AVERAGE(AA28:AA39)*('Summary Page'!$C$3+1))*('Summary Page'!$C$3+1))*('Summary Page'!$C$3+1)</f>
        <v>122.75390625</v>
      </c>
      <c r="AF39" s="30">
        <f>((AVERAGE(AA28:AA39)*('Summary Page'!$C$4+1))*('Summary Page'!$C$4+1))*('Summary Page'!$C$4+1)</f>
        <v>108.6048</v>
      </c>
      <c r="AG39" s="7">
        <f t="shared" si="24"/>
        <v>80</v>
      </c>
      <c r="AJ39" s="7">
        <f t="shared" si="19"/>
        <v>49.199999999999996</v>
      </c>
      <c r="AK39" s="7">
        <f>((AVERAGE(B34:B39)*('Summary Page'!$C$2+1))*('Summary Page'!$C$2+1))*('Summary Page'!$C$2+1)</f>
        <v>99.89734399999999</v>
      </c>
      <c r="AL39" s="7">
        <f>((AVERAGE(B34:B39)*('Summary Page'!$C$3+1))*('Summary Page'!$C$3+1))*('Summary Page'!$C$3+1)</f>
        <v>125</v>
      </c>
      <c r="AM39" s="8">
        <f>((AVERAGE(B34:B39)*('Summary Page'!$C$4+1))*('Summary Page'!$C$4+1))*('Summary Page'!$C$4+1)</f>
        <v>110.592</v>
      </c>
      <c r="AP39" s="7">
        <f t="shared" si="20"/>
        <v>84</v>
      </c>
      <c r="AQ39" s="7">
        <f>((AVERAGE(C34:C39)*('Summary Page'!$C$2+1))*('Summary Page'!$C$2+1))*('Summary Page'!$C$2+1)</f>
        <v>137.87914666666663</v>
      </c>
      <c r="AR39" s="7">
        <f>((AVERAGE(C34:C39)*('Summary Page'!$C$3+1))*('Summary Page'!$C$3+1))*('Summary Page'!$C$3+1)</f>
        <v>172.52604166666663</v>
      </c>
      <c r="AS39" s="7">
        <f>((AVERAGE(C34:C39)*('Summary Page'!$C$4+1))*('Summary Page'!$C$4+1))*('Summary Page'!$C$4+1)</f>
        <v>152.63999999999996</v>
      </c>
      <c r="AV39" s="40">
        <f t="shared" si="21"/>
        <v>74.399999999999991</v>
      </c>
      <c r="AW39" s="7">
        <f>((AVERAGE(D34:D39)*('Summary Page'!$C$2+1))*('Summary Page'!$C$2+1))*('Summary Page'!$C$2+1)</f>
        <v>117.84764799999999</v>
      </c>
      <c r="AX39" s="7">
        <f>((AVERAGE(D34:D39)*('Summary Page'!$C$3+1))*('Summary Page'!$C$3+1))*('Summary Page'!$C$3+1)</f>
        <v>147.4609375</v>
      </c>
      <c r="AY39" s="8">
        <f>((AVERAGE(D34:D39)*('Summary Page'!$C$4+1))*('Summary Page'!$C$4+1))*('Summary Page'!$C$4+1)</f>
        <v>130.46399999999997</v>
      </c>
      <c r="BB39" s="40">
        <f t="shared" si="22"/>
        <v>81.599999999999994</v>
      </c>
      <c r="BC39" s="30">
        <f>((AVERAGE(E34:E39)*('Summary Page'!$C$2+1))*('Summary Page'!$C$2+1))*('Summary Page'!$C$2+1)</f>
        <v>131.11526399999997</v>
      </c>
      <c r="BD39" s="30">
        <f>((AVERAGE(E34:E39)*('Summary Page'!$C$3+1))*('Summary Page'!$C$3+1))*('Summary Page'!$C$3+1)</f>
        <v>164.0625</v>
      </c>
      <c r="BE39" s="32">
        <f>((AVERAGE(E34:E39)*('Summary Page'!$C$4+1))*('Summary Page'!$C$4+1))*('Summary Page'!$C$4+1)</f>
        <v>145.15199999999999</v>
      </c>
      <c r="BH39" s="40">
        <f t="shared" si="23"/>
        <v>92.399999999999991</v>
      </c>
      <c r="BI39" s="7">
        <f>((AVERAGE(N34:N39)*('Summary Page'!$C$2+1))*('Summary Page'!$C$2+1))*('Summary Page'!$C$2+1)</f>
        <v>158.6910933333333</v>
      </c>
      <c r="BJ39" s="7">
        <f>((AVERAGE(N34:N39)*('Summary Page'!$C$3+1))*('Summary Page'!$C$3+1))*('Summary Page'!$C$3+1)</f>
        <v>198.56770833333337</v>
      </c>
      <c r="BK39" s="7">
        <f>((AVERAGE(N34:N39)*('Summary Page'!$C$4+1))*('Summary Page'!$C$4+1))*('Summary Page'!$C$4+1)</f>
        <v>175.68</v>
      </c>
      <c r="BL39" s="16">
        <f t="shared" si="17"/>
        <v>15.011235955056179</v>
      </c>
      <c r="BM39" s="16">
        <f t="shared" si="18"/>
        <v>14.172284644194757</v>
      </c>
      <c r="BN39" s="7">
        <f t="shared" si="25"/>
        <v>17.006741573033707</v>
      </c>
      <c r="BO39" s="7">
        <f>((AVERAGE(BL34:BL39)*('Summary Page'!$C$2+1))*('Summary Page'!$C$2+1))*('Summary Page'!$C$2+1)</f>
        <v>24.3897307565543</v>
      </c>
      <c r="BP39" s="7">
        <f>((AVERAGE(BL34:BL39)*('Summary Page'!$C$3+1))*('Summary Page'!$C$3+1))*('Summary Page'!$C$3+1)</f>
        <v>30.518492509363291</v>
      </c>
      <c r="BQ39" s="7">
        <f>((AVERAGE(BL34:BL39)*('Summary Page'!$C$4+1))*('Summary Page'!$C$4+1))*('Summary Page'!$C$4+1)</f>
        <v>27.000808988764042</v>
      </c>
      <c r="BR39" s="11">
        <f t="shared" si="26"/>
        <v>17.513108614232209</v>
      </c>
      <c r="BS39" s="11">
        <f t="shared" si="12"/>
        <v>16.534332084893883</v>
      </c>
      <c r="BT39" s="11">
        <f t="shared" si="13"/>
        <v>19.841198501872658</v>
      </c>
      <c r="BU39" s="11">
        <f t="shared" si="14"/>
        <v>28.454685882646682</v>
      </c>
      <c r="BV39" s="11">
        <f t="shared" si="15"/>
        <v>35.604907927590503</v>
      </c>
      <c r="BW39" s="11">
        <f t="shared" si="16"/>
        <v>31.500943820224716</v>
      </c>
    </row>
    <row r="40" spans="1:75" ht="15.75" x14ac:dyDescent="0.25">
      <c r="A40" s="10">
        <v>44105</v>
      </c>
      <c r="B40" s="99">
        <v>62</v>
      </c>
      <c r="C40" s="40">
        <v>115</v>
      </c>
      <c r="D40" s="64">
        <v>89</v>
      </c>
      <c r="E40" s="531">
        <v>118</v>
      </c>
      <c r="F40" s="99">
        <v>63</v>
      </c>
      <c r="G40" s="40">
        <v>64</v>
      </c>
      <c r="H40" s="40">
        <v>50</v>
      </c>
      <c r="I40" s="94">
        <v>64</v>
      </c>
      <c r="J40" s="99"/>
      <c r="K40" s="40"/>
      <c r="L40" s="40"/>
      <c r="M40" s="94"/>
      <c r="N40" s="40">
        <v>103</v>
      </c>
      <c r="O40" s="40">
        <v>54</v>
      </c>
      <c r="P40" s="40"/>
      <c r="Q40" s="99">
        <v>604</v>
      </c>
      <c r="R40" s="40">
        <v>627</v>
      </c>
      <c r="S40" s="94"/>
      <c r="T40" s="40"/>
      <c r="U40" s="40"/>
      <c r="V40" s="40"/>
      <c r="W40" s="99"/>
      <c r="X40" s="40"/>
      <c r="Y40" s="94"/>
      <c r="Z40" s="40"/>
      <c r="AA40" s="2">
        <f t="shared" si="1"/>
        <v>76.8</v>
      </c>
      <c r="AB40" s="2">
        <f t="shared" si="8"/>
        <v>48.2</v>
      </c>
      <c r="AC40" s="2">
        <f t="shared" si="2"/>
        <v>57.84</v>
      </c>
      <c r="AD40" s="30">
        <f>((AVERAGE(AA29:AA40)*('Summary Page'!$C$2+1))*('Summary Page'!$C$2+1))*('Summary Page'!$C$2+1)</f>
        <v>97.555999999999983</v>
      </c>
      <c r="AE40" s="30">
        <f>((AVERAGE(AA29:AA40)*('Summary Page'!$C$3+1))*('Summary Page'!$C$3+1))*('Summary Page'!$C$3+1)</f>
        <v>122.0703125</v>
      </c>
      <c r="AF40" s="30">
        <f>((AVERAGE(AA29:AA40)*('Summary Page'!$C$4+1))*('Summary Page'!$C$4+1))*('Summary Page'!$C$4+1)</f>
        <v>108</v>
      </c>
      <c r="AG40" s="7">
        <f t="shared" si="24"/>
        <v>80</v>
      </c>
      <c r="AJ40" s="7">
        <f t="shared" si="19"/>
        <v>75.599999999999994</v>
      </c>
      <c r="AK40" s="7">
        <f>((AVERAGE(B35:B40)*('Summary Page'!$C$2+1))*('Summary Page'!$C$2+1))*('Summary Page'!$C$2+1)</f>
        <v>99.89734399999999</v>
      </c>
      <c r="AL40" s="7">
        <f>((AVERAGE(B35:B40)*('Summary Page'!$C$3+1))*('Summary Page'!$C$3+1))*('Summary Page'!$C$3+1)</f>
        <v>125</v>
      </c>
      <c r="AM40" s="8">
        <f>((AVERAGE(B35:B40)*('Summary Page'!$C$4+1))*('Summary Page'!$C$4+1))*('Summary Page'!$C$4+1)</f>
        <v>110.592</v>
      </c>
      <c r="AP40" s="7">
        <f t="shared" si="20"/>
        <v>76.8</v>
      </c>
      <c r="AQ40" s="7">
        <f>((AVERAGE(C35:C40)*('Summary Page'!$C$2+1))*('Summary Page'!$C$2+1))*('Summary Page'!$C$2+1)</f>
        <v>148.54526933333332</v>
      </c>
      <c r="AR40" s="7">
        <f>((AVERAGE(C35:C40)*('Summary Page'!$C$3+1))*('Summary Page'!$C$3+1))*('Summary Page'!$C$3+1)</f>
        <v>185.87239583333337</v>
      </c>
      <c r="AS40" s="7">
        <f>((AVERAGE(C35:C40)*('Summary Page'!$C$4+1))*('Summary Page'!$C$4+1))*('Summary Page'!$C$4+1)</f>
        <v>164.44799999999998</v>
      </c>
      <c r="AV40" s="40">
        <f t="shared" si="21"/>
        <v>60</v>
      </c>
      <c r="AW40" s="7">
        <f>((AVERAGE(D35:D40)*('Summary Page'!$C$2+1))*('Summary Page'!$C$2+1))*('Summary Page'!$C$2+1)</f>
        <v>124.87167999999998</v>
      </c>
      <c r="AX40" s="7">
        <f>((AVERAGE(D35:D40)*('Summary Page'!$C$3+1))*('Summary Page'!$C$3+1))*('Summary Page'!$C$3+1)</f>
        <v>156.25</v>
      </c>
      <c r="AY40" s="8">
        <f>((AVERAGE(D35:D40)*('Summary Page'!$C$4+1))*('Summary Page'!$C$4+1))*('Summary Page'!$C$4+1)</f>
        <v>138.23999999999998</v>
      </c>
      <c r="BB40" s="40">
        <f t="shared" si="22"/>
        <v>76.8</v>
      </c>
      <c r="BC40" s="30">
        <f>((AVERAGE(E35:E40)*('Summary Page'!$C$2+1))*('Summary Page'!$C$2+1))*('Summary Page'!$C$2+1)</f>
        <v>144.64302933333332</v>
      </c>
      <c r="BD40" s="30">
        <f>((AVERAGE(E35:E40)*('Summary Page'!$C$3+1))*('Summary Page'!$C$3+1))*('Summary Page'!$C$3+1)</f>
        <v>180.98958333333337</v>
      </c>
      <c r="BE40" s="32">
        <f>((AVERAGE(E35:E40)*('Summary Page'!$C$4+1))*('Summary Page'!$C$4+1))*('Summary Page'!$C$4+1)</f>
        <v>160.12799999999999</v>
      </c>
      <c r="BH40" s="40">
        <f t="shared" si="23"/>
        <v>64.8</v>
      </c>
      <c r="BI40" s="7">
        <f>((AVERAGE(N35:N40)*('Summary Page'!$C$2+1))*('Summary Page'!$C$2+1))*('Summary Page'!$C$2+1)</f>
        <v>163.63393066666663</v>
      </c>
      <c r="BJ40" s="7">
        <f>((AVERAGE(N35:N40)*('Summary Page'!$C$3+1))*('Summary Page'!$C$3+1))*('Summary Page'!$C$3+1)</f>
        <v>204.75260416666663</v>
      </c>
      <c r="BK40" s="7">
        <f>((AVERAGE(N35:N40)*('Summary Page'!$C$4+1))*('Summary Page'!$C$4+1))*('Summary Page'!$C$4+1)</f>
        <v>181.15199999999996</v>
      </c>
      <c r="BL40" s="16">
        <f t="shared" si="17"/>
        <v>18.09737827715356</v>
      </c>
      <c r="BM40" s="16">
        <f t="shared" si="18"/>
        <v>18.786516853932582</v>
      </c>
      <c r="BN40" s="7">
        <f t="shared" si="25"/>
        <v>22.543820224719099</v>
      </c>
      <c r="BO40" s="7">
        <f>((AVERAGE(BL35:BL40)*('Summary Page'!$C$2+1))*('Summary Page'!$C$2+1))*('Summary Page'!$C$2+1)</f>
        <v>24.483267595505609</v>
      </c>
      <c r="BP40" s="7">
        <f>((AVERAGE(BL35:BL40)*('Summary Page'!$C$3+1))*('Summary Page'!$C$3+1))*('Summary Page'!$C$3+1)</f>
        <v>30.635533707865164</v>
      </c>
      <c r="BQ40" s="7">
        <f>((AVERAGE(BL35:BL40)*('Summary Page'!$C$4+1))*('Summary Page'!$C$4+1))*('Summary Page'!$C$4+1)</f>
        <v>27.104359550561789</v>
      </c>
      <c r="BR40" s="11">
        <f t="shared" si="26"/>
        <v>21.113607990012486</v>
      </c>
      <c r="BS40" s="11">
        <f t="shared" si="12"/>
        <v>21.917602996254679</v>
      </c>
      <c r="BT40" s="11">
        <f t="shared" si="13"/>
        <v>26.301123595505615</v>
      </c>
      <c r="BU40" s="11">
        <f t="shared" si="14"/>
        <v>28.563812194756544</v>
      </c>
      <c r="BV40" s="11">
        <f t="shared" si="15"/>
        <v>35.741455992509358</v>
      </c>
      <c r="BW40" s="11">
        <f t="shared" si="16"/>
        <v>31.621752808988752</v>
      </c>
    </row>
    <row r="41" spans="1:75" ht="15.75" x14ac:dyDescent="0.25">
      <c r="A41" s="10">
        <v>44138</v>
      </c>
      <c r="B41" s="99">
        <v>51</v>
      </c>
      <c r="C41" s="40">
        <v>100</v>
      </c>
      <c r="D41" s="64">
        <v>81</v>
      </c>
      <c r="E41" s="531">
        <v>112</v>
      </c>
      <c r="F41" s="99">
        <v>39</v>
      </c>
      <c r="G41" s="40">
        <v>63</v>
      </c>
      <c r="H41" s="40">
        <v>51</v>
      </c>
      <c r="I41" s="94">
        <v>51</v>
      </c>
      <c r="J41" s="99"/>
      <c r="K41" s="40"/>
      <c r="L41" s="40"/>
      <c r="M41" s="94"/>
      <c r="N41" s="40">
        <v>86</v>
      </c>
      <c r="O41" s="40">
        <v>50</v>
      </c>
      <c r="P41" s="40"/>
      <c r="Q41" s="99">
        <v>597</v>
      </c>
      <c r="R41" s="40">
        <v>627</v>
      </c>
      <c r="S41" s="94"/>
      <c r="T41" s="40"/>
      <c r="U41" s="40"/>
      <c r="V41" s="40"/>
      <c r="W41" s="99"/>
      <c r="X41" s="40"/>
      <c r="Y41" s="94"/>
      <c r="Z41" s="40"/>
      <c r="AA41" s="2">
        <f t="shared" si="1"/>
        <v>68.8</v>
      </c>
      <c r="AB41" s="2">
        <f t="shared" si="8"/>
        <v>40.799999999999997</v>
      </c>
      <c r="AC41" s="2">
        <f t="shared" si="2"/>
        <v>48.959999999999994</v>
      </c>
      <c r="AD41" s="30">
        <f>((AVERAGE(AA30:AA41)*('Summary Page'!$C$2+1))*('Summary Page'!$C$2+1))*('Summary Page'!$C$2+1)</f>
        <v>96.567432533333317</v>
      </c>
      <c r="AE41" s="30">
        <f>((AVERAGE(AA30:AA41)*('Summary Page'!$C$3+1))*('Summary Page'!$C$3+1))*('Summary Page'!$C$3+1)</f>
        <v>120.83333333333331</v>
      </c>
      <c r="AF41" s="30">
        <f>((AVERAGE(AA30:AA41)*('Summary Page'!$C$4+1))*('Summary Page'!$C$4+1))*('Summary Page'!$C$4+1)</f>
        <v>106.90559999999999</v>
      </c>
      <c r="AG41" s="7">
        <f t="shared" si="24"/>
        <v>80</v>
      </c>
      <c r="AJ41" s="7">
        <f t="shared" si="19"/>
        <v>46.8</v>
      </c>
      <c r="AK41" s="7">
        <f>((AVERAGE(B36:B41)*('Summary Page'!$C$2+1))*('Summary Page'!$C$2+1))*('Summary Page'!$C$2+1)</f>
        <v>96.255253333333314</v>
      </c>
      <c r="AL41" s="7">
        <f>((AVERAGE(B36:B41)*('Summary Page'!$C$3+1))*('Summary Page'!$C$3+1))*('Summary Page'!$C$3+1)</f>
        <v>120.44270833333331</v>
      </c>
      <c r="AM41" s="8">
        <f>((AVERAGE(B36:B41)*('Summary Page'!$C$4+1))*('Summary Page'!$C$4+1))*('Summary Page'!$C$4+1)</f>
        <v>106.55999999999999</v>
      </c>
      <c r="AP41" s="7">
        <f t="shared" si="20"/>
        <v>75.599999999999994</v>
      </c>
      <c r="AQ41" s="7">
        <f>((AVERAGE(C36:C41)*('Summary Page'!$C$2+1))*('Summary Page'!$C$2+1))*('Summary Page'!$C$2+1)</f>
        <v>153.48810666666662</v>
      </c>
      <c r="AR41" s="7">
        <f>((AVERAGE(C36:C41)*('Summary Page'!$C$3+1))*('Summary Page'!$C$3+1))*('Summary Page'!$C$3+1)</f>
        <v>192.05729166666663</v>
      </c>
      <c r="AS41" s="7">
        <f>((AVERAGE(C36:C41)*('Summary Page'!$C$4+1))*('Summary Page'!$C$4+1))*('Summary Page'!$C$4+1)</f>
        <v>169.91999999999996</v>
      </c>
      <c r="AV41" s="40">
        <f t="shared" si="21"/>
        <v>61.199999999999996</v>
      </c>
      <c r="AW41" s="7">
        <f>((AVERAGE(D36:D41)*('Summary Page'!$C$2+1))*('Summary Page'!$C$2+1))*('Summary Page'!$C$2+1)</f>
        <v>128.25362133333331</v>
      </c>
      <c r="AX41" s="7">
        <f>((AVERAGE(D36:D41)*('Summary Page'!$C$3+1))*('Summary Page'!$C$3+1))*('Summary Page'!$C$3+1)</f>
        <v>160.48177083333337</v>
      </c>
      <c r="AY41" s="8">
        <f>((AVERAGE(D36:D41)*('Summary Page'!$C$4+1))*('Summary Page'!$C$4+1))*('Summary Page'!$C$4+1)</f>
        <v>141.98400000000001</v>
      </c>
      <c r="BB41" s="40">
        <f t="shared" si="22"/>
        <v>61.199999999999996</v>
      </c>
      <c r="BC41" s="30">
        <f>((AVERAGE(E36:E41)*('Summary Page'!$C$2+1))*('Summary Page'!$C$2+1))*('Summary Page'!$C$2+1)</f>
        <v>154.2685546666666</v>
      </c>
      <c r="BD41" s="30">
        <f>((AVERAGE(E36:E41)*('Summary Page'!$C$3+1))*('Summary Page'!$C$3+1))*('Summary Page'!$C$3+1)</f>
        <v>193.03385416666663</v>
      </c>
      <c r="BE41" s="32">
        <f>((AVERAGE(E36:E41)*('Summary Page'!$C$4+1))*('Summary Page'!$C$4+1))*('Summary Page'!$C$4+1)</f>
        <v>170.78399999999999</v>
      </c>
      <c r="BH41" s="40">
        <f t="shared" si="23"/>
        <v>60</v>
      </c>
      <c r="BI41" s="7">
        <f>((AVERAGE(N36:N41)*('Summary Page'!$C$2+1))*('Summary Page'!$C$2+1))*('Summary Page'!$C$2+1)</f>
        <v>161.03243733333332</v>
      </c>
      <c r="BJ41" s="7">
        <f>((AVERAGE(N36:N41)*('Summary Page'!$C$3+1))*('Summary Page'!$C$3+1))*('Summary Page'!$C$3+1)</f>
        <v>201.49739583333337</v>
      </c>
      <c r="BK41" s="7">
        <f>((AVERAGE(N36:N41)*('Summary Page'!$C$4+1))*('Summary Page'!$C$4+1))*('Summary Page'!$C$4+1)</f>
        <v>178.27199999999999</v>
      </c>
      <c r="BL41" s="16">
        <f t="shared" si="17"/>
        <v>17.887640449438202</v>
      </c>
      <c r="BM41" s="16">
        <f t="shared" si="18"/>
        <v>18.786516853932582</v>
      </c>
      <c r="BN41" s="7">
        <f t="shared" si="25"/>
        <v>22.543820224719099</v>
      </c>
      <c r="BO41" s="7">
        <f>((AVERAGE(BL36:BL41)*('Summary Page'!$C$2+1))*('Summary Page'!$C$2+1))*('Summary Page'!$C$2+1)</f>
        <v>25.543351770287138</v>
      </c>
      <c r="BP41" s="7">
        <f>((AVERAGE(BL36:BL41)*('Summary Page'!$C$3+1))*('Summary Page'!$C$3+1))*('Summary Page'!$C$3+1)</f>
        <v>31.962000624219726</v>
      </c>
      <c r="BQ41" s="7">
        <f>((AVERAGE(BL36:BL41)*('Summary Page'!$C$4+1))*('Summary Page'!$C$4+1))*('Summary Page'!$C$4+1)</f>
        <v>28.277932584269667</v>
      </c>
      <c r="BR41" s="11">
        <f t="shared" si="26"/>
        <v>20.868913857677903</v>
      </c>
      <c r="BS41" s="11">
        <f t="shared" si="12"/>
        <v>21.917602996254679</v>
      </c>
      <c r="BT41" s="11">
        <f t="shared" si="13"/>
        <v>26.301123595505615</v>
      </c>
      <c r="BU41" s="11">
        <f t="shared" si="14"/>
        <v>29.800577065334995</v>
      </c>
      <c r="BV41" s="11">
        <f t="shared" si="15"/>
        <v>37.289000728256347</v>
      </c>
      <c r="BW41" s="11">
        <f t="shared" si="16"/>
        <v>32.990921348314615</v>
      </c>
    </row>
    <row r="42" spans="1:75" ht="15.75" x14ac:dyDescent="0.25">
      <c r="A42" s="10">
        <v>44166</v>
      </c>
      <c r="B42" s="99">
        <v>47</v>
      </c>
      <c r="C42" s="40">
        <v>84</v>
      </c>
      <c r="D42" s="64">
        <v>71</v>
      </c>
      <c r="E42" s="531">
        <v>82</v>
      </c>
      <c r="F42" s="99">
        <v>40</v>
      </c>
      <c r="G42" s="40">
        <v>66</v>
      </c>
      <c r="H42" s="40">
        <v>55</v>
      </c>
      <c r="I42" s="94">
        <v>60</v>
      </c>
      <c r="J42" s="99"/>
      <c r="K42" s="40"/>
      <c r="L42" s="40"/>
      <c r="M42" s="94"/>
      <c r="N42" s="40">
        <v>87</v>
      </c>
      <c r="O42" s="40">
        <v>65</v>
      </c>
      <c r="P42" s="40"/>
      <c r="Q42" s="99">
        <v>457</v>
      </c>
      <c r="R42" s="40">
        <v>493</v>
      </c>
      <c r="S42" s="94"/>
      <c r="T42" s="40"/>
      <c r="U42" s="40"/>
      <c r="V42" s="40"/>
      <c r="W42" s="99"/>
      <c r="X42" s="40"/>
      <c r="Y42" s="94"/>
      <c r="Z42" s="40"/>
      <c r="AA42" s="2">
        <f t="shared" si="1"/>
        <v>56.8</v>
      </c>
      <c r="AB42" s="2">
        <f t="shared" si="8"/>
        <v>44.2</v>
      </c>
      <c r="AC42" s="2">
        <f t="shared" si="2"/>
        <v>53.04</v>
      </c>
      <c r="AD42" s="30">
        <f>((AVERAGE(AA31:AA42)*('Summary Page'!$C$2+1))*('Summary Page'!$C$2+1))*('Summary Page'!$C$2+1)</f>
        <v>94.954506666666617</v>
      </c>
      <c r="AE42" s="30">
        <f>((AVERAGE(AA31:AA42)*('Summary Page'!$C$3+1))*('Summary Page'!$C$3+1))*('Summary Page'!$C$3+1)</f>
        <v>118.81510416666664</v>
      </c>
      <c r="AF42" s="30">
        <f>((AVERAGE(AA31:AA42)*('Summary Page'!$C$4+1))*('Summary Page'!$C$4+1))*('Summary Page'!$C$4+1)</f>
        <v>105.11999999999998</v>
      </c>
      <c r="AG42" s="7">
        <f t="shared" si="24"/>
        <v>80</v>
      </c>
      <c r="AJ42" s="7">
        <f t="shared" si="19"/>
        <v>48</v>
      </c>
      <c r="AK42" s="7">
        <f>((AVERAGE(B37:B42)*('Summary Page'!$C$2+1))*('Summary Page'!$C$2+1))*('Summary Page'!$C$2+1)</f>
        <v>91.832714666666661</v>
      </c>
      <c r="AL42" s="7">
        <f>((AVERAGE(B37:B42)*('Summary Page'!$C$3+1))*('Summary Page'!$C$3+1))*('Summary Page'!$C$3+1)</f>
        <v>114.90885416666669</v>
      </c>
      <c r="AM42" s="8">
        <f>((AVERAGE(B37:B42)*('Summary Page'!$C$4+1))*('Summary Page'!$C$4+1))*('Summary Page'!$C$4+1)</f>
        <v>101.66399999999997</v>
      </c>
      <c r="AP42" s="7">
        <f t="shared" si="20"/>
        <v>79.2</v>
      </c>
      <c r="AQ42" s="7">
        <f>((AVERAGE(C37:C42)*('Summary Page'!$C$2+1))*('Summary Page'!$C$2+1))*('Summary Page'!$C$2+1)</f>
        <v>154.2685546666666</v>
      </c>
      <c r="AR42" s="7">
        <f>((AVERAGE(C37:C42)*('Summary Page'!$C$3+1))*('Summary Page'!$C$3+1))*('Summary Page'!$C$3+1)</f>
        <v>193.03385416666663</v>
      </c>
      <c r="AS42" s="7">
        <f>((AVERAGE(C37:C42)*('Summary Page'!$C$4+1))*('Summary Page'!$C$4+1))*('Summary Page'!$C$4+1)</f>
        <v>170.78399999999999</v>
      </c>
      <c r="AV42" s="40">
        <f t="shared" si="21"/>
        <v>66</v>
      </c>
      <c r="AW42" s="7">
        <f>((AVERAGE(D37:D42)*('Summary Page'!$C$2+1))*('Summary Page'!$C$2+1))*('Summary Page'!$C$2+1)</f>
        <v>128.25362133333331</v>
      </c>
      <c r="AX42" s="7">
        <f>((AVERAGE(D37:D42)*('Summary Page'!$C$3+1))*('Summary Page'!$C$3+1))*('Summary Page'!$C$3+1)</f>
        <v>160.48177083333337</v>
      </c>
      <c r="AY42" s="8">
        <f>((AVERAGE(D37:D42)*('Summary Page'!$C$4+1))*('Summary Page'!$C$4+1))*('Summary Page'!$C$4+1)</f>
        <v>141.98400000000001</v>
      </c>
      <c r="BB42" s="40">
        <f t="shared" si="22"/>
        <v>72</v>
      </c>
      <c r="BC42" s="30">
        <f>((AVERAGE(E37:E42)*('Summary Page'!$C$2+1))*('Summary Page'!$C$2+1))*('Summary Page'!$C$2+1)</f>
        <v>156.870048</v>
      </c>
      <c r="BD42" s="30">
        <f>((AVERAGE(E37:E42)*('Summary Page'!$C$3+1))*('Summary Page'!$C$3+1))*('Summary Page'!$C$3+1)</f>
        <v>196.2890625</v>
      </c>
      <c r="BE42" s="32">
        <f>((AVERAGE(E37:E42)*('Summary Page'!$C$4+1))*('Summary Page'!$C$4+1))*('Summary Page'!$C$4+1)</f>
        <v>173.66399999999999</v>
      </c>
      <c r="BH42" s="40">
        <f t="shared" si="23"/>
        <v>78</v>
      </c>
      <c r="BI42" s="7">
        <f>((AVERAGE(N37:N42)*('Summary Page'!$C$2+1))*('Summary Page'!$C$2+1))*('Summary Page'!$C$2+1)</f>
        <v>159.21139199999996</v>
      </c>
      <c r="BJ42" s="7">
        <f>((AVERAGE(N37:N42)*('Summary Page'!$C$3+1))*('Summary Page'!$C$3+1))*('Summary Page'!$C$3+1)</f>
        <v>199.21875</v>
      </c>
      <c r="BK42" s="7">
        <f>((AVERAGE(N37:N42)*('Summary Page'!$C$4+1))*('Summary Page'!$C$4+1))*('Summary Page'!$C$4+1)</f>
        <v>176.256</v>
      </c>
      <c r="BL42" s="16">
        <f t="shared" si="17"/>
        <v>13.692883895131086</v>
      </c>
      <c r="BM42" s="16">
        <f t="shared" si="18"/>
        <v>14.771535580524343</v>
      </c>
      <c r="BN42" s="7">
        <f t="shared" si="25"/>
        <v>17.725842696629211</v>
      </c>
      <c r="BO42" s="7">
        <f>((AVERAGE(BL37:BL42)*('Summary Page'!$C$2+1))*('Summary Page'!$C$2+1))*('Summary Page'!$C$2+1)</f>
        <v>25.519967560549315</v>
      </c>
      <c r="BP42" s="7">
        <f>((AVERAGE(BL37:BL42)*('Summary Page'!$C$3+1))*('Summary Page'!$C$3+1))*('Summary Page'!$C$3+1)</f>
        <v>31.93274032459426</v>
      </c>
      <c r="BQ42" s="7">
        <f>((AVERAGE(BL37:BL42)*('Summary Page'!$C$4+1))*('Summary Page'!$C$4+1))*('Summary Page'!$C$4+1)</f>
        <v>28.252044943820227</v>
      </c>
      <c r="BR42" s="11">
        <f t="shared" si="26"/>
        <v>15.975031210986266</v>
      </c>
      <c r="BS42" s="11">
        <f t="shared" si="12"/>
        <v>17.233458177278401</v>
      </c>
      <c r="BT42" s="11">
        <f t="shared" si="13"/>
        <v>20.680149812734079</v>
      </c>
      <c r="BU42" s="11">
        <f t="shared" si="14"/>
        <v>29.773295487307536</v>
      </c>
      <c r="BV42" s="11">
        <f t="shared" si="15"/>
        <v>37.254863712026633</v>
      </c>
      <c r="BW42" s="11">
        <f t="shared" si="16"/>
        <v>32.960719101123601</v>
      </c>
    </row>
    <row r="43" spans="1:75" ht="15.75" x14ac:dyDescent="0.25">
      <c r="A43" s="10">
        <v>44230</v>
      </c>
      <c r="B43" s="99">
        <v>45</v>
      </c>
      <c r="C43" s="40">
        <v>86</v>
      </c>
      <c r="D43" s="64">
        <v>74</v>
      </c>
      <c r="E43" s="531">
        <v>85</v>
      </c>
      <c r="F43" s="99">
        <v>37</v>
      </c>
      <c r="G43" s="40">
        <v>59</v>
      </c>
      <c r="H43" s="40">
        <v>48</v>
      </c>
      <c r="I43" s="94">
        <v>53</v>
      </c>
      <c r="J43" s="99"/>
      <c r="K43" s="40"/>
      <c r="L43" s="40"/>
      <c r="M43" s="94"/>
      <c r="N43" s="40">
        <v>94</v>
      </c>
      <c r="O43" s="40">
        <v>62</v>
      </c>
      <c r="P43" s="40"/>
      <c r="Q43" s="99">
        <v>430</v>
      </c>
      <c r="R43" s="40">
        <v>447</v>
      </c>
      <c r="S43" s="94"/>
      <c r="T43" s="40"/>
      <c r="U43" s="40"/>
      <c r="V43" s="40"/>
      <c r="W43" s="99"/>
      <c r="X43" s="40"/>
      <c r="Y43" s="94"/>
      <c r="Z43" s="40"/>
      <c r="AA43" s="2">
        <f t="shared" si="1"/>
        <v>58</v>
      </c>
      <c r="AB43" s="2">
        <f t="shared" si="8"/>
        <v>39.4</v>
      </c>
      <c r="AC43" s="2">
        <f t="shared" si="2"/>
        <v>47.279999999999994</v>
      </c>
      <c r="AD43" s="30">
        <f>((AVERAGE(AA32:AA43)*('Summary Page'!$C$2+1))*('Summary Page'!$C$2+1))*('Summary Page'!$C$2+1)</f>
        <v>95.396760533333293</v>
      </c>
      <c r="AE43" s="30">
        <f>((AVERAGE(AA32:AA43)*('Summary Page'!$C$3+1))*('Summary Page'!$C$3+1))*('Summary Page'!$C$3+1)</f>
        <v>119.3684895833333</v>
      </c>
      <c r="AF43" s="30">
        <f>((AVERAGE(AA32:AA43)*('Summary Page'!$C$4+1))*('Summary Page'!$C$4+1))*('Summary Page'!$C$4+1)</f>
        <v>105.60959999999996</v>
      </c>
      <c r="AG43" s="7">
        <f t="shared" si="24"/>
        <v>80</v>
      </c>
      <c r="AJ43" s="7">
        <f t="shared" si="19"/>
        <v>44.4</v>
      </c>
      <c r="AK43" s="7">
        <f>((AVERAGE(B38:B43)*('Summary Page'!$C$2+1))*('Summary Page'!$C$2+1))*('Summary Page'!$C$2+1)</f>
        <v>87.410175999999979</v>
      </c>
      <c r="AL43" s="7">
        <f>((AVERAGE(B38:B43)*('Summary Page'!$C$3+1))*('Summary Page'!$C$3+1))*('Summary Page'!$C$3+1)</f>
        <v>109.375</v>
      </c>
      <c r="AM43" s="8">
        <f>((AVERAGE(B38:B43)*('Summary Page'!$C$4+1))*('Summary Page'!$C$4+1))*('Summary Page'!$C$4+1)</f>
        <v>96.768000000000001</v>
      </c>
      <c r="AP43" s="7">
        <f t="shared" si="20"/>
        <v>70.8</v>
      </c>
      <c r="AQ43" s="7">
        <f>((AVERAGE(C38:C43)*('Summary Page'!$C$2+1))*('Summary Page'!$C$2+1))*('Summary Page'!$C$2+1)</f>
        <v>154.2685546666666</v>
      </c>
      <c r="AR43" s="7">
        <f>((AVERAGE(C38:C43)*('Summary Page'!$C$3+1))*('Summary Page'!$C$3+1))*('Summary Page'!$C$3+1)</f>
        <v>193.03385416666663</v>
      </c>
      <c r="AS43" s="7">
        <f>((AVERAGE(C38:C43)*('Summary Page'!$C$4+1))*('Summary Page'!$C$4+1))*('Summary Page'!$C$4+1)</f>
        <v>170.78399999999999</v>
      </c>
      <c r="AV43" s="40">
        <f t="shared" si="21"/>
        <v>57.599999999999994</v>
      </c>
      <c r="AW43" s="7">
        <f>((AVERAGE(D38:D43)*('Summary Page'!$C$2+1))*('Summary Page'!$C$2+1))*('Summary Page'!$C$2+1)</f>
        <v>128.51377066666663</v>
      </c>
      <c r="AX43" s="7">
        <f>((AVERAGE(D38:D43)*('Summary Page'!$C$3+1))*('Summary Page'!$C$3+1))*('Summary Page'!$C$3+1)</f>
        <v>160.80729166666663</v>
      </c>
      <c r="AY43" s="8">
        <f>((AVERAGE(D38:D43)*('Summary Page'!$C$4+1))*('Summary Page'!$C$4+1))*('Summary Page'!$C$4+1)</f>
        <v>142.27199999999999</v>
      </c>
      <c r="BB43" s="40">
        <f t="shared" si="22"/>
        <v>63.599999999999994</v>
      </c>
      <c r="BC43" s="30">
        <f>((AVERAGE(E38:E43)*('Summary Page'!$C$2+1))*('Summary Page'!$C$2+1))*('Summary Page'!$C$2+1)</f>
        <v>156.870048</v>
      </c>
      <c r="BD43" s="30">
        <f>((AVERAGE(E38:E43)*('Summary Page'!$C$3+1))*('Summary Page'!$C$3+1))*('Summary Page'!$C$3+1)</f>
        <v>196.2890625</v>
      </c>
      <c r="BE43" s="32">
        <f>((AVERAGE(E38:E43)*('Summary Page'!$C$4+1))*('Summary Page'!$C$4+1))*('Summary Page'!$C$4+1)</f>
        <v>173.66399999999999</v>
      </c>
      <c r="BH43" s="40">
        <f t="shared" si="23"/>
        <v>74.399999999999991</v>
      </c>
      <c r="BI43" s="7">
        <f>((AVERAGE(N38:N43)*('Summary Page'!$C$2+1))*('Summary Page'!$C$2+1))*('Summary Page'!$C$2+1)</f>
        <v>157.13019733333331</v>
      </c>
      <c r="BJ43" s="7">
        <f>((AVERAGE(N38:N43)*('Summary Page'!$C$3+1))*('Summary Page'!$C$3+1))*('Summary Page'!$C$3+1)</f>
        <v>196.61458333333337</v>
      </c>
      <c r="BK43" s="7">
        <f>((AVERAGE(N38:N43)*('Summary Page'!$C$4+1))*('Summary Page'!$C$4+1))*('Summary Page'!$C$4+1)</f>
        <v>173.95199999999997</v>
      </c>
      <c r="BL43" s="16">
        <f t="shared" si="17"/>
        <v>12.883895131086144</v>
      </c>
      <c r="BM43" s="16">
        <f t="shared" si="18"/>
        <v>13.393258426966293</v>
      </c>
      <c r="BN43" s="7">
        <f t="shared" si="25"/>
        <v>16.07191011235955</v>
      </c>
      <c r="BO43" s="7">
        <f>((AVERAGE(BL38:BL43)*('Summary Page'!$C$2+1))*('Summary Page'!$C$2+1))*('Summary Page'!$C$2+1)</f>
        <v>24.210451815230961</v>
      </c>
      <c r="BP43" s="7">
        <f>((AVERAGE(BL38:BL43)*('Summary Page'!$C$3+1))*('Summary Page'!$C$3+1))*('Summary Page'!$C$3+1)</f>
        <v>30.294163545568043</v>
      </c>
      <c r="BQ43" s="7">
        <f>((AVERAGE(BL38:BL43)*('Summary Page'!$C$4+1))*('Summary Page'!$C$4+1))*('Summary Page'!$C$4+1)</f>
        <v>26.802337078651686</v>
      </c>
      <c r="BR43" s="11">
        <f t="shared" si="26"/>
        <v>15.031210986267167</v>
      </c>
      <c r="BS43" s="11">
        <f t="shared" si="12"/>
        <v>15.625468164794007</v>
      </c>
      <c r="BT43" s="11">
        <f t="shared" si="13"/>
        <v>18.750561797752809</v>
      </c>
      <c r="BU43" s="11">
        <f t="shared" si="14"/>
        <v>28.245527117769456</v>
      </c>
      <c r="BV43" s="11">
        <f t="shared" si="15"/>
        <v>35.34319080316272</v>
      </c>
      <c r="BW43" s="11">
        <f t="shared" si="16"/>
        <v>31.269393258426966</v>
      </c>
    </row>
    <row r="44" spans="1:75" ht="15.75" x14ac:dyDescent="0.25">
      <c r="A44" s="10">
        <v>44292</v>
      </c>
      <c r="B44" s="99">
        <v>48</v>
      </c>
      <c r="C44" s="40">
        <v>96</v>
      </c>
      <c r="D44" s="64">
        <v>78</v>
      </c>
      <c r="E44" s="531">
        <v>45</v>
      </c>
      <c r="F44" s="99">
        <v>50</v>
      </c>
      <c r="G44" s="40">
        <v>76</v>
      </c>
      <c r="H44" s="40">
        <v>66</v>
      </c>
      <c r="I44" s="94">
        <v>45</v>
      </c>
      <c r="J44" s="99"/>
      <c r="K44" s="40"/>
      <c r="L44" s="40"/>
      <c r="M44" s="94"/>
      <c r="N44" s="40">
        <v>103</v>
      </c>
      <c r="O44" s="40">
        <v>85</v>
      </c>
      <c r="P44" s="40"/>
      <c r="Q44" s="99">
        <v>442</v>
      </c>
      <c r="R44" s="40">
        <v>456</v>
      </c>
      <c r="S44" s="94"/>
      <c r="T44" s="40"/>
      <c r="U44" s="40"/>
      <c r="V44" s="40"/>
      <c r="W44" s="99"/>
      <c r="X44" s="40"/>
      <c r="Y44" s="94"/>
      <c r="Z44" s="40"/>
      <c r="AA44" s="2">
        <f t="shared" si="1"/>
        <v>53.4</v>
      </c>
      <c r="AB44" s="2">
        <f t="shared" si="8"/>
        <v>47.4</v>
      </c>
      <c r="AC44" s="2">
        <f t="shared" si="2"/>
        <v>56.879999999999995</v>
      </c>
      <c r="AD44" s="30">
        <f>((AVERAGE(AA33:AA44)*('Summary Page'!$C$2+1))*('Summary Page'!$C$2+1))*('Summary Page'!$C$2+1)</f>
        <v>95.526835199999965</v>
      </c>
      <c r="AE44" s="30">
        <f>((AVERAGE(AA33:AA44)*('Summary Page'!$C$3+1))*('Summary Page'!$C$3+1))*('Summary Page'!$C$3+1)</f>
        <v>119.53125</v>
      </c>
      <c r="AF44" s="30">
        <f>((AVERAGE(AA33:AA44)*('Summary Page'!$C$4+1))*('Summary Page'!$C$4+1))*('Summary Page'!$C$4+1)</f>
        <v>105.75359999999999</v>
      </c>
      <c r="AG44" s="7">
        <f t="shared" si="24"/>
        <v>80</v>
      </c>
      <c r="AJ44" s="7">
        <f t="shared" si="19"/>
        <v>60</v>
      </c>
      <c r="AK44" s="7">
        <f>((AVERAGE(B39:B44)*('Summary Page'!$C$2+1))*('Summary Page'!$C$2+1))*('Summary Page'!$C$2+1)</f>
        <v>83.247786666666656</v>
      </c>
      <c r="AL44" s="7">
        <f>((AVERAGE(B39:B44)*('Summary Page'!$C$3+1))*('Summary Page'!$C$3+1))*('Summary Page'!$C$3+1)</f>
        <v>104.16666666666669</v>
      </c>
      <c r="AM44" s="8">
        <f>((AVERAGE(B39:B44)*('Summary Page'!$C$4+1))*('Summary Page'!$C$4+1))*('Summary Page'!$C$4+1)</f>
        <v>92.16</v>
      </c>
      <c r="AP44" s="7">
        <f t="shared" si="20"/>
        <v>91.2</v>
      </c>
      <c r="AQ44" s="7">
        <f>((AVERAGE(C39:C44)*('Summary Page'!$C$2+1))*('Summary Page'!$C$2+1))*('Summary Page'!$C$2+1)</f>
        <v>154.52870399999998</v>
      </c>
      <c r="AR44" s="7">
        <f>((AVERAGE(C39:C44)*('Summary Page'!$C$3+1))*('Summary Page'!$C$3+1))*('Summary Page'!$C$3+1)</f>
        <v>193.359375</v>
      </c>
      <c r="AS44" s="7">
        <f>((AVERAGE(C39:C44)*('Summary Page'!$C$4+1))*('Summary Page'!$C$4+1))*('Summary Page'!$C$4+1)</f>
        <v>171.072</v>
      </c>
      <c r="AV44" s="40">
        <f t="shared" si="21"/>
        <v>79.2</v>
      </c>
      <c r="AW44" s="7">
        <f>((AVERAGE(D39:D44)*('Summary Page'!$C$2+1))*('Summary Page'!$C$2+1))*('Summary Page'!$C$2+1)</f>
        <v>127.99347199999997</v>
      </c>
      <c r="AX44" s="7">
        <f>((AVERAGE(D39:D44)*('Summary Page'!$C$3+1))*('Summary Page'!$C$3+1))*('Summary Page'!$C$3+1)</f>
        <v>160.15625</v>
      </c>
      <c r="AY44" s="8">
        <f>((AVERAGE(D39:D44)*('Summary Page'!$C$4+1))*('Summary Page'!$C$4+1))*('Summary Page'!$C$4+1)</f>
        <v>141.69599999999997</v>
      </c>
      <c r="BB44" s="40">
        <f t="shared" si="22"/>
        <v>54</v>
      </c>
      <c r="BC44" s="30">
        <f>((AVERAGE(E39:E44)*('Summary Page'!$C$2+1))*('Summary Page'!$C$2+1))*('Summary Page'!$C$2+1)</f>
        <v>144.38287999999997</v>
      </c>
      <c r="BD44" s="30">
        <f>((AVERAGE(E39:E44)*('Summary Page'!$C$3+1))*('Summary Page'!$C$3+1))*('Summary Page'!$C$3+1)</f>
        <v>180.6640625</v>
      </c>
      <c r="BE44" s="32">
        <f>((AVERAGE(E39:E44)*('Summary Page'!$C$4+1))*('Summary Page'!$C$4+1))*('Summary Page'!$C$4+1)</f>
        <v>159.83999999999997</v>
      </c>
      <c r="BH44" s="40">
        <f t="shared" si="23"/>
        <v>102</v>
      </c>
      <c r="BI44" s="7">
        <f>((AVERAGE(N39:N44)*('Summary Page'!$C$2+1))*('Summary Page'!$C$2+1))*('Summary Page'!$C$2+1)</f>
        <v>156.870048</v>
      </c>
      <c r="BJ44" s="7">
        <f>((AVERAGE(N39:N44)*('Summary Page'!$C$3+1))*('Summary Page'!$C$3+1))*('Summary Page'!$C$3+1)</f>
        <v>196.2890625</v>
      </c>
      <c r="BK44" s="7">
        <f>((AVERAGE(N39:N44)*('Summary Page'!$C$4+1))*('Summary Page'!$C$4+1))*('Summary Page'!$C$4+1)</f>
        <v>173.66399999999999</v>
      </c>
      <c r="BL44" s="16">
        <f t="shared" si="17"/>
        <v>13.243445692883896</v>
      </c>
      <c r="BM44" s="16">
        <f t="shared" si="18"/>
        <v>13.662921348314606</v>
      </c>
      <c r="BN44" s="7">
        <f t="shared" si="25"/>
        <v>16.395505617977527</v>
      </c>
      <c r="BO44" s="7">
        <f>((AVERAGE(BL39:BL44)*('Summary Page'!$C$2+1))*('Summary Page'!$C$2+1))*('Summary Page'!$C$2+1)</f>
        <v>23.625846571785264</v>
      </c>
      <c r="BP44" s="7">
        <f>((AVERAGE(BL39:BL44)*('Summary Page'!$C$3+1))*('Summary Page'!$C$3+1))*('Summary Page'!$C$3+1)</f>
        <v>29.562656054931338</v>
      </c>
      <c r="BQ44" s="7">
        <f>((AVERAGE(BL39:BL44)*('Summary Page'!$C$4+1))*('Summary Page'!$C$4+1))*('Summary Page'!$C$4+1)</f>
        <v>26.155146067415728</v>
      </c>
      <c r="BR44" s="11">
        <f t="shared" si="26"/>
        <v>15.450686641697878</v>
      </c>
      <c r="BS44" s="11">
        <f t="shared" si="12"/>
        <v>15.940074906367041</v>
      </c>
      <c r="BT44" s="11">
        <f t="shared" si="13"/>
        <v>19.128089887640449</v>
      </c>
      <c r="BU44" s="11">
        <f t="shared" si="14"/>
        <v>27.563487667082807</v>
      </c>
      <c r="BV44" s="11">
        <f t="shared" si="15"/>
        <v>34.489765397419895</v>
      </c>
      <c r="BW44" s="11">
        <f t="shared" si="16"/>
        <v>30.514337078651682</v>
      </c>
    </row>
    <row r="45" spans="1:75" ht="15.75" x14ac:dyDescent="0.25">
      <c r="A45" s="10">
        <v>44363</v>
      </c>
      <c r="B45" s="99">
        <v>73</v>
      </c>
      <c r="C45" s="40">
        <v>98</v>
      </c>
      <c r="D45" s="64">
        <v>96</v>
      </c>
      <c r="E45" s="531">
        <v>59</v>
      </c>
      <c r="F45" s="99">
        <v>88</v>
      </c>
      <c r="G45" s="40">
        <v>110</v>
      </c>
      <c r="H45" s="40">
        <v>121</v>
      </c>
      <c r="I45" s="94">
        <v>68</v>
      </c>
      <c r="J45" s="99"/>
      <c r="K45" s="40"/>
      <c r="L45" s="40"/>
      <c r="M45" s="94"/>
      <c r="N45" s="40">
        <v>119</v>
      </c>
      <c r="O45" s="40">
        <v>131</v>
      </c>
      <c r="P45" s="40"/>
      <c r="Q45" s="99">
        <v>507</v>
      </c>
      <c r="R45" s="40">
        <v>508</v>
      </c>
      <c r="S45" s="94"/>
      <c r="T45" s="40"/>
      <c r="U45" s="40"/>
      <c r="V45" s="40"/>
      <c r="W45" s="99"/>
      <c r="X45" s="40"/>
      <c r="Y45" s="94"/>
      <c r="Z45" s="40"/>
      <c r="AA45" s="2">
        <f t="shared" si="1"/>
        <v>65.2</v>
      </c>
      <c r="AB45" s="2">
        <f t="shared" si="8"/>
        <v>77.400000000000006</v>
      </c>
      <c r="AC45" s="2">
        <f t="shared" si="2"/>
        <v>92.88000000000001</v>
      </c>
      <c r="AD45" s="30">
        <f>((AVERAGE(AA34:AA45)*('Summary Page'!$C$2+1))*('Summary Page'!$C$2+1))*('Summary Page'!$C$2+1)</f>
        <v>97.972238933333287</v>
      </c>
      <c r="AE45" s="30">
        <f>((AVERAGE(AA34:AA45)*('Summary Page'!$C$3+1))*('Summary Page'!$C$3+1))*('Summary Page'!$C$3+1)</f>
        <v>122.59114583333331</v>
      </c>
      <c r="AF45" s="30">
        <f>((AVERAGE(AA34:AA45)*('Summary Page'!$C$4+1))*('Summary Page'!$C$4+1))*('Summary Page'!$C$4+1)</f>
        <v>108.46079999999998</v>
      </c>
      <c r="AG45" s="7">
        <f t="shared" si="24"/>
        <v>80</v>
      </c>
      <c r="AJ45" s="7">
        <f t="shared" si="19"/>
        <v>105.6</v>
      </c>
      <c r="AK45" s="7">
        <f>((AVERAGE(B40:B45)*('Summary Page'!$C$2+1))*('Summary Page'!$C$2+1))*('Summary Page'!$C$2+1)</f>
        <v>84.808682666666641</v>
      </c>
      <c r="AL45" s="7">
        <f>((AVERAGE(B40:B45)*('Summary Page'!$C$3+1))*('Summary Page'!$C$3+1))*('Summary Page'!$C$3+1)</f>
        <v>106.11979166666669</v>
      </c>
      <c r="AM45" s="8">
        <f>((AVERAGE(B40:B45)*('Summary Page'!$C$4+1))*('Summary Page'!$C$4+1))*('Summary Page'!$C$4+1)</f>
        <v>93.887999999999991</v>
      </c>
      <c r="AP45" s="7">
        <f t="shared" si="20"/>
        <v>132</v>
      </c>
      <c r="AQ45" s="7">
        <f>((AVERAGE(C40:C45)*('Summary Page'!$C$2+1))*('Summary Page'!$C$2+1))*('Summary Page'!$C$2+1)</f>
        <v>150.62646399999997</v>
      </c>
      <c r="AR45" s="7">
        <f>((AVERAGE(C40:C45)*('Summary Page'!$C$3+1))*('Summary Page'!$C$3+1))*('Summary Page'!$C$3+1)</f>
        <v>188.4765625</v>
      </c>
      <c r="AS45" s="7">
        <f>((AVERAGE(C40:C45)*('Summary Page'!$C$4+1))*('Summary Page'!$C$4+1))*('Summary Page'!$C$4+1)</f>
        <v>166.75199999999998</v>
      </c>
      <c r="AV45" s="40">
        <f t="shared" si="21"/>
        <v>145.19999999999999</v>
      </c>
      <c r="AW45" s="7">
        <f>((AVERAGE(D40:D45)*('Summary Page'!$C$2+1))*('Summary Page'!$C$2+1))*('Summary Page'!$C$2+1)</f>
        <v>127.21302399999998</v>
      </c>
      <c r="AX45" s="7">
        <f>((AVERAGE(D40:D45)*('Summary Page'!$C$3+1))*('Summary Page'!$C$3+1))*('Summary Page'!$C$3+1)</f>
        <v>159.1796875</v>
      </c>
      <c r="AY45" s="8">
        <f>((AVERAGE(D40:D45)*('Summary Page'!$C$4+1))*('Summary Page'!$C$4+1))*('Summary Page'!$C$4+1)</f>
        <v>140.83199999999997</v>
      </c>
      <c r="BB45" s="40">
        <f t="shared" si="22"/>
        <v>81.599999999999994</v>
      </c>
      <c r="BC45" s="30">
        <f>((AVERAGE(E40:E45)*('Summary Page'!$C$2+1))*('Summary Page'!$C$2+1))*('Summary Page'!$C$2+1)</f>
        <v>130.33481599999999</v>
      </c>
      <c r="BD45" s="30">
        <f>((AVERAGE(E40:E45)*('Summary Page'!$C$3+1))*('Summary Page'!$C$3+1))*('Summary Page'!$C$3+1)</f>
        <v>163.0859375</v>
      </c>
      <c r="BE45" s="32">
        <f>((AVERAGE(E40:E45)*('Summary Page'!$C$4+1))*('Summary Page'!$C$4+1))*('Summary Page'!$C$4+1)</f>
        <v>144.28799999999998</v>
      </c>
      <c r="BH45" s="40">
        <f t="shared" si="23"/>
        <v>157.19999999999999</v>
      </c>
      <c r="BI45" s="7">
        <f>((AVERAGE(N40:N45)*('Summary Page'!$C$2+1))*('Summary Page'!$C$2+1))*('Summary Page'!$C$2+1)</f>
        <v>154.00840533333331</v>
      </c>
      <c r="BJ45" s="7">
        <f>((AVERAGE(N40:N45)*('Summary Page'!$C$3+1))*('Summary Page'!$C$3+1))*('Summary Page'!$C$3+1)</f>
        <v>192.70833333333337</v>
      </c>
      <c r="BK45" s="7">
        <f>((AVERAGE(N40:N45)*('Summary Page'!$C$4+1))*('Summary Page'!$C$4+1))*('Summary Page'!$C$4+1)</f>
        <v>170.49600000000001</v>
      </c>
      <c r="BL45" s="16">
        <f t="shared" si="17"/>
        <v>15.191011235955054</v>
      </c>
      <c r="BM45" s="16">
        <f t="shared" si="18"/>
        <v>15.220973782771534</v>
      </c>
      <c r="BN45" s="7">
        <f t="shared" si="25"/>
        <v>18.265168539325838</v>
      </c>
      <c r="BO45" s="7">
        <f>((AVERAGE(BL40:BL45)*('Summary Page'!$C$2+1))*('Summary Page'!$C$2+1))*('Summary Page'!$C$2+1)</f>
        <v>23.672614991260918</v>
      </c>
      <c r="BP45" s="7">
        <f>((AVERAGE(BL40:BL45)*('Summary Page'!$C$3+1))*('Summary Page'!$C$3+1))*('Summary Page'!$C$3+1)</f>
        <v>29.621176654182282</v>
      </c>
      <c r="BQ45" s="7">
        <f>((AVERAGE(BL40:BL45)*('Summary Page'!$C$4+1))*('Summary Page'!$C$4+1))*('Summary Page'!$C$4+1)</f>
        <v>26.206921348314609</v>
      </c>
      <c r="BR45" s="11">
        <f t="shared" si="26"/>
        <v>17.722846441947564</v>
      </c>
      <c r="BS45" s="11">
        <f t="shared" si="12"/>
        <v>17.757802746566789</v>
      </c>
      <c r="BT45" s="11">
        <f t="shared" si="13"/>
        <v>21.309363295880146</v>
      </c>
      <c r="BU45" s="11">
        <f t="shared" si="14"/>
        <v>27.618050823137736</v>
      </c>
      <c r="BV45" s="11">
        <f t="shared" si="15"/>
        <v>34.558039429879329</v>
      </c>
      <c r="BW45" s="11">
        <f t="shared" si="16"/>
        <v>30.574741573033709</v>
      </c>
    </row>
    <row r="46" spans="1:75" ht="15.75" x14ac:dyDescent="0.25">
      <c r="A46" s="10">
        <v>44419</v>
      </c>
      <c r="B46" s="99">
        <v>94</v>
      </c>
      <c r="C46" s="40">
        <v>93</v>
      </c>
      <c r="D46" s="64">
        <v>123</v>
      </c>
      <c r="E46" s="531">
        <v>61</v>
      </c>
      <c r="F46" s="99">
        <v>77</v>
      </c>
      <c r="G46" s="40">
        <v>83</v>
      </c>
      <c r="H46" s="40">
        <v>98</v>
      </c>
      <c r="I46" s="94">
        <v>48</v>
      </c>
      <c r="J46" s="99"/>
      <c r="K46" s="40"/>
      <c r="L46" s="40"/>
      <c r="M46" s="94"/>
      <c r="N46" s="40">
        <v>126</v>
      </c>
      <c r="O46" s="40">
        <v>115</v>
      </c>
      <c r="P46" s="40"/>
      <c r="Q46" s="99">
        <v>497</v>
      </c>
      <c r="R46" s="40">
        <v>498</v>
      </c>
      <c r="S46" s="94"/>
      <c r="T46" s="40"/>
      <c r="U46" s="40"/>
      <c r="V46" s="40"/>
      <c r="W46" s="99"/>
      <c r="X46" s="40"/>
      <c r="Y46" s="94"/>
      <c r="Z46" s="40"/>
      <c r="AA46" s="2">
        <f t="shared" si="1"/>
        <v>74.2</v>
      </c>
      <c r="AB46" s="2">
        <f t="shared" si="8"/>
        <v>61.2</v>
      </c>
      <c r="AC46" s="2">
        <f t="shared" si="2"/>
        <v>73.44</v>
      </c>
      <c r="AD46" s="30">
        <f>((AVERAGE(AA35:AA46)*('Summary Page'!$C$2+1))*('Summary Page'!$C$2+1))*('Summary Page'!$C$2+1)</f>
        <v>100.75583680000001</v>
      </c>
      <c r="AE46" s="30">
        <f>((AVERAGE(AA35:AA46)*('Summary Page'!$C$3+1))*('Summary Page'!$C$3+1))*('Summary Page'!$C$3+1)</f>
        <v>126.07421875000001</v>
      </c>
      <c r="AF46" s="30">
        <f>((AVERAGE(AA35:AA46)*('Summary Page'!$C$4+1))*('Summary Page'!$C$4+1))*('Summary Page'!$C$4+1)</f>
        <v>111.54240000000001</v>
      </c>
      <c r="AG46" s="7">
        <f t="shared" si="24"/>
        <v>80</v>
      </c>
      <c r="AJ46" s="7">
        <f t="shared" si="19"/>
        <v>92.399999999999991</v>
      </c>
      <c r="AK46" s="7">
        <f>((AVERAGE(B41:B46)*('Summary Page'!$C$2+1))*('Summary Page'!$C$2+1))*('Summary Page'!$C$2+1)</f>
        <v>93.133461333333301</v>
      </c>
      <c r="AL46" s="7">
        <f>((AVERAGE(B41:B46)*('Summary Page'!$C$3+1))*('Summary Page'!$C$3+1))*('Summary Page'!$C$3+1)</f>
        <v>116.53645833333331</v>
      </c>
      <c r="AM46" s="8">
        <f>((AVERAGE(B41:B46)*('Summary Page'!$C$4+1))*('Summary Page'!$C$4+1))*('Summary Page'!$C$4+1)</f>
        <v>103.10399999999998</v>
      </c>
      <c r="AP46" s="7">
        <f t="shared" si="20"/>
        <v>99.6</v>
      </c>
      <c r="AQ46" s="7">
        <f>((AVERAGE(C41:C46)*('Summary Page'!$C$2+1))*('Summary Page'!$C$2+1))*('Summary Page'!$C$2+1)</f>
        <v>144.90317866666663</v>
      </c>
      <c r="AR46" s="7">
        <f>((AVERAGE(C41:C46)*('Summary Page'!$C$3+1))*('Summary Page'!$C$3+1))*('Summary Page'!$C$3+1)</f>
        <v>181.31510416666663</v>
      </c>
      <c r="AS46" s="7">
        <f>((AVERAGE(C41:C46)*('Summary Page'!$C$4+1))*('Summary Page'!$C$4+1))*('Summary Page'!$C$4+1)</f>
        <v>160.41599999999997</v>
      </c>
      <c r="AV46" s="40">
        <f t="shared" si="21"/>
        <v>117.6</v>
      </c>
      <c r="AW46" s="7">
        <f>((AVERAGE(D41:D46)*('Summary Page'!$C$2+1))*('Summary Page'!$C$2+1))*('Summary Page'!$C$2+1)</f>
        <v>136.0581013333333</v>
      </c>
      <c r="AX46" s="7">
        <f>((AVERAGE(D41:D46)*('Summary Page'!$C$3+1))*('Summary Page'!$C$3+1))*('Summary Page'!$C$3+1)</f>
        <v>170.24739583333337</v>
      </c>
      <c r="AY46" s="8">
        <f>((AVERAGE(D41:D46)*('Summary Page'!$C$4+1))*('Summary Page'!$C$4+1))*('Summary Page'!$C$4+1)</f>
        <v>150.624</v>
      </c>
      <c r="BB46" s="40">
        <f t="shared" si="22"/>
        <v>57.599999999999994</v>
      </c>
      <c r="BC46" s="30">
        <f>((AVERAGE(E41:E46)*('Summary Page'!$C$2+1))*('Summary Page'!$C$2+1))*('Summary Page'!$C$2+1)</f>
        <v>115.50630399999997</v>
      </c>
      <c r="BD46" s="30">
        <f>((AVERAGE(E41:E46)*('Summary Page'!$C$3+1))*('Summary Page'!$C$3+1))*('Summary Page'!$C$3+1)</f>
        <v>144.53125</v>
      </c>
      <c r="BE46" s="32">
        <f>((AVERAGE(E41:E46)*('Summary Page'!$C$4+1))*('Summary Page'!$C$4+1))*('Summary Page'!$C$4+1)</f>
        <v>127.87199999999999</v>
      </c>
      <c r="BH46" s="40">
        <f t="shared" si="23"/>
        <v>138</v>
      </c>
      <c r="BI46" s="7">
        <f>((AVERAGE(N41:N46)*('Summary Page'!$C$2+1))*('Summary Page'!$C$2+1))*('Summary Page'!$C$2+1)</f>
        <v>159.99183999999997</v>
      </c>
      <c r="BJ46" s="7">
        <f>((AVERAGE(N41:N46)*('Summary Page'!$C$3+1))*('Summary Page'!$C$3+1))*('Summary Page'!$C$3+1)</f>
        <v>200.1953125</v>
      </c>
      <c r="BK46" s="7">
        <f>((AVERAGE(N41:N46)*('Summary Page'!$C$4+1))*('Summary Page'!$C$4+1))*('Summary Page'!$C$4+1)</f>
        <v>177.11999999999998</v>
      </c>
      <c r="BL46" s="16">
        <f t="shared" si="17"/>
        <v>14.891385767790263</v>
      </c>
      <c r="BM46" s="16">
        <f t="shared" si="18"/>
        <v>14.921348314606742</v>
      </c>
      <c r="BN46" s="7">
        <f t="shared" si="25"/>
        <v>17.905617977528092</v>
      </c>
      <c r="BO46" s="7">
        <f>((AVERAGE(BL41:BL46)*('Summary Page'!$C$2+1))*('Summary Page'!$C$2+1))*('Summary Page'!$C$2+1)</f>
        <v>22.8385781772784</v>
      </c>
      <c r="BP46" s="7">
        <f>((AVERAGE(BL41:BL46)*('Summary Page'!$C$3+1))*('Summary Page'!$C$3+1))*('Summary Page'!$C$3+1)</f>
        <v>28.577559300873911</v>
      </c>
      <c r="BQ46" s="7">
        <f>((AVERAGE(BL41:BL46)*('Summary Page'!$C$4+1))*('Summary Page'!$C$4+1))*('Summary Page'!$C$4+1)</f>
        <v>25.283595505617978</v>
      </c>
      <c r="BR46" s="11">
        <f t="shared" si="26"/>
        <v>17.373283395755308</v>
      </c>
      <c r="BS46" s="11">
        <f t="shared" si="12"/>
        <v>17.408239700374533</v>
      </c>
      <c r="BT46" s="11">
        <f t="shared" si="13"/>
        <v>20.889887640449441</v>
      </c>
      <c r="BU46" s="11">
        <f t="shared" si="14"/>
        <v>26.645007873491465</v>
      </c>
      <c r="BV46" s="11">
        <f t="shared" si="15"/>
        <v>33.340485851019565</v>
      </c>
      <c r="BW46" s="11">
        <f t="shared" si="16"/>
        <v>29.497528089887641</v>
      </c>
    </row>
    <row r="47" spans="1:75" ht="15.75" x14ac:dyDescent="0.25">
      <c r="A47" s="10">
        <v>44447</v>
      </c>
      <c r="B47" s="99">
        <v>98</v>
      </c>
      <c r="C47" s="40">
        <v>90</v>
      </c>
      <c r="D47" s="64">
        <v>123</v>
      </c>
      <c r="E47" s="531">
        <v>56</v>
      </c>
      <c r="F47" s="99">
        <v>69</v>
      </c>
      <c r="G47" s="40">
        <v>66</v>
      </c>
      <c r="H47" s="40">
        <v>87</v>
      </c>
      <c r="I47" s="94">
        <v>41</v>
      </c>
      <c r="J47" s="99"/>
      <c r="K47" s="40"/>
      <c r="L47" s="40"/>
      <c r="M47" s="94"/>
      <c r="N47" s="40">
        <v>123</v>
      </c>
      <c r="O47" s="40">
        <v>92</v>
      </c>
      <c r="P47" s="40"/>
      <c r="Q47" s="99">
        <v>506</v>
      </c>
      <c r="R47" s="40">
        <v>498</v>
      </c>
      <c r="S47" s="94"/>
      <c r="T47" s="40"/>
      <c r="U47" s="40"/>
      <c r="V47" s="40"/>
      <c r="W47" s="99"/>
      <c r="X47" s="40"/>
      <c r="Y47" s="94"/>
      <c r="Z47" s="40"/>
      <c r="AA47" s="2">
        <f t="shared" ref="AA47:AA64" si="27">AVERAGE(B47,C47,D47,E47,)</f>
        <v>73.400000000000006</v>
      </c>
      <c r="AB47" s="2">
        <f>AVERAGE(F47,G47,H47,I47,)</f>
        <v>52.6</v>
      </c>
      <c r="AC47" s="2">
        <f>AB47*1.2</f>
        <v>63.12</v>
      </c>
      <c r="AD47" s="30">
        <f>((AVERAGE(AA36:AA47)*('Summary Page'!$C$2+1))*('Summary Page'!$C$2+1))*('Summary Page'!$C$2+1)</f>
        <v>102.78500159999999</v>
      </c>
      <c r="AE47" s="30">
        <f>((AVERAGE(AA36:AA47)*('Summary Page'!$C$3+1))*('Summary Page'!$C$3+1))*('Summary Page'!$C$3+1)</f>
        <v>128.61328125000003</v>
      </c>
      <c r="AF47" s="30">
        <f>((AVERAGE(AA36:AA47)*('Summary Page'!$C$4+1))*('Summary Page'!$C$4+1))*('Summary Page'!$C$4+1)</f>
        <v>113.78880000000001</v>
      </c>
      <c r="AG47" s="7">
        <f t="shared" si="24"/>
        <v>80</v>
      </c>
      <c r="AJ47" s="7">
        <f t="shared" si="19"/>
        <v>82.8</v>
      </c>
      <c r="AK47" s="7">
        <f>((AVERAGE(B42:B47)*('Summary Page'!$C$2+1))*('Summary Page'!$C$2+1))*('Summary Page'!$C$2+1)</f>
        <v>105.36047999999998</v>
      </c>
      <c r="AL47" s="7">
        <f>((AVERAGE(B42:B47)*('Summary Page'!$C$3+1))*('Summary Page'!$C$3+1))*('Summary Page'!$C$3+1)</f>
        <v>131.8359375</v>
      </c>
      <c r="AM47" s="8">
        <f>((AVERAGE(B42:B47)*('Summary Page'!$C$4+1))*('Summary Page'!$C$4+1))*('Summary Page'!$C$4+1)</f>
        <v>116.64</v>
      </c>
      <c r="AP47" s="7">
        <f t="shared" si="20"/>
        <v>79.2</v>
      </c>
      <c r="AQ47" s="7">
        <f>((AVERAGE(C42:C47)*('Summary Page'!$C$2+1))*('Summary Page'!$C$2+1))*('Summary Page'!$C$2+1)</f>
        <v>142.3016853333333</v>
      </c>
      <c r="AR47" s="7">
        <f>((AVERAGE(C42:C47)*('Summary Page'!$C$3+1))*('Summary Page'!$C$3+1))*('Summary Page'!$C$3+1)</f>
        <v>178.05989583333337</v>
      </c>
      <c r="AS47" s="7">
        <f>((AVERAGE(C42:C47)*('Summary Page'!$C$4+1))*('Summary Page'!$C$4+1))*('Summary Page'!$C$4+1)</f>
        <v>157.536</v>
      </c>
      <c r="AV47" s="40">
        <f t="shared" si="21"/>
        <v>104.39999999999999</v>
      </c>
      <c r="AW47" s="7">
        <f>((AVERAGE(D42:D47)*('Summary Page'!$C$2+1))*('Summary Page'!$C$2+1))*('Summary Page'!$C$2+1)</f>
        <v>146.98437333333331</v>
      </c>
      <c r="AX47" s="7">
        <f>((AVERAGE(D42:D47)*('Summary Page'!$C$3+1))*('Summary Page'!$C$3+1))*('Summary Page'!$C$3+1)</f>
        <v>183.91927083333337</v>
      </c>
      <c r="AY47" s="8">
        <f>((AVERAGE(D42:D47)*('Summary Page'!$C$4+1))*('Summary Page'!$C$4+1))*('Summary Page'!$C$4+1)</f>
        <v>162.72</v>
      </c>
      <c r="BB47" s="40">
        <f t="shared" si="22"/>
        <v>49.199999999999996</v>
      </c>
      <c r="BC47" s="30">
        <f>((AVERAGE(E42:E47)*('Summary Page'!$C$2+1))*('Summary Page'!$C$2+1))*('Summary Page'!$C$2+1)</f>
        <v>100.93794133333333</v>
      </c>
      <c r="BD47" s="30">
        <f>((AVERAGE(E42:E47)*('Summary Page'!$C$3+1))*('Summary Page'!$C$3+1))*('Summary Page'!$C$3+1)</f>
        <v>126.30208333333336</v>
      </c>
      <c r="BE47" s="32">
        <f>((AVERAGE(E42:E47)*('Summary Page'!$C$4+1))*('Summary Page'!$C$4+1))*('Summary Page'!$C$4+1)</f>
        <v>111.744</v>
      </c>
      <c r="BH47" s="40">
        <f t="shared" si="23"/>
        <v>110.39999999999999</v>
      </c>
      <c r="BI47" s="7">
        <f>((AVERAGE(N42:N47)*('Summary Page'!$C$2+1))*('Summary Page'!$C$2+1))*('Summary Page'!$C$2+1)</f>
        <v>169.61736533333328</v>
      </c>
      <c r="BJ47" s="7">
        <f>((AVERAGE(N42:N47)*('Summary Page'!$C$3+1))*('Summary Page'!$C$3+1))*('Summary Page'!$C$3+1)</f>
        <v>212.23958333333337</v>
      </c>
      <c r="BK47" s="7">
        <f>((AVERAGE(N42:N47)*('Summary Page'!$C$4+1))*('Summary Page'!$C$4+1))*('Summary Page'!$C$4+1)</f>
        <v>187.77599999999998</v>
      </c>
      <c r="BL47" s="16">
        <f t="shared" si="17"/>
        <v>15.161048689138577</v>
      </c>
      <c r="BM47" s="16">
        <f t="shared" si="18"/>
        <v>14.921348314606742</v>
      </c>
      <c r="BN47" s="7">
        <f t="shared" si="25"/>
        <v>17.905617977528092</v>
      </c>
      <c r="BO47" s="7">
        <f>((AVERAGE(BL42:BL47)*('Summary Page'!$C$2+1))*('Summary Page'!$C$2+1))*('Summary Page'!$C$2+1)</f>
        <v>22.129257148564292</v>
      </c>
      <c r="BP47" s="7">
        <f>((AVERAGE(BL42:BL47)*('Summary Page'!$C$3+1))*('Summary Page'!$C$3+1))*('Summary Page'!$C$3+1)</f>
        <v>27.689996878901376</v>
      </c>
      <c r="BQ47" s="7">
        <f>((AVERAGE(BL42:BL47)*('Summary Page'!$C$4+1))*('Summary Page'!$C$4+1))*('Summary Page'!$C$4+1)</f>
        <v>24.498337078651687</v>
      </c>
      <c r="BR47" s="11">
        <f t="shared" si="26"/>
        <v>17.687890137328338</v>
      </c>
      <c r="BS47" s="11">
        <f t="shared" si="12"/>
        <v>17.408239700374533</v>
      </c>
      <c r="BT47" s="11">
        <f t="shared" si="13"/>
        <v>20.889887640449441</v>
      </c>
      <c r="BU47" s="11">
        <f t="shared" si="14"/>
        <v>25.817466673325008</v>
      </c>
      <c r="BV47" s="11">
        <f t="shared" si="15"/>
        <v>32.30499635871827</v>
      </c>
      <c r="BW47" s="11">
        <f t="shared" si="16"/>
        <v>28.581393258426967</v>
      </c>
    </row>
    <row r="48" spans="1:75" ht="15.75" x14ac:dyDescent="0.25">
      <c r="A48" s="10">
        <v>44475</v>
      </c>
      <c r="B48" s="99">
        <v>119</v>
      </c>
      <c r="C48" s="40">
        <v>96</v>
      </c>
      <c r="D48" s="64">
        <v>132</v>
      </c>
      <c r="E48" s="531">
        <v>69</v>
      </c>
      <c r="F48" s="99">
        <v>88</v>
      </c>
      <c r="G48" s="40">
        <v>73</v>
      </c>
      <c r="H48" s="40">
        <v>94</v>
      </c>
      <c r="I48" s="94">
        <v>41</v>
      </c>
      <c r="J48" s="99"/>
      <c r="K48" s="40"/>
      <c r="L48" s="40"/>
      <c r="M48" s="94"/>
      <c r="N48" s="40">
        <v>117</v>
      </c>
      <c r="O48" s="40">
        <v>85</v>
      </c>
      <c r="P48" s="40"/>
      <c r="Q48" s="99">
        <v>650</v>
      </c>
      <c r="R48" s="40">
        <v>502</v>
      </c>
      <c r="S48" s="94"/>
      <c r="T48" s="40"/>
      <c r="U48" s="40"/>
      <c r="V48" s="40"/>
      <c r="W48" s="99"/>
      <c r="X48" s="40"/>
      <c r="Y48" s="94"/>
      <c r="Z48" s="40"/>
      <c r="AA48" s="2">
        <f t="shared" si="27"/>
        <v>83.2</v>
      </c>
      <c r="AB48" s="2">
        <f>AVERAGE(F48,G48,H48,I48,)</f>
        <v>59.2</v>
      </c>
      <c r="AC48" s="2">
        <f>AB48*1.2</f>
        <v>71.040000000000006</v>
      </c>
      <c r="AD48" s="30">
        <f>((AVERAGE(AA37:AA48)*('Summary Page'!$C$2+1))*('Summary Page'!$C$2+1))*('Summary Page'!$C$2+1)</f>
        <v>106.11491306666666</v>
      </c>
      <c r="AE48" s="30">
        <f>((AVERAGE(AA37:AA48)*('Summary Page'!$C$3+1))*('Summary Page'!$C$3+1))*('Summary Page'!$C$3+1)</f>
        <v>132.77994791666669</v>
      </c>
      <c r="AF48" s="30">
        <f>((AVERAGE(AA37:AA48)*('Summary Page'!$C$4+1))*('Summary Page'!$C$4+1))*('Summary Page'!$C$4+1)</f>
        <v>117.47520000000002</v>
      </c>
      <c r="AG48" s="7">
        <f t="shared" si="24"/>
        <v>80</v>
      </c>
      <c r="AJ48" s="7">
        <f t="shared" si="19"/>
        <v>105.6</v>
      </c>
      <c r="AK48" s="7">
        <f>((AVERAGE(B43:B48)*('Summary Page'!$C$2+1))*('Summary Page'!$C$2+1))*('Summary Page'!$C$2+1)</f>
        <v>124.09123199999998</v>
      </c>
      <c r="AL48" s="7">
        <f>((AVERAGE(B43:B48)*('Summary Page'!$C$3+1))*('Summary Page'!$C$3+1))*('Summary Page'!$C$3+1)</f>
        <v>155.2734375</v>
      </c>
      <c r="AM48" s="8">
        <f>((AVERAGE(B43:B48)*('Summary Page'!$C$4+1))*('Summary Page'!$C$4+1))*('Summary Page'!$C$4+1)</f>
        <v>137.37599999999998</v>
      </c>
      <c r="AP48" s="7">
        <f t="shared" si="20"/>
        <v>87.6</v>
      </c>
      <c r="AQ48" s="7">
        <f>((AVERAGE(C43:C48)*('Summary Page'!$C$2+1))*('Summary Page'!$C$2+1))*('Summary Page'!$C$2+1)</f>
        <v>145.42347733333332</v>
      </c>
      <c r="AR48" s="7">
        <f>((AVERAGE(C43:C48)*('Summary Page'!$C$3+1))*('Summary Page'!$C$3+1))*('Summary Page'!$C$3+1)</f>
        <v>181.96614583333337</v>
      </c>
      <c r="AS48" s="7">
        <f>((AVERAGE(C43:C48)*('Summary Page'!$C$4+1))*('Summary Page'!$C$4+1))*('Summary Page'!$C$4+1)</f>
        <v>160.99199999999999</v>
      </c>
      <c r="AV48" s="40">
        <f t="shared" si="21"/>
        <v>112.8</v>
      </c>
      <c r="AW48" s="7">
        <f>((AVERAGE(D43:D48)*('Summary Page'!$C$2+1))*('Summary Page'!$C$2+1))*('Summary Page'!$C$2+1)</f>
        <v>162.85348266666665</v>
      </c>
      <c r="AX48" s="7">
        <f>((AVERAGE(D43:D48)*('Summary Page'!$C$3+1))*('Summary Page'!$C$3+1))*('Summary Page'!$C$3+1)</f>
        <v>203.77604166666663</v>
      </c>
      <c r="AY48" s="8">
        <f>((AVERAGE(D43:D48)*('Summary Page'!$C$4+1))*('Summary Page'!$C$4+1))*('Summary Page'!$C$4+1)</f>
        <v>180.28799999999998</v>
      </c>
      <c r="BB48" s="40">
        <f t="shared" si="22"/>
        <v>49.199999999999996</v>
      </c>
      <c r="BC48" s="30">
        <f>((AVERAGE(E43:E48)*('Summary Page'!$C$2+1))*('Summary Page'!$C$2+1))*('Summary Page'!$C$2+1)</f>
        <v>97.555999999999983</v>
      </c>
      <c r="BD48" s="30">
        <f>((AVERAGE(E43:E48)*('Summary Page'!$C$3+1))*('Summary Page'!$C$3+1))*('Summary Page'!$C$3+1)</f>
        <v>122.0703125</v>
      </c>
      <c r="BE48" s="32">
        <f>((AVERAGE(E43:E48)*('Summary Page'!$C$4+1))*('Summary Page'!$C$4+1))*('Summary Page'!$C$4+1)</f>
        <v>108</v>
      </c>
      <c r="BH48" s="40">
        <f t="shared" si="23"/>
        <v>102</v>
      </c>
      <c r="BI48" s="7">
        <f>((AVERAGE(N43:N48)*('Summary Page'!$C$2+1))*('Summary Page'!$C$2+1))*('Summary Page'!$C$2+1)</f>
        <v>177.42184533333329</v>
      </c>
      <c r="BJ48" s="7">
        <f>((AVERAGE(N43:N48)*('Summary Page'!$C$3+1))*('Summary Page'!$C$3+1))*('Summary Page'!$C$3+1)</f>
        <v>222.00520833333337</v>
      </c>
      <c r="BK48" s="7">
        <f>((AVERAGE(N43:N48)*('Summary Page'!$C$4+1))*('Summary Page'!$C$4+1))*('Summary Page'!$C$4+1)</f>
        <v>196.416</v>
      </c>
      <c r="BL48" s="16">
        <f t="shared" si="17"/>
        <v>19.475655430711612</v>
      </c>
      <c r="BM48" s="16">
        <f t="shared" si="18"/>
        <v>15.04119850187266</v>
      </c>
      <c r="BN48" s="7">
        <f t="shared" si="25"/>
        <v>18.049438202247192</v>
      </c>
      <c r="BO48" s="7">
        <f>((AVERAGE(BL43:BL48)*('Summary Page'!$C$2+1))*('Summary Page'!$C$2+1))*('Summary Page'!$C$2+1)</f>
        <v>23.633641308364538</v>
      </c>
      <c r="BP48" s="7">
        <f>((AVERAGE(BL43:BL48)*('Summary Page'!$C$3+1))*('Summary Page'!$C$3+1))*('Summary Page'!$C$3+1)</f>
        <v>29.572409488139822</v>
      </c>
      <c r="BQ48" s="7">
        <f>((AVERAGE(BL43:BL48)*('Summary Page'!$C$4+1))*('Summary Page'!$C$4+1))*('Summary Page'!$C$4+1)</f>
        <v>26.163775280898872</v>
      </c>
      <c r="BR48" s="11">
        <f t="shared" si="26"/>
        <v>22.721598002496879</v>
      </c>
      <c r="BS48" s="11">
        <f t="shared" si="12"/>
        <v>17.548064918851438</v>
      </c>
      <c r="BT48" s="11">
        <f t="shared" si="13"/>
        <v>21.057677902621723</v>
      </c>
      <c r="BU48" s="11">
        <f t="shared" si="14"/>
        <v>27.572581526425296</v>
      </c>
      <c r="BV48" s="11">
        <f t="shared" si="15"/>
        <v>34.501144402829794</v>
      </c>
      <c r="BW48" s="11">
        <f t="shared" si="16"/>
        <v>30.524404494382019</v>
      </c>
    </row>
    <row r="49" spans="1:75" ht="15.75" x14ac:dyDescent="0.25">
      <c r="A49" s="10">
        <v>44501</v>
      </c>
      <c r="B49" s="99">
        <v>101</v>
      </c>
      <c r="C49" s="40">
        <v>93</v>
      </c>
      <c r="D49" s="64">
        <v>124</v>
      </c>
      <c r="E49" s="531">
        <v>68</v>
      </c>
      <c r="F49" s="99">
        <v>85</v>
      </c>
      <c r="G49" s="40">
        <v>62</v>
      </c>
      <c r="H49" s="40">
        <v>62</v>
      </c>
      <c r="I49" s="94">
        <v>32</v>
      </c>
      <c r="J49" s="99"/>
      <c r="K49" s="40"/>
      <c r="L49" s="40"/>
      <c r="M49" s="94"/>
      <c r="N49" s="40">
        <v>116</v>
      </c>
      <c r="O49" s="40">
        <v>64</v>
      </c>
      <c r="P49" s="40"/>
      <c r="Q49" s="99">
        <v>579</v>
      </c>
      <c r="R49" s="40">
        <v>627</v>
      </c>
      <c r="S49" s="94"/>
      <c r="T49" s="40"/>
      <c r="U49" s="40"/>
      <c r="V49" s="40"/>
      <c r="W49" s="99"/>
      <c r="X49" s="40"/>
      <c r="Y49" s="94"/>
      <c r="Z49" s="40"/>
      <c r="AA49" s="2">
        <f t="shared" si="27"/>
        <v>77.2</v>
      </c>
      <c r="AB49" s="2">
        <f>AVERAGE(F49,G49,H49,I49,)</f>
        <v>48.2</v>
      </c>
      <c r="AC49" s="2">
        <f>AB49*1.2</f>
        <v>57.84</v>
      </c>
      <c r="AD49" s="30"/>
      <c r="AE49" s="30"/>
      <c r="AF49" s="30"/>
      <c r="AG49" s="7"/>
      <c r="AJ49" s="7">
        <f t="shared" si="19"/>
        <v>102</v>
      </c>
      <c r="AK49" s="7"/>
      <c r="AL49" s="7"/>
      <c r="AM49" s="8"/>
      <c r="AP49" s="7">
        <f t="shared" si="20"/>
        <v>74.399999999999991</v>
      </c>
      <c r="AQ49" s="7"/>
      <c r="AR49" s="7"/>
      <c r="AS49" s="7"/>
      <c r="AV49" s="40">
        <f t="shared" si="21"/>
        <v>74.399999999999991</v>
      </c>
      <c r="AW49" s="7"/>
      <c r="AX49" s="7"/>
      <c r="AY49" s="8"/>
      <c r="BB49" s="40">
        <f t="shared" si="22"/>
        <v>38.4</v>
      </c>
      <c r="BC49" s="30"/>
      <c r="BD49" s="30"/>
      <c r="BE49" s="32"/>
      <c r="BH49" s="40">
        <f t="shared" si="23"/>
        <v>76.8</v>
      </c>
      <c r="BI49" s="7"/>
      <c r="BJ49" s="7"/>
      <c r="BK49" s="7"/>
      <c r="BL49" s="16">
        <f t="shared" si="17"/>
        <v>17.348314606741575</v>
      </c>
      <c r="BM49" s="16">
        <f t="shared" si="18"/>
        <v>18.786516853932582</v>
      </c>
      <c r="BN49" s="7">
        <f t="shared" si="25"/>
        <v>22.543820224719099</v>
      </c>
      <c r="BO49" s="7"/>
      <c r="BP49" s="7"/>
      <c r="BQ49" s="7"/>
      <c r="BR49" s="11">
        <f t="shared" si="26"/>
        <v>20.239700374531836</v>
      </c>
      <c r="BS49" s="11">
        <f>(BM49/6)+BM49</f>
        <v>21.917602996254679</v>
      </c>
      <c r="BT49" s="11">
        <f>(BN49/6)+BN49</f>
        <v>26.301123595505615</v>
      </c>
      <c r="BU49" s="11"/>
      <c r="BV49" s="11"/>
      <c r="BW49" s="11"/>
    </row>
    <row r="50" spans="1:75" ht="15.75" x14ac:dyDescent="0.25">
      <c r="A50" s="10">
        <v>44531</v>
      </c>
      <c r="B50" s="99">
        <v>104</v>
      </c>
      <c r="C50" s="40">
        <v>86</v>
      </c>
      <c r="D50" s="64">
        <v>114</v>
      </c>
      <c r="E50" s="531">
        <v>58</v>
      </c>
      <c r="F50" s="99">
        <v>103</v>
      </c>
      <c r="G50" s="40">
        <v>75</v>
      </c>
      <c r="H50" s="40">
        <v>76</v>
      </c>
      <c r="I50" s="94">
        <v>49</v>
      </c>
      <c r="J50" s="99"/>
      <c r="K50" s="40"/>
      <c r="L50" s="40"/>
      <c r="M50" s="94"/>
      <c r="N50" s="40">
        <v>98</v>
      </c>
      <c r="O50" s="40">
        <v>76</v>
      </c>
      <c r="P50" s="40"/>
      <c r="Q50" s="99">
        <v>628</v>
      </c>
      <c r="R50" s="40">
        <v>704</v>
      </c>
      <c r="S50" s="94"/>
      <c r="T50" s="40"/>
      <c r="U50" s="40"/>
      <c r="V50" s="40"/>
      <c r="W50" s="99"/>
      <c r="X50" s="40"/>
      <c r="Y50" s="94"/>
      <c r="Z50" s="40"/>
      <c r="AA50" s="2">
        <f t="shared" si="27"/>
        <v>72.400000000000006</v>
      </c>
      <c r="AB50" s="2"/>
      <c r="AC50" s="2"/>
      <c r="AD50" s="30"/>
      <c r="AE50" s="30"/>
      <c r="AF50" s="30"/>
      <c r="AG50" s="7"/>
      <c r="AJ50" s="7"/>
      <c r="AK50" s="7"/>
      <c r="AL50" s="7"/>
      <c r="AM50" s="8"/>
      <c r="AP50" s="7">
        <f t="shared" si="20"/>
        <v>90</v>
      </c>
      <c r="AQ50" s="7"/>
      <c r="AR50" s="7"/>
      <c r="AS50" s="7"/>
      <c r="AV50" s="40">
        <f t="shared" si="21"/>
        <v>91.2</v>
      </c>
      <c r="AW50" s="7"/>
      <c r="AX50" s="7"/>
      <c r="AY50" s="8"/>
      <c r="BB50" s="40"/>
      <c r="BC50" s="30"/>
      <c r="BD50" s="30"/>
      <c r="BE50" s="32"/>
      <c r="BH50" s="40">
        <f t="shared" si="23"/>
        <v>91.2</v>
      </c>
      <c r="BI50" s="7"/>
      <c r="BJ50" s="7"/>
      <c r="BK50" s="7"/>
      <c r="BL50" s="16">
        <f t="shared" si="17"/>
        <v>18.816479400749063</v>
      </c>
      <c r="BM50" s="16">
        <f t="shared" si="18"/>
        <v>21.093632958801496</v>
      </c>
      <c r="BN50" s="7">
        <f t="shared" si="25"/>
        <v>25.312359550561794</v>
      </c>
      <c r="BO50" s="7"/>
      <c r="BP50" s="7"/>
      <c r="BQ50" s="7"/>
      <c r="BR50" s="11">
        <f t="shared" si="26"/>
        <v>21.952559300873908</v>
      </c>
      <c r="BS50" s="11">
        <f>(BM50/6)+BM50</f>
        <v>24.609238451935077</v>
      </c>
      <c r="BT50" s="11">
        <f>(BN50/6)+BN50</f>
        <v>29.531086142322092</v>
      </c>
      <c r="BU50" s="11"/>
      <c r="BV50" s="11"/>
      <c r="BW50" s="11"/>
    </row>
    <row r="51" spans="1:75" ht="15.75" x14ac:dyDescent="0.25">
      <c r="A51" s="10">
        <v>44581</v>
      </c>
      <c r="B51" s="99">
        <v>119</v>
      </c>
      <c r="C51" s="40">
        <v>100</v>
      </c>
      <c r="D51" s="64">
        <v>107</v>
      </c>
      <c r="E51" s="531">
        <v>70</v>
      </c>
      <c r="F51" s="99">
        <v>62</v>
      </c>
      <c r="G51" s="40">
        <v>43</v>
      </c>
      <c r="H51" s="40">
        <v>43</v>
      </c>
      <c r="I51" s="94">
        <v>28</v>
      </c>
      <c r="J51" s="99"/>
      <c r="K51" s="40"/>
      <c r="L51" s="40"/>
      <c r="M51" s="94"/>
      <c r="N51" s="40"/>
      <c r="O51" s="40"/>
      <c r="P51" s="40"/>
      <c r="Q51" s="99"/>
      <c r="R51" s="40"/>
      <c r="S51" s="94"/>
      <c r="T51" s="40"/>
      <c r="U51" s="40"/>
      <c r="V51" s="40"/>
      <c r="W51" s="99"/>
      <c r="X51" s="40"/>
      <c r="Y51" s="94"/>
      <c r="Z51" s="40"/>
      <c r="AA51" s="2">
        <f t="shared" si="27"/>
        <v>79.2</v>
      </c>
      <c r="AB51" s="2"/>
      <c r="AC51" s="2"/>
      <c r="AD51" s="30"/>
      <c r="AE51" s="30"/>
      <c r="AF51" s="30"/>
      <c r="AG51" s="7"/>
      <c r="AJ51" s="7"/>
      <c r="AK51" s="7"/>
      <c r="AL51" s="7"/>
      <c r="AM51" s="8"/>
      <c r="AP51" s="7">
        <f t="shared" si="20"/>
        <v>51.6</v>
      </c>
      <c r="AQ51" s="7"/>
      <c r="AR51" s="7"/>
      <c r="AS51" s="7"/>
      <c r="AV51" s="40">
        <f t="shared" si="21"/>
        <v>51.6</v>
      </c>
      <c r="AW51" s="7"/>
      <c r="AX51" s="7"/>
      <c r="AY51" s="8"/>
      <c r="BB51" s="40"/>
      <c r="BC51" s="30"/>
      <c r="BD51" s="30"/>
      <c r="BE51" s="32"/>
      <c r="BH51" s="40"/>
      <c r="BI51" s="7"/>
      <c r="BJ51" s="7"/>
      <c r="BK51" s="7"/>
      <c r="BL51" s="16"/>
      <c r="BM51" s="16"/>
      <c r="BN51" s="7"/>
      <c r="BO51" s="7"/>
      <c r="BP51" s="7"/>
      <c r="BQ51" s="7"/>
      <c r="BR51" s="11"/>
      <c r="BS51" s="11"/>
      <c r="BT51" s="11"/>
      <c r="BU51" s="11"/>
      <c r="BV51" s="11"/>
      <c r="BW51" s="11"/>
    </row>
    <row r="52" spans="1:75" ht="15.75" x14ac:dyDescent="0.25">
      <c r="A52" s="10">
        <v>44593</v>
      </c>
      <c r="B52" s="99">
        <v>127</v>
      </c>
      <c r="C52" s="40">
        <v>89</v>
      </c>
      <c r="D52" s="64">
        <v>105</v>
      </c>
      <c r="E52" s="531">
        <v>70</v>
      </c>
      <c r="F52" s="99">
        <v>72</v>
      </c>
      <c r="G52" s="40">
        <v>39</v>
      </c>
      <c r="H52" s="40">
        <v>47</v>
      </c>
      <c r="I52" s="94">
        <v>35</v>
      </c>
      <c r="J52" s="99">
        <v>104</v>
      </c>
      <c r="K52" s="40">
        <v>67</v>
      </c>
      <c r="L52" s="40">
        <v>84</v>
      </c>
      <c r="M52" s="94">
        <v>68</v>
      </c>
      <c r="N52" s="40">
        <v>111</v>
      </c>
      <c r="O52" s="40">
        <v>54</v>
      </c>
      <c r="P52" s="40">
        <v>95</v>
      </c>
      <c r="Q52" s="99">
        <v>670</v>
      </c>
      <c r="R52" s="40">
        <v>727</v>
      </c>
      <c r="S52" s="94">
        <v>670</v>
      </c>
      <c r="T52" s="7">
        <f t="shared" ref="T52:V63" si="28">((Q52/37.5)/0.83)*(N52/100)</f>
        <v>23.893975903614461</v>
      </c>
      <c r="U52" s="14">
        <f t="shared" si="28"/>
        <v>12.613012048192774</v>
      </c>
      <c r="V52" s="14">
        <f t="shared" si="28"/>
        <v>20.449799196787147</v>
      </c>
      <c r="W52" s="110">
        <f t="shared" ref="W52:W61" si="29">(ROUNDUP(B52/16.6666,0)*3)/0.83</f>
        <v>28.91566265060241</v>
      </c>
      <c r="X52" s="7">
        <f t="shared" ref="X52:X62" si="30">(ROUNDUP(F52/16.6666,0)*3)/0.83</f>
        <v>18.072289156626507</v>
      </c>
      <c r="Y52" s="111">
        <f t="shared" ref="Y52:Y62" si="31">(ROUNDUP(J52/16.6666,0)*3)/0.83</f>
        <v>25.30120481927711</v>
      </c>
      <c r="Z52" s="40"/>
      <c r="AA52" s="2">
        <f t="shared" si="27"/>
        <v>78.2</v>
      </c>
      <c r="AB52" s="2"/>
      <c r="AC52" s="2"/>
      <c r="AD52" s="30"/>
      <c r="AE52" s="30"/>
      <c r="AF52" s="30"/>
      <c r="AG52" s="7"/>
      <c r="AJ52" s="7"/>
      <c r="AK52" s="7"/>
      <c r="AL52" s="7"/>
      <c r="AM52" s="8"/>
      <c r="AP52" s="7">
        <f t="shared" si="20"/>
        <v>46.8</v>
      </c>
      <c r="AQ52" s="7"/>
      <c r="AR52" s="7"/>
      <c r="AS52" s="7"/>
      <c r="AV52" s="40">
        <f t="shared" si="21"/>
        <v>56.4</v>
      </c>
      <c r="AW52" s="7"/>
      <c r="AX52" s="7"/>
      <c r="AY52" s="8"/>
      <c r="BB52" s="40"/>
      <c r="BC52" s="30"/>
      <c r="BD52" s="30"/>
      <c r="BE52" s="32"/>
      <c r="BH52" s="40"/>
      <c r="BI52" s="7"/>
      <c r="BJ52" s="7"/>
      <c r="BK52" s="7"/>
      <c r="BL52" s="16"/>
      <c r="BM52" s="16"/>
      <c r="BN52" s="7"/>
      <c r="BO52" s="7"/>
      <c r="BP52" s="7"/>
      <c r="BQ52" s="7"/>
      <c r="BR52" s="11"/>
      <c r="BS52" s="11"/>
      <c r="BT52" s="11"/>
      <c r="BU52" s="11"/>
      <c r="BV52" s="11"/>
      <c r="BW52" s="11"/>
    </row>
    <row r="53" spans="1:75" ht="15.75" x14ac:dyDescent="0.25">
      <c r="A53" s="10">
        <v>44617</v>
      </c>
      <c r="B53" s="99">
        <v>128</v>
      </c>
      <c r="C53" s="40">
        <v>81</v>
      </c>
      <c r="D53" s="64">
        <v>98</v>
      </c>
      <c r="E53" s="531">
        <v>66</v>
      </c>
      <c r="F53" s="99">
        <v>73</v>
      </c>
      <c r="G53" s="40">
        <v>47</v>
      </c>
      <c r="H53" s="40">
        <v>57</v>
      </c>
      <c r="I53" s="94">
        <v>47</v>
      </c>
      <c r="J53" s="99">
        <v>98</v>
      </c>
      <c r="K53" s="40">
        <v>61</v>
      </c>
      <c r="L53" s="40">
        <v>77</v>
      </c>
      <c r="M53" s="94">
        <v>58</v>
      </c>
      <c r="N53" s="40">
        <v>104</v>
      </c>
      <c r="O53" s="40">
        <v>64</v>
      </c>
      <c r="P53" s="40">
        <v>86</v>
      </c>
      <c r="Q53" s="99">
        <v>681</v>
      </c>
      <c r="R53" s="40">
        <v>727</v>
      </c>
      <c r="S53" s="94">
        <v>664</v>
      </c>
      <c r="T53" s="7">
        <f t="shared" si="28"/>
        <v>22.754698795180726</v>
      </c>
      <c r="U53" s="14">
        <f t="shared" si="28"/>
        <v>14.948755020080323</v>
      </c>
      <c r="V53" s="14">
        <f t="shared" si="28"/>
        <v>18.346666666666668</v>
      </c>
      <c r="W53" s="110">
        <f t="shared" si="29"/>
        <v>28.91566265060241</v>
      </c>
      <c r="X53" s="7">
        <f t="shared" si="30"/>
        <v>18.072289156626507</v>
      </c>
      <c r="Y53" s="111">
        <f t="shared" si="31"/>
        <v>21.686746987951807</v>
      </c>
      <c r="Z53" s="40"/>
      <c r="AA53" s="2">
        <f t="shared" si="27"/>
        <v>74.599999999999994</v>
      </c>
      <c r="AB53" s="2"/>
      <c r="AC53" s="2"/>
      <c r="AD53" s="30"/>
      <c r="AE53" s="30"/>
      <c r="AF53" s="30"/>
      <c r="AG53" s="7"/>
      <c r="AJ53" s="7"/>
      <c r="AK53" s="7"/>
      <c r="AL53" s="7"/>
      <c r="AM53" s="8"/>
      <c r="AP53" s="7">
        <f t="shared" si="20"/>
        <v>56.4</v>
      </c>
      <c r="AQ53" s="7"/>
      <c r="AR53" s="7"/>
      <c r="AS53" s="7"/>
      <c r="AV53" s="40">
        <f t="shared" si="21"/>
        <v>68.399999999999991</v>
      </c>
      <c r="AW53" s="7"/>
      <c r="AX53" s="7"/>
      <c r="AY53" s="8"/>
      <c r="BB53" s="40"/>
      <c r="BC53" s="30"/>
      <c r="BD53" s="30"/>
      <c r="BE53" s="32"/>
      <c r="BH53" s="40"/>
      <c r="BI53" s="7"/>
      <c r="BJ53" s="7"/>
      <c r="BK53" s="7"/>
      <c r="BL53" s="16"/>
      <c r="BM53" s="16"/>
      <c r="BN53" s="7"/>
      <c r="BO53" s="7"/>
      <c r="BP53" s="7"/>
      <c r="BQ53" s="7"/>
      <c r="BR53" s="11"/>
      <c r="BS53" s="11"/>
      <c r="BT53" s="11"/>
      <c r="BU53" s="11"/>
      <c r="BV53" s="11"/>
      <c r="BW53" s="11"/>
    </row>
    <row r="54" spans="1:75" ht="15.75" x14ac:dyDescent="0.25">
      <c r="A54" s="10">
        <v>44655</v>
      </c>
      <c r="B54" s="99">
        <v>133</v>
      </c>
      <c r="C54" s="40">
        <v>69</v>
      </c>
      <c r="D54" s="64">
        <v>83</v>
      </c>
      <c r="E54" s="531">
        <v>63</v>
      </c>
      <c r="F54" s="99">
        <v>88</v>
      </c>
      <c r="G54" s="40">
        <v>55</v>
      </c>
      <c r="H54" s="40">
        <v>66</v>
      </c>
      <c r="I54" s="94">
        <v>59</v>
      </c>
      <c r="J54" s="99">
        <v>93</v>
      </c>
      <c r="K54" s="40">
        <v>62</v>
      </c>
      <c r="L54" s="40">
        <v>74</v>
      </c>
      <c r="M54" s="94">
        <v>60</v>
      </c>
      <c r="N54" s="40">
        <v>109</v>
      </c>
      <c r="O54" s="40">
        <v>89</v>
      </c>
      <c r="P54" s="40">
        <v>101</v>
      </c>
      <c r="Q54" s="99">
        <v>564</v>
      </c>
      <c r="R54" s="40">
        <v>615</v>
      </c>
      <c r="S54" s="94">
        <v>549</v>
      </c>
      <c r="T54" s="7">
        <f t="shared" si="28"/>
        <v>19.751325301204822</v>
      </c>
      <c r="U54" s="14">
        <f t="shared" si="28"/>
        <v>17.585542168674699</v>
      </c>
      <c r="V54" s="14">
        <f t="shared" si="28"/>
        <v>17.814939759036147</v>
      </c>
      <c r="W54" s="110">
        <f t="shared" si="29"/>
        <v>28.91566265060241</v>
      </c>
      <c r="X54" s="7">
        <f t="shared" si="30"/>
        <v>21.686746987951807</v>
      </c>
      <c r="Y54" s="111">
        <f t="shared" si="31"/>
        <v>21.686746987951807</v>
      </c>
      <c r="Z54" s="40"/>
      <c r="AA54" s="2">
        <f t="shared" si="27"/>
        <v>69.599999999999994</v>
      </c>
      <c r="AB54" s="2"/>
      <c r="AC54" s="2"/>
      <c r="AD54" s="30"/>
      <c r="AE54" s="30"/>
      <c r="AF54" s="30"/>
      <c r="AG54" s="7"/>
      <c r="AJ54" s="7"/>
      <c r="AK54" s="7"/>
      <c r="AL54" s="7"/>
      <c r="AM54" s="8"/>
      <c r="AP54" s="7">
        <f t="shared" si="20"/>
        <v>66</v>
      </c>
      <c r="AQ54" s="7"/>
      <c r="AR54" s="7"/>
      <c r="AS54" s="7"/>
      <c r="AV54" s="40">
        <f t="shared" si="21"/>
        <v>79.2</v>
      </c>
      <c r="AW54" s="7"/>
      <c r="AX54" s="7"/>
      <c r="AY54" s="8"/>
      <c r="BB54" s="40"/>
      <c r="BC54" s="30"/>
      <c r="BD54" s="30"/>
      <c r="BE54" s="32"/>
      <c r="BH54" s="40"/>
      <c r="BI54" s="7"/>
      <c r="BJ54" s="7"/>
      <c r="BK54" s="7"/>
      <c r="BL54" s="16"/>
      <c r="BM54" s="16"/>
      <c r="BN54" s="7"/>
      <c r="BO54" s="7"/>
      <c r="BP54" s="7"/>
      <c r="BQ54" s="7"/>
      <c r="BR54" s="11"/>
      <c r="BS54" s="11"/>
      <c r="BT54" s="11"/>
      <c r="BU54" s="11"/>
      <c r="BV54" s="11"/>
      <c r="BW54" s="11"/>
    </row>
    <row r="55" spans="1:75" ht="15.75" x14ac:dyDescent="0.25">
      <c r="A55" s="10">
        <v>44691</v>
      </c>
      <c r="B55" s="99">
        <v>108</v>
      </c>
      <c r="C55" s="40">
        <v>69</v>
      </c>
      <c r="D55" s="64">
        <v>75</v>
      </c>
      <c r="E55" s="531">
        <v>68</v>
      </c>
      <c r="F55" s="99">
        <v>78</v>
      </c>
      <c r="G55" s="40">
        <v>55</v>
      </c>
      <c r="H55" s="40">
        <v>61</v>
      </c>
      <c r="I55" s="94">
        <v>61</v>
      </c>
      <c r="J55" s="99">
        <v>80</v>
      </c>
      <c r="K55" s="40">
        <v>54</v>
      </c>
      <c r="L55" s="40">
        <v>63</v>
      </c>
      <c r="M55" s="94">
        <v>49</v>
      </c>
      <c r="N55" s="40">
        <v>107</v>
      </c>
      <c r="O55" s="40">
        <v>82</v>
      </c>
      <c r="P55" s="40">
        <v>77</v>
      </c>
      <c r="Q55" s="99">
        <v>633</v>
      </c>
      <c r="R55" s="40">
        <v>666</v>
      </c>
      <c r="S55" s="94">
        <v>598</v>
      </c>
      <c r="T55" s="7">
        <f t="shared" si="28"/>
        <v>21.760963855421689</v>
      </c>
      <c r="U55" s="14">
        <f t="shared" si="28"/>
        <v>17.546024096385544</v>
      </c>
      <c r="V55" s="14">
        <f t="shared" si="28"/>
        <v>14.793895582329318</v>
      </c>
      <c r="W55" s="110">
        <f t="shared" si="29"/>
        <v>25.30120481927711</v>
      </c>
      <c r="X55" s="7">
        <f t="shared" si="30"/>
        <v>18.072289156626507</v>
      </c>
      <c r="Y55" s="111">
        <f t="shared" si="31"/>
        <v>18.072289156626507</v>
      </c>
      <c r="Z55" s="40"/>
      <c r="AA55" s="2">
        <f t="shared" si="27"/>
        <v>64</v>
      </c>
      <c r="AB55" s="2"/>
      <c r="AC55" s="2"/>
      <c r="AD55" s="30"/>
      <c r="AE55" s="30"/>
      <c r="AF55" s="30"/>
      <c r="AG55" s="7"/>
      <c r="AJ55" s="7"/>
      <c r="AK55" s="7"/>
      <c r="AL55" s="7"/>
      <c r="AM55" s="8"/>
      <c r="AP55" s="7">
        <f t="shared" si="20"/>
        <v>66</v>
      </c>
      <c r="AQ55" s="7"/>
      <c r="AR55" s="7"/>
      <c r="AS55" s="7"/>
      <c r="AV55" s="40">
        <f t="shared" si="21"/>
        <v>73.2</v>
      </c>
      <c r="AW55" s="7"/>
      <c r="AX55" s="7"/>
      <c r="AY55" s="8"/>
      <c r="BB55" s="40"/>
      <c r="BC55" s="30"/>
      <c r="BD55" s="30"/>
      <c r="BE55" s="32"/>
      <c r="BH55" s="40"/>
      <c r="BI55" s="7"/>
      <c r="BJ55" s="7"/>
      <c r="BK55" s="7"/>
      <c r="BL55" s="16"/>
      <c r="BM55" s="16"/>
      <c r="BN55" s="7"/>
      <c r="BO55" s="7"/>
      <c r="BP55" s="7"/>
      <c r="BQ55" s="7"/>
      <c r="BR55" s="11"/>
      <c r="BS55" s="11"/>
      <c r="BT55" s="11"/>
      <c r="BU55" s="11"/>
      <c r="BV55" s="11"/>
      <c r="BW55" s="11"/>
    </row>
    <row r="56" spans="1:75" ht="15.75" x14ac:dyDescent="0.25">
      <c r="A56" s="10">
        <v>44714</v>
      </c>
      <c r="B56" s="99">
        <v>95</v>
      </c>
      <c r="C56" s="40">
        <v>65</v>
      </c>
      <c r="D56" s="64">
        <v>70</v>
      </c>
      <c r="E56" s="531">
        <v>62</v>
      </c>
      <c r="F56" s="99">
        <v>81</v>
      </c>
      <c r="G56" s="40">
        <v>55</v>
      </c>
      <c r="H56" s="40">
        <v>64</v>
      </c>
      <c r="I56" s="94">
        <v>57</v>
      </c>
      <c r="J56" s="99">
        <v>73</v>
      </c>
      <c r="K56" s="40">
        <v>46</v>
      </c>
      <c r="L56" s="40">
        <v>55</v>
      </c>
      <c r="M56" s="94">
        <v>41</v>
      </c>
      <c r="N56" s="40">
        <v>98</v>
      </c>
      <c r="O56" s="40">
        <v>80</v>
      </c>
      <c r="P56" s="40">
        <v>66</v>
      </c>
      <c r="Q56" s="99">
        <v>647</v>
      </c>
      <c r="R56" s="40">
        <v>666</v>
      </c>
      <c r="S56" s="94">
        <v>598</v>
      </c>
      <c r="T56" s="7">
        <f t="shared" si="28"/>
        <v>20.371405622489963</v>
      </c>
      <c r="U56" s="14">
        <f t="shared" si="28"/>
        <v>17.118072289156629</v>
      </c>
      <c r="V56" s="14">
        <f t="shared" si="28"/>
        <v>12.680481927710845</v>
      </c>
      <c r="W56" s="110">
        <f t="shared" si="29"/>
        <v>21.686746987951807</v>
      </c>
      <c r="X56" s="7">
        <f t="shared" si="30"/>
        <v>18.072289156626507</v>
      </c>
      <c r="Y56" s="111">
        <f t="shared" si="31"/>
        <v>18.072289156626507</v>
      </c>
      <c r="Z56" s="40"/>
      <c r="AA56" s="2">
        <f t="shared" si="27"/>
        <v>58.4</v>
      </c>
      <c r="AB56" s="2"/>
      <c r="AC56" s="2"/>
      <c r="AD56" s="30"/>
      <c r="AE56" s="30"/>
      <c r="AF56" s="30"/>
      <c r="AG56" s="7"/>
      <c r="AJ56" s="7"/>
      <c r="AK56" s="7"/>
      <c r="AL56" s="7"/>
      <c r="AM56" s="8"/>
      <c r="AP56" s="7">
        <f t="shared" si="20"/>
        <v>66</v>
      </c>
      <c r="AQ56" s="7"/>
      <c r="AR56" s="7"/>
      <c r="AS56" s="7"/>
      <c r="AV56" s="40">
        <f t="shared" si="21"/>
        <v>76.8</v>
      </c>
      <c r="AW56" s="7"/>
      <c r="AX56" s="7"/>
      <c r="AY56" s="8"/>
      <c r="BB56" s="40"/>
      <c r="BC56" s="30"/>
      <c r="BD56" s="30"/>
      <c r="BE56" s="32"/>
      <c r="BH56" s="40"/>
      <c r="BI56" s="7"/>
      <c r="BJ56" s="7"/>
      <c r="BK56" s="7"/>
      <c r="BL56" s="16"/>
      <c r="BM56" s="16"/>
      <c r="BN56" s="7"/>
      <c r="BO56" s="7"/>
      <c r="BP56" s="7"/>
      <c r="BQ56" s="7"/>
      <c r="BR56" s="11"/>
      <c r="BS56" s="11"/>
      <c r="BT56" s="11"/>
      <c r="BU56" s="11"/>
      <c r="BV56" s="11"/>
      <c r="BW56" s="11"/>
    </row>
    <row r="57" spans="1:75" ht="15.75" x14ac:dyDescent="0.25">
      <c r="A57" s="10">
        <v>44753</v>
      </c>
      <c r="B57" s="99">
        <v>80</v>
      </c>
      <c r="C57" s="40">
        <v>63</v>
      </c>
      <c r="D57" s="64">
        <v>68</v>
      </c>
      <c r="E57" s="531">
        <v>52</v>
      </c>
      <c r="F57" s="99">
        <v>85</v>
      </c>
      <c r="G57" s="40">
        <v>59</v>
      </c>
      <c r="H57" s="40">
        <v>71</v>
      </c>
      <c r="I57" s="94">
        <v>50</v>
      </c>
      <c r="J57" s="99">
        <v>73</v>
      </c>
      <c r="K57" s="40">
        <v>50</v>
      </c>
      <c r="L57" s="40">
        <v>60</v>
      </c>
      <c r="M57" s="94">
        <v>41</v>
      </c>
      <c r="N57" s="40">
        <v>101</v>
      </c>
      <c r="O57" s="40">
        <v>90</v>
      </c>
      <c r="P57" s="40">
        <v>76</v>
      </c>
      <c r="Q57" s="99">
        <v>605</v>
      </c>
      <c r="R57" s="40">
        <v>511</v>
      </c>
      <c r="S57" s="94">
        <v>582</v>
      </c>
      <c r="T57" s="7">
        <f t="shared" si="28"/>
        <v>19.632128514056227</v>
      </c>
      <c r="U57" s="14">
        <f t="shared" si="28"/>
        <v>14.775903614457834</v>
      </c>
      <c r="V57" s="14">
        <f t="shared" si="28"/>
        <v>14.2110843373494</v>
      </c>
      <c r="W57" s="110">
        <f t="shared" si="29"/>
        <v>18.072289156626507</v>
      </c>
      <c r="X57" s="7">
        <f t="shared" si="30"/>
        <v>21.686746987951807</v>
      </c>
      <c r="Y57" s="111">
        <f t="shared" si="31"/>
        <v>18.072289156626507</v>
      </c>
      <c r="Z57" s="40"/>
      <c r="AA57" s="2">
        <f t="shared" si="27"/>
        <v>52.6</v>
      </c>
      <c r="AB57" s="2"/>
      <c r="AC57" s="2"/>
      <c r="AD57" s="30"/>
      <c r="AE57" s="30"/>
      <c r="AF57" s="30"/>
      <c r="AG57" s="7"/>
      <c r="AJ57" s="7"/>
      <c r="AK57" s="7"/>
      <c r="AL57" s="7"/>
      <c r="AM57" s="8"/>
      <c r="AP57" s="7">
        <f t="shared" si="20"/>
        <v>70.8</v>
      </c>
      <c r="AQ57" s="7"/>
      <c r="AR57" s="7"/>
      <c r="AS57" s="7"/>
      <c r="AV57" s="40">
        <f t="shared" si="21"/>
        <v>85.2</v>
      </c>
      <c r="AW57" s="7"/>
      <c r="AX57" s="7"/>
      <c r="AY57" s="8"/>
      <c r="BB57" s="40"/>
      <c r="BC57" s="30"/>
      <c r="BD57" s="30"/>
      <c r="BE57" s="32"/>
      <c r="BH57" s="40"/>
      <c r="BI57" s="7"/>
      <c r="BJ57" s="7"/>
      <c r="BK57" s="7"/>
      <c r="BL57" s="16"/>
      <c r="BM57" s="16"/>
      <c r="BN57" s="7"/>
      <c r="BO57" s="7"/>
      <c r="BP57" s="7"/>
      <c r="BQ57" s="7"/>
      <c r="BR57" s="11"/>
      <c r="BS57" s="11"/>
      <c r="BT57" s="11"/>
      <c r="BU57" s="11"/>
      <c r="BV57" s="11"/>
      <c r="BW57" s="11"/>
    </row>
    <row r="58" spans="1:75" ht="15.75" x14ac:dyDescent="0.25">
      <c r="A58" s="10">
        <v>44774</v>
      </c>
      <c r="B58" s="99">
        <v>81</v>
      </c>
      <c r="C58" s="40">
        <v>61</v>
      </c>
      <c r="D58" s="64">
        <v>69</v>
      </c>
      <c r="E58" s="531">
        <v>40</v>
      </c>
      <c r="F58" s="99">
        <v>89</v>
      </c>
      <c r="G58" s="40">
        <v>57</v>
      </c>
      <c r="H58" s="40">
        <v>71</v>
      </c>
      <c r="I58" s="94">
        <v>57</v>
      </c>
      <c r="J58" s="99">
        <v>65</v>
      </c>
      <c r="K58" s="40">
        <v>45</v>
      </c>
      <c r="L58" s="40">
        <v>54</v>
      </c>
      <c r="M58" s="94">
        <v>40</v>
      </c>
      <c r="N58" s="40">
        <v>101</v>
      </c>
      <c r="O58" s="40">
        <v>95</v>
      </c>
      <c r="P58" s="40">
        <v>74</v>
      </c>
      <c r="Q58" s="99">
        <v>572</v>
      </c>
      <c r="R58" s="40">
        <v>486</v>
      </c>
      <c r="S58" s="94">
        <v>558</v>
      </c>
      <c r="T58" s="7">
        <f t="shared" si="28"/>
        <v>18.561285140562251</v>
      </c>
      <c r="U58" s="14">
        <f t="shared" si="28"/>
        <v>14.833734939759038</v>
      </c>
      <c r="V58" s="14">
        <f t="shared" si="28"/>
        <v>13.266506024096387</v>
      </c>
      <c r="W58" s="110">
        <f t="shared" si="29"/>
        <v>18.072289156626507</v>
      </c>
      <c r="X58" s="7">
        <f t="shared" si="30"/>
        <v>21.686746987951807</v>
      </c>
      <c r="Y58" s="111">
        <f t="shared" si="31"/>
        <v>14.457831325301205</v>
      </c>
      <c r="Z58" s="40"/>
      <c r="AA58" s="2">
        <f t="shared" si="27"/>
        <v>50.2</v>
      </c>
      <c r="AB58" s="2"/>
      <c r="AC58" s="2"/>
      <c r="AD58" s="30"/>
      <c r="AE58" s="30"/>
      <c r="AF58" s="30"/>
      <c r="AG58" s="7"/>
      <c r="AJ58" s="7"/>
      <c r="AK58" s="7"/>
      <c r="AL58" s="7"/>
      <c r="AM58" s="8"/>
      <c r="AP58" s="7">
        <f t="shared" si="20"/>
        <v>68.399999999999991</v>
      </c>
      <c r="AQ58" s="7"/>
      <c r="AR58" s="7"/>
      <c r="AS58" s="7"/>
      <c r="AV58" s="40">
        <f t="shared" si="21"/>
        <v>85.2</v>
      </c>
      <c r="AW58" s="7"/>
      <c r="AX58" s="7"/>
      <c r="AY58" s="8"/>
      <c r="BB58" s="40"/>
      <c r="BC58" s="30"/>
      <c r="BD58" s="30"/>
      <c r="BE58" s="32"/>
      <c r="BH58" s="40"/>
      <c r="BI58" s="7"/>
      <c r="BJ58" s="7"/>
      <c r="BK58" s="7"/>
      <c r="BL58" s="16"/>
      <c r="BM58" s="16"/>
      <c r="BN58" s="7"/>
      <c r="BO58" s="7"/>
      <c r="BP58" s="7"/>
      <c r="BQ58" s="7"/>
      <c r="BR58" s="11"/>
      <c r="BS58" s="11"/>
      <c r="BT58" s="11"/>
      <c r="BU58" s="11"/>
      <c r="BV58" s="11"/>
      <c r="BW58" s="11"/>
    </row>
    <row r="59" spans="1:75" ht="15.75" x14ac:dyDescent="0.25">
      <c r="A59" s="10">
        <v>44805</v>
      </c>
      <c r="B59" s="99">
        <v>89</v>
      </c>
      <c r="C59" s="40">
        <v>68</v>
      </c>
      <c r="D59" s="64">
        <v>79</v>
      </c>
      <c r="E59" s="531">
        <v>50</v>
      </c>
      <c r="F59" s="99">
        <v>72</v>
      </c>
      <c r="G59" s="40">
        <v>46</v>
      </c>
      <c r="H59" s="40">
        <v>56</v>
      </c>
      <c r="I59" s="94">
        <v>53</v>
      </c>
      <c r="J59" s="99">
        <v>74</v>
      </c>
      <c r="K59" s="40">
        <v>50</v>
      </c>
      <c r="L59" s="40">
        <v>60</v>
      </c>
      <c r="M59" s="94">
        <v>38</v>
      </c>
      <c r="N59" s="40">
        <v>98</v>
      </c>
      <c r="O59" s="40">
        <v>76</v>
      </c>
      <c r="P59" s="40">
        <v>72</v>
      </c>
      <c r="Q59" s="99">
        <v>634</v>
      </c>
      <c r="R59" s="40">
        <v>525</v>
      </c>
      <c r="S59" s="94">
        <v>619</v>
      </c>
      <c r="T59" s="7">
        <f t="shared" si="28"/>
        <v>19.962088353413655</v>
      </c>
      <c r="U59" s="14">
        <f t="shared" si="28"/>
        <v>12.819277108433734</v>
      </c>
      <c r="V59" s="14">
        <f t="shared" si="28"/>
        <v>14.319036144578314</v>
      </c>
      <c r="W59" s="110">
        <f t="shared" si="29"/>
        <v>21.686746987951807</v>
      </c>
      <c r="X59" s="7">
        <f t="shared" si="30"/>
        <v>18.072289156626507</v>
      </c>
      <c r="Y59" s="111">
        <f t="shared" si="31"/>
        <v>18.072289156626507</v>
      </c>
      <c r="Z59" s="40"/>
      <c r="AA59" s="2">
        <f t="shared" si="27"/>
        <v>57.2</v>
      </c>
      <c r="AB59" s="2"/>
      <c r="AC59" s="2"/>
      <c r="AD59" s="30"/>
      <c r="AE59" s="30"/>
      <c r="AF59" s="30"/>
      <c r="AG59" s="7"/>
      <c r="AJ59" s="7"/>
      <c r="AK59" s="7"/>
      <c r="AL59" s="7"/>
      <c r="AM59" s="8"/>
      <c r="AP59" s="7">
        <f t="shared" si="20"/>
        <v>55.199999999999996</v>
      </c>
      <c r="AQ59" s="7"/>
      <c r="AR59" s="7"/>
      <c r="AS59" s="7"/>
      <c r="AV59" s="40">
        <f t="shared" si="21"/>
        <v>67.2</v>
      </c>
      <c r="AW59" s="7"/>
      <c r="AX59" s="7"/>
      <c r="AY59" s="8"/>
      <c r="BB59" s="40"/>
      <c r="BC59" s="30"/>
      <c r="BD59" s="30"/>
      <c r="BE59" s="32"/>
      <c r="BH59" s="40"/>
      <c r="BI59" s="7"/>
      <c r="BJ59" s="7"/>
      <c r="BK59" s="7"/>
      <c r="BL59" s="16"/>
      <c r="BM59" s="16"/>
      <c r="BN59" s="7"/>
      <c r="BO59" s="7"/>
      <c r="BP59" s="7"/>
      <c r="BQ59" s="7"/>
      <c r="BR59" s="11"/>
      <c r="BS59" s="11"/>
      <c r="BT59" s="11"/>
      <c r="BU59" s="11"/>
      <c r="BV59" s="11"/>
      <c r="BW59" s="11"/>
    </row>
    <row r="60" spans="1:75" ht="15.75" x14ac:dyDescent="0.25">
      <c r="A60" s="10">
        <v>44838</v>
      </c>
      <c r="B60" s="99">
        <v>98</v>
      </c>
      <c r="C60" s="40">
        <v>71</v>
      </c>
      <c r="D60" s="64">
        <v>81</v>
      </c>
      <c r="E60" s="531">
        <v>55</v>
      </c>
      <c r="F60" s="99">
        <v>79</v>
      </c>
      <c r="G60" s="40">
        <v>46</v>
      </c>
      <c r="H60" s="40">
        <v>53</v>
      </c>
      <c r="I60" s="94">
        <v>48</v>
      </c>
      <c r="J60" s="99">
        <v>67</v>
      </c>
      <c r="K60" s="40">
        <v>42</v>
      </c>
      <c r="L60" s="40">
        <v>49</v>
      </c>
      <c r="M60" s="94">
        <v>41</v>
      </c>
      <c r="N60" s="40">
        <v>115</v>
      </c>
      <c r="O60" s="40">
        <v>78</v>
      </c>
      <c r="P60" s="40">
        <v>71</v>
      </c>
      <c r="Q60" s="99">
        <v>497</v>
      </c>
      <c r="R60" s="40">
        <v>571</v>
      </c>
      <c r="S60" s="94">
        <v>580</v>
      </c>
      <c r="T60" s="7">
        <f t="shared" si="28"/>
        <v>18.363052208835342</v>
      </c>
      <c r="U60" s="14">
        <f t="shared" si="28"/>
        <v>14.309397590361447</v>
      </c>
      <c r="V60" s="14">
        <f t="shared" si="28"/>
        <v>13.230522088353414</v>
      </c>
      <c r="W60" s="110">
        <f t="shared" si="29"/>
        <v>21.686746987951807</v>
      </c>
      <c r="X60" s="7">
        <f t="shared" si="30"/>
        <v>18.072289156626507</v>
      </c>
      <c r="Y60" s="111">
        <f t="shared" si="31"/>
        <v>18.072289156626507</v>
      </c>
      <c r="Z60" s="40"/>
      <c r="AA60" s="2">
        <f t="shared" si="27"/>
        <v>61</v>
      </c>
      <c r="AB60" s="2"/>
      <c r="AC60" s="2"/>
      <c r="AD60" s="30"/>
      <c r="AE60" s="30"/>
      <c r="AF60" s="30"/>
      <c r="AG60" s="7"/>
      <c r="AJ60" s="7"/>
      <c r="AK60" s="7"/>
      <c r="AL60" s="7"/>
      <c r="AM60" s="8"/>
      <c r="AP60" s="7">
        <f t="shared" si="20"/>
        <v>55.199999999999996</v>
      </c>
      <c r="AQ60" s="7"/>
      <c r="AR60" s="7"/>
      <c r="AS60" s="7"/>
      <c r="AV60" s="40">
        <f t="shared" si="21"/>
        <v>63.599999999999994</v>
      </c>
      <c r="AW60" s="7"/>
      <c r="AX60" s="7"/>
      <c r="AY60" s="8"/>
      <c r="BB60" s="40"/>
      <c r="BC60" s="30"/>
      <c r="BD60" s="30"/>
      <c r="BE60" s="32"/>
      <c r="BH60" s="40"/>
      <c r="BI60" s="7"/>
      <c r="BJ60" s="7"/>
      <c r="BK60" s="7"/>
      <c r="BL60" s="16"/>
      <c r="BM60" s="16"/>
      <c r="BN60" s="7"/>
      <c r="BO60" s="7"/>
      <c r="BP60" s="7"/>
      <c r="BQ60" s="7"/>
      <c r="BR60" s="11"/>
      <c r="BS60" s="11"/>
      <c r="BT60" s="11"/>
      <c r="BU60" s="11"/>
      <c r="BV60" s="11"/>
      <c r="BW60" s="11"/>
    </row>
    <row r="61" spans="1:75" ht="15.75" x14ac:dyDescent="0.25">
      <c r="A61" s="10">
        <v>44868</v>
      </c>
      <c r="B61" s="99">
        <v>62</v>
      </c>
      <c r="C61" s="40">
        <v>48</v>
      </c>
      <c r="D61" s="64">
        <v>54</v>
      </c>
      <c r="E61" s="531">
        <v>56</v>
      </c>
      <c r="F61" s="99">
        <v>53</v>
      </c>
      <c r="G61" s="40">
        <v>45</v>
      </c>
      <c r="H61" s="40">
        <v>41</v>
      </c>
      <c r="I61" s="94">
        <v>39</v>
      </c>
      <c r="J61" s="99">
        <v>60</v>
      </c>
      <c r="K61" s="40">
        <v>44</v>
      </c>
      <c r="L61" s="40">
        <v>52</v>
      </c>
      <c r="M61" s="94">
        <v>39</v>
      </c>
      <c r="N61" s="40">
        <v>81</v>
      </c>
      <c r="O61" s="40">
        <v>53</v>
      </c>
      <c r="P61" s="40">
        <v>64</v>
      </c>
      <c r="Q61" s="99">
        <v>575</v>
      </c>
      <c r="R61" s="40">
        <v>613</v>
      </c>
      <c r="S61" s="94">
        <v>664</v>
      </c>
      <c r="T61" s="7">
        <f>((Q61/37.5)/0.83)*(N61/100)</f>
        <v>14.96385542168675</v>
      </c>
      <c r="U61" s="14">
        <f t="shared" si="28"/>
        <v>10.43823293172691</v>
      </c>
      <c r="V61" s="14">
        <f t="shared" si="28"/>
        <v>13.653333333333336</v>
      </c>
      <c r="W61" s="110">
        <f t="shared" si="29"/>
        <v>14.457831325301205</v>
      </c>
      <c r="X61" s="7">
        <f t="shared" si="30"/>
        <v>14.457831325301205</v>
      </c>
      <c r="Y61" s="111">
        <f t="shared" si="31"/>
        <v>14.457831325301205</v>
      </c>
      <c r="Z61" s="40"/>
      <c r="AA61" s="2">
        <f t="shared" si="27"/>
        <v>44</v>
      </c>
      <c r="AB61" s="2"/>
      <c r="AC61" s="2"/>
      <c r="AD61" s="30"/>
      <c r="AE61" s="30"/>
      <c r="AF61" s="30"/>
      <c r="AG61" s="7"/>
      <c r="AJ61" s="7"/>
      <c r="AK61" s="7"/>
      <c r="AL61" s="7"/>
      <c r="AM61" s="8"/>
      <c r="AP61" s="7">
        <f t="shared" si="20"/>
        <v>54</v>
      </c>
      <c r="AQ61" s="7"/>
      <c r="AR61" s="7"/>
      <c r="AS61" s="7"/>
      <c r="AV61" s="40">
        <f t="shared" si="21"/>
        <v>49.199999999999996</v>
      </c>
      <c r="AW61" s="7"/>
      <c r="AX61" s="7"/>
      <c r="AY61" s="8"/>
      <c r="BB61" s="40"/>
      <c r="BC61" s="30"/>
      <c r="BD61" s="30"/>
      <c r="BE61" s="32"/>
      <c r="BH61" s="40"/>
      <c r="BI61" s="7"/>
      <c r="BJ61" s="7"/>
      <c r="BK61" s="7"/>
      <c r="BL61" s="16"/>
      <c r="BM61" s="16"/>
      <c r="BN61" s="7"/>
      <c r="BO61" s="7"/>
      <c r="BP61" s="7"/>
      <c r="BQ61" s="7"/>
      <c r="BR61" s="11"/>
      <c r="BS61" s="11"/>
      <c r="BT61" s="11"/>
      <c r="BU61" s="11"/>
      <c r="BV61" s="11"/>
      <c r="BW61" s="11"/>
    </row>
    <row r="62" spans="1:75" ht="15.75" x14ac:dyDescent="0.25">
      <c r="A62" s="10">
        <v>44908</v>
      </c>
      <c r="B62" s="99">
        <v>45</v>
      </c>
      <c r="C62" s="40">
        <v>32</v>
      </c>
      <c r="D62" s="40">
        <v>36</v>
      </c>
      <c r="E62" s="94">
        <v>38</v>
      </c>
      <c r="F62" s="99">
        <v>45</v>
      </c>
      <c r="G62" s="40">
        <v>23</v>
      </c>
      <c r="H62" s="40">
        <v>26</v>
      </c>
      <c r="I62" s="94">
        <v>30</v>
      </c>
      <c r="J62" s="99">
        <v>48</v>
      </c>
      <c r="K62" s="40">
        <v>42</v>
      </c>
      <c r="L62" s="40">
        <v>49</v>
      </c>
      <c r="M62" s="94">
        <v>41</v>
      </c>
      <c r="N62" s="40">
        <v>84</v>
      </c>
      <c r="O62" s="40">
        <v>60</v>
      </c>
      <c r="P62" s="40">
        <v>103</v>
      </c>
      <c r="Q62" s="99">
        <v>363</v>
      </c>
      <c r="R62" s="40">
        <v>380</v>
      </c>
      <c r="S62" s="94">
        <v>398</v>
      </c>
      <c r="T62" s="7">
        <f>((Q62/37.5)/0.83)*(N62/100)</f>
        <v>9.7966265060240953</v>
      </c>
      <c r="U62" s="7">
        <f t="shared" si="28"/>
        <v>7.3253012048192776</v>
      </c>
      <c r="V62" s="7">
        <f t="shared" si="28"/>
        <v>13.170763052208837</v>
      </c>
      <c r="W62" s="110">
        <f t="shared" ref="W62:W63" si="32">(ROUNDUP(B62/16.6666,0)*3)/0.83</f>
        <v>10.843373493975903</v>
      </c>
      <c r="X62" s="7">
        <f t="shared" si="30"/>
        <v>10.843373493975903</v>
      </c>
      <c r="Y62" s="111">
        <f t="shared" si="31"/>
        <v>10.843373493975903</v>
      </c>
      <c r="Z62" s="40"/>
      <c r="AA62" s="2">
        <f t="shared" si="27"/>
        <v>30.2</v>
      </c>
      <c r="AB62" s="2"/>
      <c r="AC62" s="2"/>
      <c r="AD62" s="30"/>
      <c r="AE62" s="30"/>
      <c r="AF62" s="30"/>
      <c r="AG62" s="7"/>
      <c r="AJ62" s="7"/>
      <c r="AK62" s="7"/>
      <c r="AL62" s="7"/>
      <c r="AM62" s="8"/>
      <c r="AP62" s="7">
        <f t="shared" si="20"/>
        <v>27.599999999999998</v>
      </c>
      <c r="AQ62" s="7"/>
      <c r="AR62" s="7"/>
      <c r="AS62" s="7"/>
      <c r="AV62" s="40">
        <f t="shared" si="21"/>
        <v>31.2</v>
      </c>
      <c r="AW62" s="7"/>
      <c r="AX62" s="7"/>
      <c r="AY62" s="8"/>
      <c r="BB62" s="40"/>
      <c r="BC62" s="30"/>
      <c r="BD62" s="30"/>
      <c r="BE62" s="32"/>
      <c r="BH62" s="40"/>
      <c r="BI62" s="7"/>
      <c r="BJ62" s="7"/>
      <c r="BK62" s="7"/>
      <c r="BL62" s="16"/>
      <c r="BM62" s="16"/>
      <c r="BN62" s="7"/>
      <c r="BO62" s="7"/>
      <c r="BP62" s="7"/>
      <c r="BQ62" s="7"/>
      <c r="BR62" s="11"/>
      <c r="BS62" s="11"/>
      <c r="BT62" s="11"/>
      <c r="BU62" s="11"/>
      <c r="BV62" s="11"/>
      <c r="BW62" s="11"/>
    </row>
    <row r="63" spans="1:75" ht="15.75" x14ac:dyDescent="0.25">
      <c r="A63" s="10">
        <v>44965</v>
      </c>
      <c r="B63" s="99">
        <v>27</v>
      </c>
      <c r="C63" s="40">
        <v>27</v>
      </c>
      <c r="D63" s="40">
        <v>30</v>
      </c>
      <c r="E63" s="94">
        <v>36</v>
      </c>
      <c r="F63" s="99">
        <v>39</v>
      </c>
      <c r="G63" s="40">
        <v>22</v>
      </c>
      <c r="H63" s="40">
        <v>27</v>
      </c>
      <c r="I63" s="94">
        <v>23</v>
      </c>
      <c r="J63" s="99">
        <v>63</v>
      </c>
      <c r="K63" s="40">
        <v>49</v>
      </c>
      <c r="L63" s="40">
        <v>58</v>
      </c>
      <c r="M63" s="94">
        <v>50</v>
      </c>
      <c r="N63" s="40">
        <v>70</v>
      </c>
      <c r="O63" s="40">
        <v>74</v>
      </c>
      <c r="P63" s="40">
        <v>124</v>
      </c>
      <c r="Q63" s="99">
        <v>395</v>
      </c>
      <c r="R63" s="40">
        <v>402</v>
      </c>
      <c r="S63" s="94">
        <v>404</v>
      </c>
      <c r="T63" s="7">
        <f>((Q63/37.5)/0.83)*(N63/100)</f>
        <v>8.8835341365461833</v>
      </c>
      <c r="U63" s="7">
        <f t="shared" si="28"/>
        <v>9.5575903614457829</v>
      </c>
      <c r="V63" s="7">
        <f t="shared" si="28"/>
        <v>16.095100401606427</v>
      </c>
      <c r="W63" s="110">
        <f t="shared" si="32"/>
        <v>7.2289156626506026</v>
      </c>
      <c r="X63" s="7">
        <f>(ROUNDUP(F63/16.6666,0)*3)/0.83</f>
        <v>10.843373493975903</v>
      </c>
      <c r="Y63" s="111">
        <f>(ROUNDUP(J63/16.6666,0)*3)/0.83</f>
        <v>14.457831325301205</v>
      </c>
      <c r="Z63" s="40"/>
      <c r="AA63" s="2">
        <f t="shared" si="27"/>
        <v>24</v>
      </c>
      <c r="AB63" s="2"/>
      <c r="AC63" s="2"/>
      <c r="AD63" s="30"/>
      <c r="AE63" s="30"/>
      <c r="AF63" s="30"/>
      <c r="AG63" s="7"/>
      <c r="AJ63" s="7"/>
      <c r="AK63" s="7"/>
      <c r="AL63" s="7"/>
      <c r="AM63" s="8"/>
      <c r="AP63" s="7">
        <f t="shared" si="20"/>
        <v>26.4</v>
      </c>
      <c r="AQ63" s="7"/>
      <c r="AR63" s="7"/>
      <c r="AS63" s="7"/>
      <c r="AV63" s="40">
        <f t="shared" si="21"/>
        <v>32.4</v>
      </c>
      <c r="AW63" s="7"/>
      <c r="AX63" s="7"/>
      <c r="AY63" s="8"/>
      <c r="BB63" s="40"/>
      <c r="BC63" s="30"/>
      <c r="BD63" s="30"/>
      <c r="BE63" s="32"/>
      <c r="BH63" s="40"/>
      <c r="BI63" s="7"/>
      <c r="BJ63" s="7"/>
      <c r="BK63" s="7"/>
      <c r="BL63" s="16"/>
      <c r="BM63" s="16"/>
      <c r="BN63" s="7"/>
      <c r="BO63" s="7"/>
      <c r="BP63" s="7"/>
      <c r="BQ63" s="7"/>
      <c r="BR63" s="11"/>
      <c r="BS63" s="11"/>
      <c r="BT63" s="11"/>
      <c r="BU63" s="11"/>
      <c r="BV63" s="11"/>
      <c r="BW63" s="11"/>
    </row>
    <row r="64" spans="1:75" ht="15.75" x14ac:dyDescent="0.25">
      <c r="A64" s="10">
        <v>44992</v>
      </c>
      <c r="B64" s="99">
        <v>30</v>
      </c>
      <c r="C64" s="40">
        <v>26</v>
      </c>
      <c r="D64" s="40">
        <v>28</v>
      </c>
      <c r="E64" s="94">
        <v>36</v>
      </c>
      <c r="F64" s="99">
        <v>31</v>
      </c>
      <c r="G64" s="40">
        <v>27</v>
      </c>
      <c r="H64" s="40">
        <v>30</v>
      </c>
      <c r="I64" s="94">
        <v>33</v>
      </c>
      <c r="J64" s="99">
        <v>56</v>
      </c>
      <c r="K64" s="40">
        <v>50</v>
      </c>
      <c r="L64" s="40">
        <v>58</v>
      </c>
      <c r="M64" s="94">
        <v>59</v>
      </c>
      <c r="N64" s="40">
        <v>93</v>
      </c>
      <c r="O64" s="40">
        <v>81</v>
      </c>
      <c r="P64" s="40">
        <v>103</v>
      </c>
      <c r="Q64" s="99">
        <v>278</v>
      </c>
      <c r="R64" s="40">
        <v>289</v>
      </c>
      <c r="S64" s="94">
        <v>513</v>
      </c>
      <c r="T64" s="7">
        <f t="shared" ref="T64:V65" si="33">((Q64/37.5)/0.85)*(N64/100)</f>
        <v>8.1110588235294117</v>
      </c>
      <c r="U64" s="7">
        <f t="shared" si="33"/>
        <v>7.3440000000000003</v>
      </c>
      <c r="V64" s="7">
        <f t="shared" si="33"/>
        <v>16.576941176470587</v>
      </c>
      <c r="W64" s="110">
        <f>(ROUNDUP(B64/16.6666,0)*3)/0.85</f>
        <v>7.0588235294117645</v>
      </c>
      <c r="X64" s="7">
        <f>(ROUNDUP(F64/16.6666,0)*3)/0.85</f>
        <v>7.0588235294117645</v>
      </c>
      <c r="Y64" s="111">
        <f>(ROUNDUP(J64/16.6666,0)*3)/0.85</f>
        <v>14.117647058823529</v>
      </c>
      <c r="AA64" s="2">
        <f t="shared" si="27"/>
        <v>24</v>
      </c>
      <c r="AP64" s="7">
        <f t="shared" si="20"/>
        <v>32.4</v>
      </c>
      <c r="AV64" s="40">
        <f t="shared" si="21"/>
        <v>36</v>
      </c>
    </row>
    <row r="65" spans="1:48" ht="15.75" x14ac:dyDescent="0.25">
      <c r="A65" s="10">
        <v>45020</v>
      </c>
      <c r="B65" s="99">
        <v>37</v>
      </c>
      <c r="C65" s="40">
        <v>35</v>
      </c>
      <c r="D65" s="40">
        <v>39</v>
      </c>
      <c r="E65" s="94">
        <v>41</v>
      </c>
      <c r="F65" s="99">
        <v>41</v>
      </c>
      <c r="G65" s="40">
        <v>38</v>
      </c>
      <c r="H65" s="40">
        <v>43</v>
      </c>
      <c r="I65" s="94">
        <v>45</v>
      </c>
      <c r="J65" s="99">
        <v>50</v>
      </c>
      <c r="K65" s="40">
        <v>44</v>
      </c>
      <c r="L65" s="40">
        <v>49</v>
      </c>
      <c r="M65" s="94">
        <v>52</v>
      </c>
      <c r="N65" s="40">
        <v>94</v>
      </c>
      <c r="O65" s="40">
        <v>98</v>
      </c>
      <c r="P65" s="40">
        <v>109</v>
      </c>
      <c r="Q65" s="99">
        <v>395</v>
      </c>
      <c r="R65" s="40">
        <v>408</v>
      </c>
      <c r="S65" s="94">
        <v>397</v>
      </c>
      <c r="T65" s="7">
        <f t="shared" si="33"/>
        <v>11.648627450980392</v>
      </c>
      <c r="U65" s="7">
        <f t="shared" si="33"/>
        <v>12.544</v>
      </c>
      <c r="V65" s="7">
        <f t="shared" si="33"/>
        <v>13.575843137254903</v>
      </c>
      <c r="W65" s="110">
        <f>(ROUNDUP(B65/16.6666,0)*3)/0.85</f>
        <v>10.588235294117647</v>
      </c>
      <c r="X65" s="7">
        <f>(ROUNDUP(F65/16.6666,0)*3)/0.85</f>
        <v>10.588235294117647</v>
      </c>
      <c r="Y65" s="111">
        <f>(ROUNDUP(J65/16.6666,0)*3)/0.85</f>
        <v>14.117647058823529</v>
      </c>
      <c r="AA65" s="2"/>
      <c r="AP65" s="7">
        <f t="shared" si="20"/>
        <v>45.6</v>
      </c>
      <c r="AV65" s="40">
        <f t="shared" si="21"/>
        <v>51.6</v>
      </c>
    </row>
    <row r="66" spans="1:48" ht="15.75" x14ac:dyDescent="0.25">
      <c r="A66" s="10">
        <v>45047</v>
      </c>
      <c r="B66" s="99">
        <v>48</v>
      </c>
      <c r="C66" s="40">
        <v>38</v>
      </c>
      <c r="D66" s="40">
        <v>41</v>
      </c>
      <c r="E66" s="94">
        <v>44</v>
      </c>
      <c r="F66" s="99">
        <v>49</v>
      </c>
      <c r="G66" s="40">
        <v>42</v>
      </c>
      <c r="H66" s="40">
        <v>46</v>
      </c>
      <c r="I66" s="94">
        <v>50</v>
      </c>
      <c r="J66" s="99">
        <v>48</v>
      </c>
      <c r="K66" s="40">
        <v>44</v>
      </c>
      <c r="L66" s="40">
        <v>49</v>
      </c>
      <c r="M66" s="94">
        <v>48</v>
      </c>
      <c r="N66" s="40">
        <v>100</v>
      </c>
      <c r="O66" s="40">
        <v>105</v>
      </c>
      <c r="P66" s="40">
        <v>105</v>
      </c>
      <c r="Q66" s="99">
        <v>402</v>
      </c>
      <c r="R66" s="40">
        <v>408</v>
      </c>
      <c r="S66" s="94">
        <v>397</v>
      </c>
      <c r="T66" s="7">
        <f t="shared" ref="T66" si="34">((Q66/37.5)/0.85)*(N66/100)</f>
        <v>12.611764705882354</v>
      </c>
      <c r="U66" s="7">
        <f>((R66/37.5)/0.85)*(O66/100)</f>
        <v>13.440000000000001</v>
      </c>
      <c r="V66" s="7">
        <f>((S66/37.5)/0.85)*(P66/100)</f>
        <v>13.07764705882353</v>
      </c>
      <c r="W66" s="110">
        <f>(ROUNDUP(B66/16.6666,0)*3)/0.85</f>
        <v>10.588235294117647</v>
      </c>
      <c r="X66" s="7">
        <f>(ROUNDUP(F66/16.6666,0)*3)/0.85</f>
        <v>10.588235294117647</v>
      </c>
      <c r="Y66" s="111">
        <f>(ROUNDUP(J66/16.6666,0)*3)/0.85</f>
        <v>10.588235294117647</v>
      </c>
      <c r="AA66" s="2"/>
      <c r="AP66" s="7">
        <f t="shared" si="20"/>
        <v>50.4</v>
      </c>
      <c r="AV66" s="40">
        <f t="shared" si="21"/>
        <v>55.199999999999996</v>
      </c>
    </row>
  </sheetData>
  <mergeCells count="7">
    <mergeCell ref="W2:Y2"/>
    <mergeCell ref="BL2:BQ2"/>
    <mergeCell ref="BR2:BW2"/>
    <mergeCell ref="AA2:AF2"/>
    <mergeCell ref="N2:P2"/>
    <mergeCell ref="Q2:S2"/>
    <mergeCell ref="T2:V2"/>
  </mergeCells>
  <phoneticPr fontId="11" type="noConversion"/>
  <conditionalFormatting sqref="B26 BH5:BK10 O5:Z25 F5:M25 BH11:BH25 AJ5:AM63 AP5:AS63 AV5:AY63 BB5:BE63 BH28:BH63 F27:M66 AP64:AP66 AV64:AV66 O27:P66">
    <cfRule type="cellIs" dxfId="452" priority="137" operator="lessThan">
      <formula>40</formula>
    </cfRule>
    <cfRule type="cellIs" dxfId="451" priority="139" operator="greaterThan">
      <formula>80</formula>
    </cfRule>
  </conditionalFormatting>
  <conditionalFormatting sqref="AA5:AC63 AA64:AA66">
    <cfRule type="cellIs" dxfId="450" priority="138" operator="greaterThan">
      <formula>80</formula>
    </cfRule>
  </conditionalFormatting>
  <conditionalFormatting sqref="AD5:AG62">
    <cfRule type="cellIs" dxfId="449" priority="135" operator="lessThan">
      <formula>40</formula>
    </cfRule>
    <cfRule type="cellIs" dxfId="448" priority="136" operator="greaterThan">
      <formula>80</formula>
    </cfRule>
  </conditionalFormatting>
  <conditionalFormatting sqref="B5:B25 B27:B61">
    <cfRule type="cellIs" dxfId="447" priority="134" operator="greaterThan">
      <formula>80</formula>
    </cfRule>
  </conditionalFormatting>
  <conditionalFormatting sqref="B5:B17">
    <cfRule type="cellIs" dxfId="446" priority="133" operator="lessThan">
      <formula>35</formula>
    </cfRule>
  </conditionalFormatting>
  <conditionalFormatting sqref="D5:D25 D27:D61">
    <cfRule type="cellIs" dxfId="445" priority="132" operator="greaterThan">
      <formula>80</formula>
    </cfRule>
  </conditionalFormatting>
  <conditionalFormatting sqref="D5:D17">
    <cfRule type="cellIs" dxfId="444" priority="131" operator="lessThan">
      <formula>35</formula>
    </cfRule>
  </conditionalFormatting>
  <conditionalFormatting sqref="C5:C61">
    <cfRule type="cellIs" dxfId="443" priority="130" operator="greaterThan">
      <formula>80</formula>
    </cfRule>
  </conditionalFormatting>
  <conditionalFormatting sqref="C5:C17">
    <cfRule type="cellIs" dxfId="442" priority="129" operator="lessThan">
      <formula>35</formula>
    </cfRule>
  </conditionalFormatting>
  <conditionalFormatting sqref="E5:E25 E27:E61">
    <cfRule type="cellIs" dxfId="441" priority="128" operator="greaterThan">
      <formula>80</formula>
    </cfRule>
  </conditionalFormatting>
  <conditionalFormatting sqref="E5:E17">
    <cfRule type="cellIs" dxfId="440" priority="127" operator="lessThan">
      <formula>35</formula>
    </cfRule>
  </conditionalFormatting>
  <conditionalFormatting sqref="BH26:BH27 BI11:BK62">
    <cfRule type="cellIs" dxfId="439" priority="125" operator="lessThan">
      <formula>40</formula>
    </cfRule>
    <cfRule type="cellIs" dxfId="438" priority="126" operator="greaterThan">
      <formula>80</formula>
    </cfRule>
  </conditionalFormatting>
  <conditionalFormatting sqref="N5:N25 N27:N66">
    <cfRule type="cellIs" dxfId="437" priority="124" operator="greaterThan">
      <formula>80</formula>
    </cfRule>
  </conditionalFormatting>
  <conditionalFormatting sqref="N5:N17">
    <cfRule type="cellIs" dxfId="436" priority="123" operator="lessThan">
      <formula>35</formula>
    </cfRule>
  </conditionalFormatting>
  <conditionalFormatting sqref="BN26:BN63">
    <cfRule type="cellIs" dxfId="435" priority="121" operator="lessThan">
      <formula>40</formula>
    </cfRule>
    <cfRule type="cellIs" dxfId="434" priority="122" operator="greaterThan">
      <formula>80</formula>
    </cfRule>
  </conditionalFormatting>
  <conditionalFormatting sqref="BO26:BQ62">
    <cfRule type="cellIs" dxfId="433" priority="119" operator="lessThan">
      <formula>40</formula>
    </cfRule>
    <cfRule type="cellIs" dxfId="432" priority="120" operator="greaterThan">
      <formula>80</formula>
    </cfRule>
  </conditionalFormatting>
  <conditionalFormatting sqref="Q26:Z51 Q62:Y62 Q63:Z63 X52:Z62 Q64:Y6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E62">
    <cfRule type="cellIs" dxfId="431" priority="71" operator="lessThan">
      <formula>40</formula>
    </cfRule>
    <cfRule type="cellIs" dxfId="430" priority="72" operator="greaterThan">
      <formula>80</formula>
    </cfRule>
  </conditionalFormatting>
  <conditionalFormatting sqref="R53:S53">
    <cfRule type="cellIs" dxfId="429" priority="69" operator="lessThan">
      <formula>40</formula>
    </cfRule>
    <cfRule type="cellIs" dxfId="428" priority="70" operator="greaterThan">
      <formula>80</formula>
    </cfRule>
  </conditionalFormatting>
  <conditionalFormatting sqref="R54:S54">
    <cfRule type="cellIs" dxfId="427" priority="67" operator="lessThan">
      <formula>40</formula>
    </cfRule>
    <cfRule type="cellIs" dxfId="426" priority="68" operator="greaterThan">
      <formula>80</formula>
    </cfRule>
  </conditionalFormatting>
  <conditionalFormatting sqref="R55:S55">
    <cfRule type="cellIs" dxfId="425" priority="65" operator="lessThan">
      <formula>40</formula>
    </cfRule>
    <cfRule type="cellIs" dxfId="424" priority="66" operator="greaterThan">
      <formula>80</formula>
    </cfRule>
  </conditionalFormatting>
  <conditionalFormatting sqref="R56:S56">
    <cfRule type="cellIs" dxfId="423" priority="63" operator="lessThan">
      <formula>40</formula>
    </cfRule>
    <cfRule type="cellIs" dxfId="422" priority="64" operator="greaterThan">
      <formula>80</formula>
    </cfRule>
  </conditionalFormatting>
  <conditionalFormatting sqref="R57:S57">
    <cfRule type="cellIs" dxfId="421" priority="61" operator="lessThan">
      <formula>40</formula>
    </cfRule>
    <cfRule type="cellIs" dxfId="420" priority="62" operator="greaterThan">
      <formula>80</formula>
    </cfRule>
  </conditionalFormatting>
  <conditionalFormatting sqref="R58:S61">
    <cfRule type="cellIs" dxfId="419" priority="59" operator="lessThan">
      <formula>40</formula>
    </cfRule>
    <cfRule type="cellIs" dxfId="418" priority="60" operator="greaterThan">
      <formula>80</formula>
    </cfRule>
  </conditionalFormatting>
  <conditionalFormatting sqref="Q52:S6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S6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X6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X6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2:Y6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2:Y6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:T6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:T6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 AU4">
    <cfRule type="cellIs" dxfId="417" priority="17" operator="lessThan">
      <formula>40</formula>
    </cfRule>
    <cfRule type="cellIs" dxfId="416" priority="18" operator="greaterThan">
      <formula>80</formula>
    </cfRule>
  </conditionalFormatting>
  <conditionalFormatting sqref="B4:AT4">
    <cfRule type="cellIs" dxfId="415" priority="15" operator="lessThan">
      <formula>40</formula>
    </cfRule>
    <cfRule type="cellIs" dxfId="414" priority="16" operator="greaterThan">
      <formula>80</formula>
    </cfRule>
  </conditionalFormatting>
  <conditionalFormatting sqref="AD63:AG63">
    <cfRule type="cellIs" dxfId="413" priority="13" operator="lessThan">
      <formula>40</formula>
    </cfRule>
    <cfRule type="cellIs" dxfId="412" priority="14" operator="greaterThan">
      <formula>80</formula>
    </cfRule>
  </conditionalFormatting>
  <conditionalFormatting sqref="BI63:BK63">
    <cfRule type="cellIs" dxfId="411" priority="11" operator="lessThan">
      <formula>40</formula>
    </cfRule>
    <cfRule type="cellIs" dxfId="410" priority="12" operator="greaterThan">
      <formula>80</formula>
    </cfRule>
  </conditionalFormatting>
  <conditionalFormatting sqref="BO63:BQ63">
    <cfRule type="cellIs" dxfId="409" priority="9" operator="lessThan">
      <formula>40</formula>
    </cfRule>
    <cfRule type="cellIs" dxfId="408" priority="10" operator="greaterThan">
      <formula>80</formula>
    </cfRule>
  </conditionalFormatting>
  <conditionalFormatting sqref="B63:E63">
    <cfRule type="cellIs" dxfId="407" priority="7" operator="lessThan">
      <formula>40</formula>
    </cfRule>
    <cfRule type="cellIs" dxfId="406" priority="8" operator="greaterThan">
      <formula>80</formula>
    </cfRule>
  </conditionalFormatting>
  <conditionalFormatting sqref="B64:E64">
    <cfRule type="cellIs" dxfId="405" priority="5" operator="lessThan">
      <formula>40</formula>
    </cfRule>
    <cfRule type="cellIs" dxfId="404" priority="6" operator="greaterThan">
      <formula>80</formula>
    </cfRule>
  </conditionalFormatting>
  <conditionalFormatting sqref="B65:E65">
    <cfRule type="cellIs" dxfId="403" priority="3" operator="lessThan">
      <formula>40</formula>
    </cfRule>
    <cfRule type="cellIs" dxfId="402" priority="4" operator="greaterThan">
      <formula>80</formula>
    </cfRule>
  </conditionalFormatting>
  <conditionalFormatting sqref="B66:E66">
    <cfRule type="cellIs" dxfId="401" priority="1" operator="lessThan">
      <formula>40</formula>
    </cfRule>
    <cfRule type="cellIs" dxfId="400" priority="2" operator="greaterThan">
      <formula>80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9648-CD97-44CC-8CDB-FCD354CC071C}">
  <sheetPr>
    <tabColor rgb="FF00B050"/>
  </sheetPr>
  <dimension ref="A1:FF80"/>
  <sheetViews>
    <sheetView workbookViewId="0">
      <pane ySplit="4" topLeftCell="A56" activePane="bottomLeft" state="frozen"/>
      <selection pane="bottomLeft" activeCell="A66" sqref="A66"/>
    </sheetView>
  </sheetViews>
  <sheetFormatPr defaultColWidth="5.28515625" defaultRowHeight="15" outlineLevelCol="1" x14ac:dyDescent="0.25"/>
  <cols>
    <col min="1" max="1" width="10.7109375" bestFit="1" customWidth="1"/>
    <col min="2" max="2" width="8.42578125" customWidth="1"/>
    <col min="3" max="3" width="10.7109375" bestFit="1" customWidth="1"/>
    <col min="4" max="6" width="8.42578125" customWidth="1"/>
    <col min="7" max="7" width="8.42578125" style="104" customWidth="1"/>
    <col min="8" max="10" width="8.42578125" customWidth="1"/>
    <col min="11" max="11" width="8.42578125" style="4" customWidth="1"/>
    <col min="12" max="19" width="8.42578125" customWidth="1"/>
    <col min="20" max="20" width="8.7109375" customWidth="1"/>
    <col min="21" max="26" width="12.42578125" customWidth="1"/>
    <col min="27" max="32" width="8.42578125" customWidth="1"/>
    <col min="35" max="38" width="8.42578125" customWidth="1" outlineLevel="1"/>
    <col min="41" max="44" width="8.42578125" customWidth="1" outlineLevel="1"/>
    <col min="47" max="50" width="8.42578125" customWidth="1" outlineLevel="1"/>
    <col min="53" max="56" width="8.42578125" customWidth="1" outlineLevel="1"/>
    <col min="59" max="62" width="8.42578125" customWidth="1" outlineLevel="1"/>
    <col min="65" max="65" width="5.5703125" customWidth="1" outlineLevel="1"/>
    <col min="66" max="68" width="7.85546875" customWidth="1" outlineLevel="1"/>
  </cols>
  <sheetData>
    <row r="1" spans="1:162" ht="15.75" thickBot="1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FF1" s="9"/>
    </row>
    <row r="2" spans="1:162" x14ac:dyDescent="0.25">
      <c r="A2" s="651" t="s">
        <v>22</v>
      </c>
      <c r="B2" s="44" t="s">
        <v>117</v>
      </c>
      <c r="C2" s="44" t="s">
        <v>118</v>
      </c>
      <c r="D2" s="45" t="s">
        <v>119</v>
      </c>
      <c r="E2" s="44" t="s">
        <v>120</v>
      </c>
      <c r="F2" s="44" t="s">
        <v>121</v>
      </c>
      <c r="G2" s="95" t="s">
        <v>117</v>
      </c>
      <c r="H2" s="44" t="s">
        <v>118</v>
      </c>
      <c r="I2" s="45" t="s">
        <v>119</v>
      </c>
      <c r="J2" s="44" t="s">
        <v>120</v>
      </c>
      <c r="K2" s="108" t="s">
        <v>121</v>
      </c>
      <c r="L2" s="95" t="s">
        <v>117</v>
      </c>
      <c r="M2" s="44" t="s">
        <v>118</v>
      </c>
      <c r="N2" s="45" t="s">
        <v>119</v>
      </c>
      <c r="O2" s="44" t="s">
        <v>120</v>
      </c>
      <c r="P2" s="108" t="s">
        <v>121</v>
      </c>
      <c r="Q2" s="648" t="s">
        <v>122</v>
      </c>
      <c r="R2" s="646"/>
      <c r="S2" s="650"/>
      <c r="T2" s="645" t="s">
        <v>123</v>
      </c>
      <c r="U2" s="646"/>
      <c r="V2" s="650"/>
      <c r="W2" s="645" t="s">
        <v>62</v>
      </c>
      <c r="X2" s="646"/>
      <c r="Y2" s="646"/>
      <c r="Z2" s="114"/>
      <c r="AA2" s="640" t="s">
        <v>112</v>
      </c>
      <c r="AB2" s="641"/>
      <c r="AC2" s="641"/>
      <c r="AD2" s="641"/>
      <c r="AE2" s="641"/>
      <c r="AF2" s="641"/>
      <c r="AI2" s="44" t="s">
        <v>124</v>
      </c>
      <c r="AJ2" s="44" t="s">
        <v>124</v>
      </c>
      <c r="AK2" s="44" t="s">
        <v>124</v>
      </c>
      <c r="AL2" s="44" t="s">
        <v>124</v>
      </c>
      <c r="AO2" s="645" t="s">
        <v>118</v>
      </c>
      <c r="AP2" s="646"/>
      <c r="AQ2" s="646"/>
      <c r="AR2" s="646"/>
      <c r="AU2" s="646" t="s">
        <v>119</v>
      </c>
      <c r="AV2" s="646"/>
      <c r="AW2" s="646"/>
      <c r="AX2" s="646"/>
      <c r="BA2" s="645" t="s">
        <v>120</v>
      </c>
      <c r="BB2" s="646"/>
      <c r="BC2" s="646"/>
      <c r="BD2" s="646"/>
      <c r="BG2" s="645" t="s">
        <v>121</v>
      </c>
      <c r="BH2" s="646"/>
      <c r="BI2" s="646"/>
      <c r="BJ2" s="646"/>
      <c r="BM2" s="645" t="s">
        <v>125</v>
      </c>
      <c r="BN2" s="646"/>
      <c r="BO2" s="646"/>
      <c r="BP2" s="646"/>
      <c r="BS2" s="645" t="s">
        <v>126</v>
      </c>
      <c r="BT2" s="646"/>
      <c r="BU2" s="646"/>
      <c r="BV2" s="646"/>
      <c r="BW2" s="639" t="s">
        <v>127</v>
      </c>
      <c r="BX2" s="635"/>
      <c r="BY2" s="635"/>
      <c r="BZ2" s="635"/>
      <c r="CA2" s="635"/>
      <c r="CB2" s="629"/>
      <c r="CC2" s="639" t="s">
        <v>128</v>
      </c>
      <c r="CD2" s="635"/>
      <c r="CE2" s="635"/>
      <c r="CF2" s="635"/>
      <c r="CG2" s="635"/>
      <c r="CH2" s="635"/>
    </row>
    <row r="3" spans="1:162" s="18" customFormat="1" ht="36.75" customHeight="1" thickBot="1" x14ac:dyDescent="0.3">
      <c r="A3" s="652"/>
      <c r="B3" s="83" t="s">
        <v>75</v>
      </c>
      <c r="C3" s="83" t="s">
        <v>75</v>
      </c>
      <c r="D3" s="85" t="s">
        <v>75</v>
      </c>
      <c r="E3" s="83" t="s">
        <v>75</v>
      </c>
      <c r="F3" s="83" t="s">
        <v>75</v>
      </c>
      <c r="G3" s="97" t="s">
        <v>24</v>
      </c>
      <c r="H3" s="85" t="s">
        <v>24</v>
      </c>
      <c r="I3" s="85" t="s">
        <v>24</v>
      </c>
      <c r="J3" s="85" t="s">
        <v>24</v>
      </c>
      <c r="K3" s="98" t="s">
        <v>24</v>
      </c>
      <c r="L3" s="85" t="s">
        <v>25</v>
      </c>
      <c r="M3" s="85" t="s">
        <v>25</v>
      </c>
      <c r="N3" s="85" t="s">
        <v>25</v>
      </c>
      <c r="O3" s="85" t="s">
        <v>25</v>
      </c>
      <c r="P3" s="85" t="s">
        <v>25</v>
      </c>
      <c r="Q3" s="85" t="s">
        <v>75</v>
      </c>
      <c r="R3" s="85" t="s">
        <v>24</v>
      </c>
      <c r="S3" s="85" t="s">
        <v>129</v>
      </c>
      <c r="T3" s="83" t="s">
        <v>75</v>
      </c>
      <c r="U3" s="85" t="s">
        <v>24</v>
      </c>
      <c r="V3" s="85" t="s">
        <v>130</v>
      </c>
      <c r="W3" s="83" t="s">
        <v>75</v>
      </c>
      <c r="X3" s="85" t="s">
        <v>24</v>
      </c>
      <c r="Y3" s="85" t="s">
        <v>25</v>
      </c>
      <c r="Z3" s="85"/>
      <c r="AA3" s="17" t="s">
        <v>75</v>
      </c>
      <c r="AB3" s="17" t="s">
        <v>24</v>
      </c>
      <c r="AC3" s="17" t="s">
        <v>78</v>
      </c>
      <c r="AD3" s="17" t="s">
        <v>79</v>
      </c>
      <c r="AE3" s="17" t="s">
        <v>80</v>
      </c>
      <c r="AF3" s="17" t="s">
        <v>81</v>
      </c>
      <c r="AI3" s="85" t="s">
        <v>78</v>
      </c>
      <c r="AJ3" s="85" t="s">
        <v>79</v>
      </c>
      <c r="AK3" s="85" t="s">
        <v>80</v>
      </c>
      <c r="AL3" s="84" t="s">
        <v>81</v>
      </c>
      <c r="AO3" s="85" t="s">
        <v>78</v>
      </c>
      <c r="AP3" s="85" t="s">
        <v>79</v>
      </c>
      <c r="AQ3" s="85" t="s">
        <v>80</v>
      </c>
      <c r="AR3" s="84" t="s">
        <v>81</v>
      </c>
      <c r="AU3" s="85" t="s">
        <v>78</v>
      </c>
      <c r="AV3" s="85" t="s">
        <v>79</v>
      </c>
      <c r="AW3" s="85" t="s">
        <v>80</v>
      </c>
      <c r="AX3" s="85" t="s">
        <v>81</v>
      </c>
      <c r="BA3" s="85" t="s">
        <v>78</v>
      </c>
      <c r="BB3" s="85" t="s">
        <v>79</v>
      </c>
      <c r="BC3" s="85" t="s">
        <v>80</v>
      </c>
      <c r="BD3" s="84" t="s">
        <v>81</v>
      </c>
      <c r="BG3" s="85" t="s">
        <v>78</v>
      </c>
      <c r="BH3" s="85" t="s">
        <v>79</v>
      </c>
      <c r="BI3" s="85" t="s">
        <v>80</v>
      </c>
      <c r="BJ3" s="84" t="s">
        <v>81</v>
      </c>
      <c r="BM3" s="85" t="s">
        <v>78</v>
      </c>
      <c r="BN3" s="85" t="s">
        <v>79</v>
      </c>
      <c r="BO3" s="85" t="s">
        <v>80</v>
      </c>
      <c r="BP3" s="84" t="s">
        <v>81</v>
      </c>
      <c r="BS3" s="85" t="s">
        <v>78</v>
      </c>
      <c r="BT3" s="85" t="s">
        <v>79</v>
      </c>
      <c r="BU3" s="85" t="s">
        <v>80</v>
      </c>
      <c r="BV3" s="84" t="s">
        <v>81</v>
      </c>
      <c r="BW3" s="83" t="s">
        <v>75</v>
      </c>
      <c r="BX3" s="85" t="s">
        <v>24</v>
      </c>
      <c r="BY3" s="85" t="s">
        <v>78</v>
      </c>
      <c r="BZ3" s="85" t="s">
        <v>79</v>
      </c>
      <c r="CA3" s="85" t="s">
        <v>80</v>
      </c>
      <c r="CB3" s="85" t="s">
        <v>81</v>
      </c>
      <c r="CC3" s="83" t="s">
        <v>75</v>
      </c>
      <c r="CD3" s="85" t="s">
        <v>24</v>
      </c>
      <c r="CE3" s="85" t="s">
        <v>78</v>
      </c>
      <c r="CF3" s="85" t="s">
        <v>79</v>
      </c>
      <c r="CG3" s="85" t="s">
        <v>80</v>
      </c>
      <c r="CH3" s="85" t="s">
        <v>81</v>
      </c>
    </row>
    <row r="4" spans="1:162" x14ac:dyDescent="0.25">
      <c r="A4" s="10">
        <v>45047</v>
      </c>
      <c r="B4" s="7">
        <f>VLOOKUP($A$4,$A$5:$AY$100,B1,FALSE)</f>
        <v>83</v>
      </c>
      <c r="C4" s="7">
        <f t="shared" ref="C4:AT4" si="0">VLOOKUP($A$4,$A$5:$AY$100,C1,FALSE)</f>
        <v>61</v>
      </c>
      <c r="D4" s="7">
        <f t="shared" si="0"/>
        <v>35</v>
      </c>
      <c r="E4" s="7">
        <f t="shared" si="0"/>
        <v>26</v>
      </c>
      <c r="F4" s="7">
        <f t="shared" si="0"/>
        <v>72</v>
      </c>
      <c r="G4" s="7">
        <f t="shared" si="0"/>
        <v>105</v>
      </c>
      <c r="H4" s="7">
        <f t="shared" si="0"/>
        <v>59</v>
      </c>
      <c r="I4" s="7">
        <f t="shared" si="0"/>
        <v>37</v>
      </c>
      <c r="J4" s="7">
        <f t="shared" si="0"/>
        <v>26</v>
      </c>
      <c r="K4" s="7">
        <f t="shared" si="0"/>
        <v>67</v>
      </c>
      <c r="L4" s="7">
        <f t="shared" si="0"/>
        <v>98</v>
      </c>
      <c r="M4" s="7">
        <f t="shared" si="0"/>
        <v>50</v>
      </c>
      <c r="N4" s="7">
        <f t="shared" si="0"/>
        <v>35</v>
      </c>
      <c r="O4" s="7">
        <f t="shared" si="0"/>
        <v>25</v>
      </c>
      <c r="P4" s="7">
        <f t="shared" si="0"/>
        <v>58</v>
      </c>
      <c r="Q4" s="7">
        <f t="shared" si="0"/>
        <v>91</v>
      </c>
      <c r="R4" s="7">
        <f t="shared" si="0"/>
        <v>97</v>
      </c>
      <c r="S4" s="7">
        <f t="shared" si="0"/>
        <v>90</v>
      </c>
      <c r="T4" s="7">
        <f t="shared" si="0"/>
        <v>247</v>
      </c>
      <c r="U4" s="7">
        <f t="shared" si="0"/>
        <v>251</v>
      </c>
      <c r="V4" s="7">
        <f t="shared" si="0"/>
        <v>244</v>
      </c>
      <c r="W4" s="7">
        <f t="shared" si="0"/>
        <v>7.0516078431372557</v>
      </c>
      <c r="X4" s="7">
        <f t="shared" si="0"/>
        <v>7.6382745098039218</v>
      </c>
      <c r="Y4" s="7">
        <f t="shared" si="0"/>
        <v>6.8894117647058826</v>
      </c>
      <c r="Z4" s="7">
        <f t="shared" si="0"/>
        <v>0</v>
      </c>
      <c r="AA4" s="7">
        <f t="shared" si="0"/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0</v>
      </c>
      <c r="AL4" s="7">
        <f t="shared" si="0"/>
        <v>0</v>
      </c>
      <c r="AM4" s="7">
        <f t="shared" si="0"/>
        <v>0</v>
      </c>
      <c r="AN4" s="7">
        <f t="shared" si="0"/>
        <v>0</v>
      </c>
      <c r="AO4" s="7">
        <f t="shared" si="0"/>
        <v>0</v>
      </c>
      <c r="AP4" s="7">
        <f t="shared" si="0"/>
        <v>0</v>
      </c>
      <c r="AQ4" s="7">
        <f t="shared" si="0"/>
        <v>0</v>
      </c>
      <c r="AR4" s="7">
        <f t="shared" si="0"/>
        <v>0</v>
      </c>
      <c r="AS4" s="7">
        <f t="shared" si="0"/>
        <v>0</v>
      </c>
      <c r="AT4" s="7">
        <f t="shared" si="0"/>
        <v>0</v>
      </c>
      <c r="AU4" s="7"/>
      <c r="BA4" s="7"/>
    </row>
    <row r="5" spans="1:162" ht="15.75" x14ac:dyDescent="0.25">
      <c r="A5" s="1">
        <v>43367</v>
      </c>
      <c r="B5" s="14"/>
      <c r="C5" s="14"/>
      <c r="D5" s="7"/>
      <c r="E5" s="14"/>
      <c r="F5" s="14"/>
      <c r="G5" s="110"/>
      <c r="H5" s="7"/>
      <c r="I5" s="7"/>
      <c r="J5" s="7"/>
      <c r="K5" s="111"/>
      <c r="L5" s="7"/>
      <c r="M5" s="7"/>
      <c r="N5" s="7"/>
      <c r="O5" s="7"/>
      <c r="P5" s="7"/>
      <c r="Q5" s="7"/>
      <c r="R5" s="7"/>
      <c r="S5" s="7"/>
      <c r="AA5" s="2">
        <f t="shared" ref="AA5:AA10" si="1">AVERAGE(B5,D5,E5,F5,)</f>
        <v>0</v>
      </c>
      <c r="AB5" s="2"/>
      <c r="AC5" s="2"/>
      <c r="AD5" s="7">
        <f>((AVERAGE(AA5,AC5)*('Summary Page'!$C$2+1))*('Summary Page'!$C$2+1))*('Summary Page'!$C$2+1)</f>
        <v>0</v>
      </c>
      <c r="AE5" s="7">
        <f>((AVERAGE(AA5,AC5)*('Summary Page'!$C$3+1))*('Summary Page'!$C$3+1))*('Summary Page'!$C$3+1)</f>
        <v>0</v>
      </c>
      <c r="AF5" s="7">
        <f>((AVERAGE(AA5,AC5)*('Summary Page'!$C$4+1))*('Summary Page'!$C$4+1))*('Summary Page'!$C$4+1)</f>
        <v>0</v>
      </c>
      <c r="AI5" s="7"/>
      <c r="AJ5" s="7" t="e">
        <f>((AVERAGE(B5,AI5)*('Summary Page'!$C$2+1))*('Summary Page'!$C$2+1))*('Summary Page'!$C$2+1)</f>
        <v>#DIV/0!</v>
      </c>
      <c r="AK5" s="7" t="e">
        <f>((AVERAGE(B5,AI5)*('Summary Page'!$C$3+1))*('Summary Page'!$C$3+1))*('Summary Page'!$C$3+1)</f>
        <v>#DIV/0!</v>
      </c>
      <c r="AL5" s="8" t="e">
        <f>((AVERAGE(B5,AI5)*('Summary Page'!$C$4+1))*('Summary Page'!$C$4+1))*('Summary Page'!$C$4+1)</f>
        <v>#DIV/0!</v>
      </c>
      <c r="AO5" s="7"/>
      <c r="AP5" s="7" t="e">
        <f>((AVERAGE(C5,AO5)*('Summary Page'!$C$2+1))*('Summary Page'!$C$2+1))*('Summary Page'!$C$2+1)</f>
        <v>#DIV/0!</v>
      </c>
      <c r="AQ5" s="7" t="e">
        <f>((AVERAGE(C5,AO5)*('Summary Page'!$C$3+1))*('Summary Page'!$C$3+1))*('Summary Page'!$C$3+1)</f>
        <v>#DIV/0!</v>
      </c>
      <c r="AR5" s="8" t="e">
        <f>((AVERAGE(C5,AO5)*('Summary Page'!$C$4+1))*('Summary Page'!$C$4+1))*('Summary Page'!$C$4+1)</f>
        <v>#DIV/0!</v>
      </c>
      <c r="AU5" s="7"/>
      <c r="AV5" s="7" t="e">
        <f>((AVERAGE(D5,AU5)*('Summary Page'!$C$2+1))*('Summary Page'!$C$2+1))*('Summary Page'!$C$2+1)</f>
        <v>#DIV/0!</v>
      </c>
      <c r="AW5" s="7" t="e">
        <f>((AVERAGE(D5,AU5)*('Summary Page'!$C$3+1))*('Summary Page'!$C$3+1))*('Summary Page'!$C$3+1)</f>
        <v>#DIV/0!</v>
      </c>
      <c r="AX5" s="7" t="e">
        <f>((AVERAGE(D5,AU5)*('Summary Page'!$C$4+1))*('Summary Page'!$C$4+1))*('Summary Page'!$C$4+1)</f>
        <v>#DIV/0!</v>
      </c>
      <c r="BA5" s="7"/>
      <c r="BB5" s="7" t="e">
        <f>((AVERAGE(E5,BA5)*('Summary Page'!$C$2+1))*('Summary Page'!$C$2+1))*('Summary Page'!$C$2+1)</f>
        <v>#DIV/0!</v>
      </c>
      <c r="BC5" s="7" t="e">
        <f>((AVERAGE(E5,BA5)*('Summary Page'!$C$3+1))*('Summary Page'!$C$3+1))*('Summary Page'!$C$3+1)</f>
        <v>#DIV/0!</v>
      </c>
      <c r="BD5" s="8" t="e">
        <f>((AVERAGE(E5,BA5)*('Summary Page'!$C$4+1))*('Summary Page'!$C$4+1))*('Summary Page'!$C$4+1)</f>
        <v>#DIV/0!</v>
      </c>
      <c r="BG5" s="7"/>
      <c r="BH5" s="7" t="e">
        <f>((AVERAGE(F5,BG5)*('Summary Page'!$C$2+1))*('Summary Page'!$C$2+1))*('Summary Page'!$C$2+1)</f>
        <v>#DIV/0!</v>
      </c>
      <c r="BI5" s="7" t="e">
        <f>((AVERAGE(F5,BG5)*('Summary Page'!$C$3+1))*('Summary Page'!$C$3+1))*('Summary Page'!$C$3+1)</f>
        <v>#DIV/0!</v>
      </c>
      <c r="BJ5" s="8" t="e">
        <f>((AVERAGE(F5,BG5)*('Summary Page'!$C$4+1))*('Summary Page'!$C$4+1))*('Summary Page'!$C$4+1)</f>
        <v>#DIV/0!</v>
      </c>
      <c r="BM5" s="7"/>
      <c r="BN5" s="7" t="e">
        <f>((AVERAGE(Q5,BM5)*('Summary Page'!$C$2+1))*('Summary Page'!$C$2+1))*('Summary Page'!$C$2+1)</f>
        <v>#DIV/0!</v>
      </c>
      <c r="BO5" s="7" t="e">
        <f>((AVERAGE(Q5,BM5)*('Summary Page'!$C$3+1))*('Summary Page'!$C$3+1))*('Summary Page'!$C$3+1)</f>
        <v>#DIV/0!</v>
      </c>
      <c r="BP5" s="8" t="e">
        <f>((AVERAGE(Q5,BM5)*('Summary Page'!$C$4+1))*('Summary Page'!$C$4+1))*('Summary Page'!$C$4+1)</f>
        <v>#DIV/0!</v>
      </c>
      <c r="BS5" s="7"/>
      <c r="BT5" s="7" t="e">
        <f>((AVERAGE(T5,BS5)*('Summary Page'!$C$2+1))*('Summary Page'!$C$2+1))*('Summary Page'!$C$2+1)</f>
        <v>#DIV/0!</v>
      </c>
      <c r="BU5" s="7" t="e">
        <f>((AVERAGE(T5,BS5)*('Summary Page'!$C$3+1))*('Summary Page'!$C$3+1))*('Summary Page'!$C$3+1)</f>
        <v>#DIV/0!</v>
      </c>
      <c r="BV5" s="8" t="e">
        <f>((AVERAGE(T5,BS5)*('Summary Page'!$C$4+1))*('Summary Page'!$C$4+1))*('Summary Page'!$C$4+1)</f>
        <v>#DIV/0!</v>
      </c>
      <c r="BW5" s="9"/>
    </row>
    <row r="6" spans="1:162" ht="15.75" x14ac:dyDescent="0.25">
      <c r="A6" s="1">
        <v>43381</v>
      </c>
      <c r="B6" s="14"/>
      <c r="C6" s="14"/>
      <c r="D6" s="7"/>
      <c r="E6" s="14"/>
      <c r="F6" s="14"/>
      <c r="G6" s="110"/>
      <c r="H6" s="7"/>
      <c r="I6" s="7"/>
      <c r="J6" s="7"/>
      <c r="K6" s="111"/>
      <c r="L6" s="7"/>
      <c r="M6" s="7"/>
      <c r="N6" s="7"/>
      <c r="O6" s="7"/>
      <c r="P6" s="7"/>
      <c r="Q6" s="7"/>
      <c r="R6" s="7"/>
      <c r="S6" s="7"/>
      <c r="AA6" s="2">
        <f t="shared" si="1"/>
        <v>0</v>
      </c>
      <c r="AB6" s="2"/>
      <c r="AC6" s="2"/>
      <c r="AD6" s="7">
        <f>((AVERAGE(AA6,AC6)*('Summary Page'!$C$2+1))*('Summary Page'!$C$2+1))*('Summary Page'!$C$2+1)</f>
        <v>0</v>
      </c>
      <c r="AE6" s="7">
        <f>((AVERAGE(AA6,AC6)*('Summary Page'!$C$3+1))*('Summary Page'!$C$3+1))*('Summary Page'!$C$3+1)</f>
        <v>0</v>
      </c>
      <c r="AF6" s="7">
        <f>((AVERAGE(AA6,AC6)*('Summary Page'!$C$4+1))*('Summary Page'!$C$4+1))*('Summary Page'!$C$4+1)</f>
        <v>0</v>
      </c>
      <c r="AI6" s="7"/>
      <c r="AJ6" s="7" t="e">
        <f>((AVERAGE(B6,AI6)*('Summary Page'!$C$2+1))*('Summary Page'!$C$2+1))*('Summary Page'!$C$2+1)</f>
        <v>#DIV/0!</v>
      </c>
      <c r="AK6" s="7" t="e">
        <f>((AVERAGE(B6,AI6)*('Summary Page'!$C$3+1))*('Summary Page'!$C$3+1))*('Summary Page'!$C$3+1)</f>
        <v>#DIV/0!</v>
      </c>
      <c r="AL6" s="8" t="e">
        <f>((AVERAGE(B6,AI6)*('Summary Page'!$C$4+1))*('Summary Page'!$C$4+1))*('Summary Page'!$C$4+1)</f>
        <v>#DIV/0!</v>
      </c>
      <c r="AO6" s="7"/>
      <c r="AP6" s="7" t="e">
        <f>((AVERAGE(C6,AO6)*('Summary Page'!$C$2+1))*('Summary Page'!$C$2+1))*('Summary Page'!$C$2+1)</f>
        <v>#DIV/0!</v>
      </c>
      <c r="AQ6" s="7" t="e">
        <f>((AVERAGE(C6,AO6)*('Summary Page'!$C$3+1))*('Summary Page'!$C$3+1))*('Summary Page'!$C$3+1)</f>
        <v>#DIV/0!</v>
      </c>
      <c r="AR6" s="8" t="e">
        <f>((AVERAGE(C6,AO6)*('Summary Page'!$C$4+1))*('Summary Page'!$C$4+1))*('Summary Page'!$C$4+1)</f>
        <v>#DIV/0!</v>
      </c>
      <c r="AU6" s="7"/>
      <c r="AV6" s="7" t="e">
        <f>((AVERAGE(D6,AU6)*('Summary Page'!$C$2+1))*('Summary Page'!$C$2+1))*('Summary Page'!$C$2+1)</f>
        <v>#DIV/0!</v>
      </c>
      <c r="AW6" s="7" t="e">
        <f>((AVERAGE(D6,AU6)*('Summary Page'!$C$3+1))*('Summary Page'!$C$3+1))*('Summary Page'!$C$3+1)</f>
        <v>#DIV/0!</v>
      </c>
      <c r="AX6" s="7" t="e">
        <f>((AVERAGE(D6,AU6)*('Summary Page'!$C$4+1))*('Summary Page'!$C$4+1))*('Summary Page'!$C$4+1)</f>
        <v>#DIV/0!</v>
      </c>
      <c r="BA6" s="7"/>
      <c r="BB6" s="7" t="e">
        <f>((AVERAGE(E6,BA6)*('Summary Page'!$C$2+1))*('Summary Page'!$C$2+1))*('Summary Page'!$C$2+1)</f>
        <v>#DIV/0!</v>
      </c>
      <c r="BC6" s="7" t="e">
        <f>((AVERAGE(E6,BA6)*('Summary Page'!$C$3+1))*('Summary Page'!$C$3+1))*('Summary Page'!$C$3+1)</f>
        <v>#DIV/0!</v>
      </c>
      <c r="BD6" s="8" t="e">
        <f>((AVERAGE(E6,BA6)*('Summary Page'!$C$4+1))*('Summary Page'!$C$4+1))*('Summary Page'!$C$4+1)</f>
        <v>#DIV/0!</v>
      </c>
      <c r="BG6" s="7"/>
      <c r="BH6" s="7" t="e">
        <f>((AVERAGE(F6,BG6)*('Summary Page'!$C$2+1))*('Summary Page'!$C$2+1))*('Summary Page'!$C$2+1)</f>
        <v>#DIV/0!</v>
      </c>
      <c r="BI6" s="7" t="e">
        <f>((AVERAGE(F6,BG6)*('Summary Page'!$C$3+1))*('Summary Page'!$C$3+1))*('Summary Page'!$C$3+1)</f>
        <v>#DIV/0!</v>
      </c>
      <c r="BJ6" s="8" t="e">
        <f>((AVERAGE(F6,BG6)*('Summary Page'!$C$4+1))*('Summary Page'!$C$4+1))*('Summary Page'!$C$4+1)</f>
        <v>#DIV/0!</v>
      </c>
      <c r="BM6" s="7"/>
      <c r="BN6" s="7" t="e">
        <f>((AVERAGE(Q6,BM6)*('Summary Page'!$C$2+1))*('Summary Page'!$C$2+1))*('Summary Page'!$C$2+1)</f>
        <v>#DIV/0!</v>
      </c>
      <c r="BO6" s="7" t="e">
        <f>((AVERAGE(Q6,BM6)*('Summary Page'!$C$3+1))*('Summary Page'!$C$3+1))*('Summary Page'!$C$3+1)</f>
        <v>#DIV/0!</v>
      </c>
      <c r="BP6" s="8" t="e">
        <f>((AVERAGE(Q6,BM6)*('Summary Page'!$C$4+1))*('Summary Page'!$C$4+1))*('Summary Page'!$C$4+1)</f>
        <v>#DIV/0!</v>
      </c>
      <c r="BS6" s="7"/>
      <c r="BT6" s="7" t="e">
        <f>((AVERAGE(T6,BS6)*('Summary Page'!$C$2+1))*('Summary Page'!$C$2+1))*('Summary Page'!$C$2+1)</f>
        <v>#DIV/0!</v>
      </c>
      <c r="BU6" s="7" t="e">
        <f>((AVERAGE(T6,BS6)*('Summary Page'!$C$3+1))*('Summary Page'!$C$3+1))*('Summary Page'!$C$3+1)</f>
        <v>#DIV/0!</v>
      </c>
      <c r="BV6" s="8" t="e">
        <f>((AVERAGE(T6,BS6)*('Summary Page'!$C$4+1))*('Summary Page'!$C$4+1))*('Summary Page'!$C$4+1)</f>
        <v>#DIV/0!</v>
      </c>
      <c r="BW6" s="9"/>
    </row>
    <row r="7" spans="1:162" ht="15.75" x14ac:dyDescent="0.25">
      <c r="A7" s="1">
        <v>43402</v>
      </c>
      <c r="B7" s="14"/>
      <c r="C7" s="14"/>
      <c r="D7" s="7"/>
      <c r="E7" s="14"/>
      <c r="F7" s="14"/>
      <c r="G7" s="112"/>
      <c r="H7" s="15"/>
      <c r="I7" s="15"/>
      <c r="J7" s="15"/>
      <c r="K7" s="113"/>
      <c r="L7" s="15"/>
      <c r="M7" s="15"/>
      <c r="N7" s="15"/>
      <c r="O7" s="15"/>
      <c r="P7" s="15"/>
      <c r="Q7" s="7"/>
      <c r="R7" s="15"/>
      <c r="S7" s="15"/>
      <c r="AA7" s="2">
        <f t="shared" si="1"/>
        <v>0</v>
      </c>
      <c r="AB7" s="2"/>
      <c r="AC7" s="2"/>
      <c r="AD7" s="7">
        <f>((AVERAGE(AA7,AC7)*('Summary Page'!$C$2+1))*('Summary Page'!$C$2+1))*('Summary Page'!$C$2+1)</f>
        <v>0</v>
      </c>
      <c r="AE7" s="7">
        <f>((AVERAGE(AA7,AC7)*('Summary Page'!$C$3+1))*('Summary Page'!$C$3+1))*('Summary Page'!$C$3+1)</f>
        <v>0</v>
      </c>
      <c r="AF7" s="7">
        <f>((AVERAGE(AA7,AC7)*('Summary Page'!$C$4+1))*('Summary Page'!$C$4+1))*('Summary Page'!$C$4+1)</f>
        <v>0</v>
      </c>
      <c r="AI7" s="15"/>
      <c r="AJ7" s="7" t="e">
        <f>((AVERAGE(B7,AI7)*('Summary Page'!$C$2+1))*('Summary Page'!$C$2+1))*('Summary Page'!$C$2+1)</f>
        <v>#DIV/0!</v>
      </c>
      <c r="AK7" s="7" t="e">
        <f>((AVERAGE(B7,AI7)*('Summary Page'!$C$3+1))*('Summary Page'!$C$3+1))*('Summary Page'!$C$3+1)</f>
        <v>#DIV/0!</v>
      </c>
      <c r="AL7" s="8" t="e">
        <f>((AVERAGE(B7,AI7)*('Summary Page'!$C$4+1))*('Summary Page'!$C$4+1))*('Summary Page'!$C$4+1)</f>
        <v>#DIV/0!</v>
      </c>
      <c r="AO7" s="15"/>
      <c r="AP7" s="7" t="e">
        <f>((AVERAGE(C7,AO7)*('Summary Page'!$C$2+1))*('Summary Page'!$C$2+1))*('Summary Page'!$C$2+1)</f>
        <v>#DIV/0!</v>
      </c>
      <c r="AQ7" s="7" t="e">
        <f>((AVERAGE(C7,AO7)*('Summary Page'!$C$3+1))*('Summary Page'!$C$3+1))*('Summary Page'!$C$3+1)</f>
        <v>#DIV/0!</v>
      </c>
      <c r="AR7" s="8" t="e">
        <f>((AVERAGE(C7,AO7)*('Summary Page'!$C$4+1))*('Summary Page'!$C$4+1))*('Summary Page'!$C$4+1)</f>
        <v>#DIV/0!</v>
      </c>
      <c r="AU7" s="15"/>
      <c r="AV7" s="7" t="e">
        <f>((AVERAGE(D7,AU7)*('Summary Page'!$C$2+1))*('Summary Page'!$C$2+1))*('Summary Page'!$C$2+1)</f>
        <v>#DIV/0!</v>
      </c>
      <c r="AW7" s="7" t="e">
        <f>((AVERAGE(D7,AU7)*('Summary Page'!$C$3+1))*('Summary Page'!$C$3+1))*('Summary Page'!$C$3+1)</f>
        <v>#DIV/0!</v>
      </c>
      <c r="AX7" s="7" t="e">
        <f>((AVERAGE(D7,AU7)*('Summary Page'!$C$4+1))*('Summary Page'!$C$4+1))*('Summary Page'!$C$4+1)</f>
        <v>#DIV/0!</v>
      </c>
      <c r="BA7" s="15"/>
      <c r="BB7" s="7" t="e">
        <f>((AVERAGE(E7,BA7)*('Summary Page'!$C$2+1))*('Summary Page'!$C$2+1))*('Summary Page'!$C$2+1)</f>
        <v>#DIV/0!</v>
      </c>
      <c r="BC7" s="7" t="e">
        <f>((AVERAGE(E7,BA7)*('Summary Page'!$C$3+1))*('Summary Page'!$C$3+1))*('Summary Page'!$C$3+1)</f>
        <v>#DIV/0!</v>
      </c>
      <c r="BD7" s="8" t="e">
        <f>((AVERAGE(E7,BA7)*('Summary Page'!$C$4+1))*('Summary Page'!$C$4+1))*('Summary Page'!$C$4+1)</f>
        <v>#DIV/0!</v>
      </c>
      <c r="BG7" s="15"/>
      <c r="BH7" s="7" t="e">
        <f>((AVERAGE(F7,BG7)*('Summary Page'!$C$2+1))*('Summary Page'!$C$2+1))*('Summary Page'!$C$2+1)</f>
        <v>#DIV/0!</v>
      </c>
      <c r="BI7" s="7" t="e">
        <f>((AVERAGE(F7,BG7)*('Summary Page'!$C$3+1))*('Summary Page'!$C$3+1))*('Summary Page'!$C$3+1)</f>
        <v>#DIV/0!</v>
      </c>
      <c r="BJ7" s="8" t="e">
        <f>((AVERAGE(F7,BG7)*('Summary Page'!$C$4+1))*('Summary Page'!$C$4+1))*('Summary Page'!$C$4+1)</f>
        <v>#DIV/0!</v>
      </c>
      <c r="BM7" s="15"/>
      <c r="BN7" s="7" t="e">
        <f>((AVERAGE(Q7,BM7)*('Summary Page'!$C$2+1))*('Summary Page'!$C$2+1))*('Summary Page'!$C$2+1)</f>
        <v>#DIV/0!</v>
      </c>
      <c r="BO7" s="7" t="e">
        <f>((AVERAGE(Q7,BM7)*('Summary Page'!$C$3+1))*('Summary Page'!$C$3+1))*('Summary Page'!$C$3+1)</f>
        <v>#DIV/0!</v>
      </c>
      <c r="BP7" s="8" t="e">
        <f>((AVERAGE(Q7,BM7)*('Summary Page'!$C$4+1))*('Summary Page'!$C$4+1))*('Summary Page'!$C$4+1)</f>
        <v>#DIV/0!</v>
      </c>
      <c r="BS7" s="15"/>
      <c r="BT7" s="7" t="e">
        <f>((AVERAGE(T7,BS7)*('Summary Page'!$C$2+1))*('Summary Page'!$C$2+1))*('Summary Page'!$C$2+1)</f>
        <v>#DIV/0!</v>
      </c>
      <c r="BU7" s="7" t="e">
        <f>((AVERAGE(T7,BS7)*('Summary Page'!$C$3+1))*('Summary Page'!$C$3+1))*('Summary Page'!$C$3+1)</f>
        <v>#DIV/0!</v>
      </c>
      <c r="BV7" s="8" t="e">
        <f>((AVERAGE(T7,BS7)*('Summary Page'!$C$4+1))*('Summary Page'!$C$4+1))*('Summary Page'!$C$4+1)</f>
        <v>#DIV/0!</v>
      </c>
      <c r="BW7" s="9"/>
    </row>
    <row r="8" spans="1:162" ht="15.75" x14ac:dyDescent="0.25">
      <c r="A8" s="1">
        <v>43409</v>
      </c>
      <c r="B8" s="14"/>
      <c r="C8" s="14"/>
      <c r="D8" s="7"/>
      <c r="E8" s="14"/>
      <c r="F8" s="14"/>
      <c r="G8" s="110"/>
      <c r="H8" s="7"/>
      <c r="I8" s="7"/>
      <c r="J8" s="7"/>
      <c r="K8" s="111"/>
      <c r="L8" s="7"/>
      <c r="M8" s="7"/>
      <c r="N8" s="7"/>
      <c r="O8" s="7"/>
      <c r="P8" s="7"/>
      <c r="Q8" s="7"/>
      <c r="R8" s="7"/>
      <c r="S8" s="7"/>
      <c r="AA8" s="2">
        <f t="shared" si="1"/>
        <v>0</v>
      </c>
      <c r="AB8" s="2"/>
      <c r="AC8" s="2"/>
      <c r="AD8" s="7">
        <f>((AVERAGE(AA8,AC8)*('Summary Page'!$C$2+1))*('Summary Page'!$C$2+1))*('Summary Page'!$C$2+1)</f>
        <v>0</v>
      </c>
      <c r="AE8" s="7">
        <f>((AVERAGE(AA8,AC8)*('Summary Page'!$C$3+1))*('Summary Page'!$C$3+1))*('Summary Page'!$C$3+1)</f>
        <v>0</v>
      </c>
      <c r="AF8" s="7">
        <f>((AVERAGE(AA8,AC8)*('Summary Page'!$C$4+1))*('Summary Page'!$C$4+1))*('Summary Page'!$C$4+1)</f>
        <v>0</v>
      </c>
      <c r="AI8" s="7"/>
      <c r="AJ8" s="7" t="e">
        <f>((AVERAGE(B8,AI8)*('Summary Page'!$C$2+1))*('Summary Page'!$C$2+1))*('Summary Page'!$C$2+1)</f>
        <v>#DIV/0!</v>
      </c>
      <c r="AK8" s="7" t="e">
        <f>((AVERAGE(B8,AI8)*('Summary Page'!$C$3+1))*('Summary Page'!$C$3+1))*('Summary Page'!$C$3+1)</f>
        <v>#DIV/0!</v>
      </c>
      <c r="AL8" s="8" t="e">
        <f>((AVERAGE(B8,AI8)*('Summary Page'!$C$4+1))*('Summary Page'!$C$4+1))*('Summary Page'!$C$4+1)</f>
        <v>#DIV/0!</v>
      </c>
      <c r="AO8" s="7"/>
      <c r="AP8" s="7" t="e">
        <f>((AVERAGE(C8,AO8)*('Summary Page'!$C$2+1))*('Summary Page'!$C$2+1))*('Summary Page'!$C$2+1)</f>
        <v>#DIV/0!</v>
      </c>
      <c r="AQ8" s="7" t="e">
        <f>((AVERAGE(C8,AO8)*('Summary Page'!$C$3+1))*('Summary Page'!$C$3+1))*('Summary Page'!$C$3+1)</f>
        <v>#DIV/0!</v>
      </c>
      <c r="AR8" s="8" t="e">
        <f>((AVERAGE(C8,AO8)*('Summary Page'!$C$4+1))*('Summary Page'!$C$4+1))*('Summary Page'!$C$4+1)</f>
        <v>#DIV/0!</v>
      </c>
      <c r="AU8" s="7"/>
      <c r="AV8" s="7" t="e">
        <f>((AVERAGE(D8,AU8)*('Summary Page'!$C$2+1))*('Summary Page'!$C$2+1))*('Summary Page'!$C$2+1)</f>
        <v>#DIV/0!</v>
      </c>
      <c r="AW8" s="7" t="e">
        <f>((AVERAGE(D8,AU8)*('Summary Page'!$C$3+1))*('Summary Page'!$C$3+1))*('Summary Page'!$C$3+1)</f>
        <v>#DIV/0!</v>
      </c>
      <c r="AX8" s="7" t="e">
        <f>((AVERAGE(D8,AU8)*('Summary Page'!$C$4+1))*('Summary Page'!$C$4+1))*('Summary Page'!$C$4+1)</f>
        <v>#DIV/0!</v>
      </c>
      <c r="BA8" s="7"/>
      <c r="BB8" s="7" t="e">
        <f>((AVERAGE(E8,BA8)*('Summary Page'!$C$2+1))*('Summary Page'!$C$2+1))*('Summary Page'!$C$2+1)</f>
        <v>#DIV/0!</v>
      </c>
      <c r="BC8" s="7" t="e">
        <f>((AVERAGE(E8,BA8)*('Summary Page'!$C$3+1))*('Summary Page'!$C$3+1))*('Summary Page'!$C$3+1)</f>
        <v>#DIV/0!</v>
      </c>
      <c r="BD8" s="8" t="e">
        <f>((AVERAGE(E8,BA8)*('Summary Page'!$C$4+1))*('Summary Page'!$C$4+1))*('Summary Page'!$C$4+1)</f>
        <v>#DIV/0!</v>
      </c>
      <c r="BG8" s="7"/>
      <c r="BH8" s="7" t="e">
        <f>((AVERAGE(F8,BG8)*('Summary Page'!$C$2+1))*('Summary Page'!$C$2+1))*('Summary Page'!$C$2+1)</f>
        <v>#DIV/0!</v>
      </c>
      <c r="BI8" s="7" t="e">
        <f>((AVERAGE(F8,BG8)*('Summary Page'!$C$3+1))*('Summary Page'!$C$3+1))*('Summary Page'!$C$3+1)</f>
        <v>#DIV/0!</v>
      </c>
      <c r="BJ8" s="8" t="e">
        <f>((AVERAGE(F8,BG8)*('Summary Page'!$C$4+1))*('Summary Page'!$C$4+1))*('Summary Page'!$C$4+1)</f>
        <v>#DIV/0!</v>
      </c>
      <c r="BM8" s="7"/>
      <c r="BN8" s="7" t="e">
        <f>((AVERAGE(Q8,BM8)*('Summary Page'!$C$2+1))*('Summary Page'!$C$2+1))*('Summary Page'!$C$2+1)</f>
        <v>#DIV/0!</v>
      </c>
      <c r="BO8" s="7" t="e">
        <f>((AVERAGE(Q8,BM8)*('Summary Page'!$C$3+1))*('Summary Page'!$C$3+1))*('Summary Page'!$C$3+1)</f>
        <v>#DIV/0!</v>
      </c>
      <c r="BP8" s="8" t="e">
        <f>((AVERAGE(Q8,BM8)*('Summary Page'!$C$4+1))*('Summary Page'!$C$4+1))*('Summary Page'!$C$4+1)</f>
        <v>#DIV/0!</v>
      </c>
      <c r="BS8" s="7"/>
      <c r="BT8" s="7" t="e">
        <f>((AVERAGE(T8,BS8)*('Summary Page'!$C$2+1))*('Summary Page'!$C$2+1))*('Summary Page'!$C$2+1)</f>
        <v>#DIV/0!</v>
      </c>
      <c r="BU8" s="7" t="e">
        <f>((AVERAGE(T8,BS8)*('Summary Page'!$C$3+1))*('Summary Page'!$C$3+1))*('Summary Page'!$C$3+1)</f>
        <v>#DIV/0!</v>
      </c>
      <c r="BV8" s="8" t="e">
        <f>((AVERAGE(T8,BS8)*('Summary Page'!$C$4+1))*('Summary Page'!$C$4+1))*('Summary Page'!$C$4+1)</f>
        <v>#DIV/0!</v>
      </c>
      <c r="BW8" s="9"/>
    </row>
    <row r="9" spans="1:162" ht="15.75" x14ac:dyDescent="0.25">
      <c r="A9" s="1">
        <v>43423</v>
      </c>
      <c r="B9" s="14"/>
      <c r="C9" s="14"/>
      <c r="D9" s="7"/>
      <c r="E9" s="14"/>
      <c r="F9" s="14"/>
      <c r="G9" s="110"/>
      <c r="H9" s="7"/>
      <c r="I9" s="7"/>
      <c r="J9" s="7"/>
      <c r="K9" s="111"/>
      <c r="L9" s="7"/>
      <c r="M9" s="7"/>
      <c r="N9" s="7"/>
      <c r="O9" s="7"/>
      <c r="P9" s="7"/>
      <c r="Q9" s="7"/>
      <c r="R9" s="7"/>
      <c r="S9" s="7"/>
      <c r="AA9" s="2">
        <f t="shared" si="1"/>
        <v>0</v>
      </c>
      <c r="AB9" s="2"/>
      <c r="AC9" s="2"/>
      <c r="AD9" s="7">
        <f>((AVERAGE(AA9,AC9)*('Summary Page'!$C$2+1))*('Summary Page'!$C$2+1))*('Summary Page'!$C$2+1)</f>
        <v>0</v>
      </c>
      <c r="AE9" s="7">
        <f>((AVERAGE(AA9,AC9)*('Summary Page'!$C$3+1))*('Summary Page'!$C$3+1))*('Summary Page'!$C$3+1)</f>
        <v>0</v>
      </c>
      <c r="AF9" s="7">
        <f>((AVERAGE(AA9,AC9)*('Summary Page'!$C$4+1))*('Summary Page'!$C$4+1))*('Summary Page'!$C$4+1)</f>
        <v>0</v>
      </c>
      <c r="AI9" s="7"/>
      <c r="AJ9" s="7" t="e">
        <f>((AVERAGE(B9,AI9)*('Summary Page'!$C$2+1))*('Summary Page'!$C$2+1))*('Summary Page'!$C$2+1)</f>
        <v>#DIV/0!</v>
      </c>
      <c r="AK9" s="7" t="e">
        <f>((AVERAGE(B9,AI9)*('Summary Page'!$C$3+1))*('Summary Page'!$C$3+1))*('Summary Page'!$C$3+1)</f>
        <v>#DIV/0!</v>
      </c>
      <c r="AL9" s="8" t="e">
        <f>((AVERAGE(B9,AI9)*('Summary Page'!$C$4+1))*('Summary Page'!$C$4+1))*('Summary Page'!$C$4+1)</f>
        <v>#DIV/0!</v>
      </c>
      <c r="AO9" s="7"/>
      <c r="AP9" s="7" t="e">
        <f>((AVERAGE(C9,AO9)*('Summary Page'!$C$2+1))*('Summary Page'!$C$2+1))*('Summary Page'!$C$2+1)</f>
        <v>#DIV/0!</v>
      </c>
      <c r="AQ9" s="7" t="e">
        <f>((AVERAGE(C9,AO9)*('Summary Page'!$C$3+1))*('Summary Page'!$C$3+1))*('Summary Page'!$C$3+1)</f>
        <v>#DIV/0!</v>
      </c>
      <c r="AR9" s="8" t="e">
        <f>((AVERAGE(C9,AO9)*('Summary Page'!$C$4+1))*('Summary Page'!$C$4+1))*('Summary Page'!$C$4+1)</f>
        <v>#DIV/0!</v>
      </c>
      <c r="AU9" s="7"/>
      <c r="AV9" s="7" t="e">
        <f>((AVERAGE(D9,AU9)*('Summary Page'!$C$2+1))*('Summary Page'!$C$2+1))*('Summary Page'!$C$2+1)</f>
        <v>#DIV/0!</v>
      </c>
      <c r="AW9" s="7" t="e">
        <f>((AVERAGE(D9,AU9)*('Summary Page'!$C$3+1))*('Summary Page'!$C$3+1))*('Summary Page'!$C$3+1)</f>
        <v>#DIV/0!</v>
      </c>
      <c r="AX9" s="7" t="e">
        <f>((AVERAGE(D9,AU9)*('Summary Page'!$C$4+1))*('Summary Page'!$C$4+1))*('Summary Page'!$C$4+1)</f>
        <v>#DIV/0!</v>
      </c>
      <c r="BA9" s="7"/>
      <c r="BB9" s="7" t="e">
        <f>((AVERAGE(E9,BA9)*('Summary Page'!$C$2+1))*('Summary Page'!$C$2+1))*('Summary Page'!$C$2+1)</f>
        <v>#DIV/0!</v>
      </c>
      <c r="BC9" s="7" t="e">
        <f>((AVERAGE(E9,BA9)*('Summary Page'!$C$3+1))*('Summary Page'!$C$3+1))*('Summary Page'!$C$3+1)</f>
        <v>#DIV/0!</v>
      </c>
      <c r="BD9" s="8" t="e">
        <f>((AVERAGE(E9,BA9)*('Summary Page'!$C$4+1))*('Summary Page'!$C$4+1))*('Summary Page'!$C$4+1)</f>
        <v>#DIV/0!</v>
      </c>
      <c r="BG9" s="7"/>
      <c r="BH9" s="7" t="e">
        <f>((AVERAGE(F9,BG9)*('Summary Page'!$C$2+1))*('Summary Page'!$C$2+1))*('Summary Page'!$C$2+1)</f>
        <v>#DIV/0!</v>
      </c>
      <c r="BI9" s="7" t="e">
        <f>((AVERAGE(F9,BG9)*('Summary Page'!$C$3+1))*('Summary Page'!$C$3+1))*('Summary Page'!$C$3+1)</f>
        <v>#DIV/0!</v>
      </c>
      <c r="BJ9" s="8" t="e">
        <f>((AVERAGE(F9,BG9)*('Summary Page'!$C$4+1))*('Summary Page'!$C$4+1))*('Summary Page'!$C$4+1)</f>
        <v>#DIV/0!</v>
      </c>
      <c r="BM9" s="7"/>
      <c r="BN9" s="7" t="e">
        <f>((AVERAGE(Q9,BM9)*('Summary Page'!$C$2+1))*('Summary Page'!$C$2+1))*('Summary Page'!$C$2+1)</f>
        <v>#DIV/0!</v>
      </c>
      <c r="BO9" s="7" t="e">
        <f>((AVERAGE(Q9,BM9)*('Summary Page'!$C$3+1))*('Summary Page'!$C$3+1))*('Summary Page'!$C$3+1)</f>
        <v>#DIV/0!</v>
      </c>
      <c r="BP9" s="8" t="e">
        <f>((AVERAGE(Q9,BM9)*('Summary Page'!$C$4+1))*('Summary Page'!$C$4+1))*('Summary Page'!$C$4+1)</f>
        <v>#DIV/0!</v>
      </c>
      <c r="BS9" s="7"/>
      <c r="BT9" s="7" t="e">
        <f>((AVERAGE(T9,BS9)*('Summary Page'!$C$2+1))*('Summary Page'!$C$2+1))*('Summary Page'!$C$2+1)</f>
        <v>#DIV/0!</v>
      </c>
      <c r="BU9" s="7" t="e">
        <f>((AVERAGE(T9,BS9)*('Summary Page'!$C$3+1))*('Summary Page'!$C$3+1))*('Summary Page'!$C$3+1)</f>
        <v>#DIV/0!</v>
      </c>
      <c r="BV9" s="8" t="e">
        <f>((AVERAGE(T9,BS9)*('Summary Page'!$C$4+1))*('Summary Page'!$C$4+1))*('Summary Page'!$C$4+1)</f>
        <v>#DIV/0!</v>
      </c>
      <c r="BW9" s="9"/>
    </row>
    <row r="10" spans="1:162" ht="15.75" x14ac:dyDescent="0.25">
      <c r="A10" s="1">
        <v>43437</v>
      </c>
      <c r="B10" s="14"/>
      <c r="C10" s="14"/>
      <c r="D10" s="7"/>
      <c r="E10" s="14"/>
      <c r="F10" s="14"/>
      <c r="G10" s="110"/>
      <c r="H10" s="7"/>
      <c r="I10" s="7"/>
      <c r="J10" s="7"/>
      <c r="K10" s="111"/>
      <c r="L10" s="7"/>
      <c r="M10" s="7"/>
      <c r="N10" s="7"/>
      <c r="O10" s="7"/>
      <c r="P10" s="7"/>
      <c r="Q10" s="7"/>
      <c r="R10" s="7"/>
      <c r="S10" s="7"/>
      <c r="AA10" s="2">
        <f t="shared" si="1"/>
        <v>0</v>
      </c>
      <c r="AB10" s="2"/>
      <c r="AC10" s="2"/>
      <c r="AD10" s="7">
        <f>((AVERAGE(AA10,AC10)*('Summary Page'!$C$2+1))*('Summary Page'!$C$2+1))*('Summary Page'!$C$2+1)</f>
        <v>0</v>
      </c>
      <c r="AE10" s="7">
        <f>((AVERAGE(AA10,AC10)*('Summary Page'!$C$3+1))*('Summary Page'!$C$3+1))*('Summary Page'!$C$3+1)</f>
        <v>0</v>
      </c>
      <c r="AF10" s="7">
        <f>((AVERAGE(AA10,AC10)*('Summary Page'!$C$4+1))*('Summary Page'!$C$4+1))*('Summary Page'!$C$4+1)</f>
        <v>0</v>
      </c>
      <c r="AI10" s="7"/>
      <c r="AJ10" s="7" t="e">
        <f>((AVERAGE(B10,AI10)*('Summary Page'!$C$2+1))*('Summary Page'!$C$2+1))*('Summary Page'!$C$2+1)</f>
        <v>#DIV/0!</v>
      </c>
      <c r="AK10" s="7" t="e">
        <f>((AVERAGE(B10,AI10)*('Summary Page'!$C$3+1))*('Summary Page'!$C$3+1))*('Summary Page'!$C$3+1)</f>
        <v>#DIV/0!</v>
      </c>
      <c r="AL10" s="8" t="e">
        <f>((AVERAGE(B10,AI10)*('Summary Page'!$C$4+1))*('Summary Page'!$C$4+1))*('Summary Page'!$C$4+1)</f>
        <v>#DIV/0!</v>
      </c>
      <c r="AO10" s="7"/>
      <c r="AP10" s="7" t="e">
        <f>((AVERAGE(C10,AO10)*('Summary Page'!$C$2+1))*('Summary Page'!$C$2+1))*('Summary Page'!$C$2+1)</f>
        <v>#DIV/0!</v>
      </c>
      <c r="AQ10" s="7" t="e">
        <f>((AVERAGE(C10,AO10)*('Summary Page'!$C$3+1))*('Summary Page'!$C$3+1))*('Summary Page'!$C$3+1)</f>
        <v>#DIV/0!</v>
      </c>
      <c r="AR10" s="8" t="e">
        <f>((AVERAGE(C10,AO10)*('Summary Page'!$C$4+1))*('Summary Page'!$C$4+1))*('Summary Page'!$C$4+1)</f>
        <v>#DIV/0!</v>
      </c>
      <c r="AU10" s="7"/>
      <c r="AV10" s="7" t="e">
        <f>((AVERAGE(D10,AU10)*('Summary Page'!$C$2+1))*('Summary Page'!$C$2+1))*('Summary Page'!$C$2+1)</f>
        <v>#DIV/0!</v>
      </c>
      <c r="AW10" s="7" t="e">
        <f>((AVERAGE(D10,AU10)*('Summary Page'!$C$3+1))*('Summary Page'!$C$3+1))*('Summary Page'!$C$3+1)</f>
        <v>#DIV/0!</v>
      </c>
      <c r="AX10" s="7" t="e">
        <f>((AVERAGE(D10,AU10)*('Summary Page'!$C$4+1))*('Summary Page'!$C$4+1))*('Summary Page'!$C$4+1)</f>
        <v>#DIV/0!</v>
      </c>
      <c r="BA10" s="7"/>
      <c r="BB10" s="7" t="e">
        <f>((AVERAGE(E10,BA10)*('Summary Page'!$C$2+1))*('Summary Page'!$C$2+1))*('Summary Page'!$C$2+1)</f>
        <v>#DIV/0!</v>
      </c>
      <c r="BC10" s="7" t="e">
        <f>((AVERAGE(E10,BA10)*('Summary Page'!$C$3+1))*('Summary Page'!$C$3+1))*('Summary Page'!$C$3+1)</f>
        <v>#DIV/0!</v>
      </c>
      <c r="BD10" s="8" t="e">
        <f>((AVERAGE(E10,BA10)*('Summary Page'!$C$4+1))*('Summary Page'!$C$4+1))*('Summary Page'!$C$4+1)</f>
        <v>#DIV/0!</v>
      </c>
      <c r="BG10" s="7"/>
      <c r="BH10" s="7" t="e">
        <f>((AVERAGE(F10,BG10)*('Summary Page'!$C$2+1))*('Summary Page'!$C$2+1))*('Summary Page'!$C$2+1)</f>
        <v>#DIV/0!</v>
      </c>
      <c r="BI10" s="7" t="e">
        <f>((AVERAGE(F10,BG10)*('Summary Page'!$C$3+1))*('Summary Page'!$C$3+1))*('Summary Page'!$C$3+1)</f>
        <v>#DIV/0!</v>
      </c>
      <c r="BJ10" s="8" t="e">
        <f>((AVERAGE(F10,BG10)*('Summary Page'!$C$4+1))*('Summary Page'!$C$4+1))*('Summary Page'!$C$4+1)</f>
        <v>#DIV/0!</v>
      </c>
      <c r="BM10" s="7"/>
      <c r="BN10" s="7" t="e">
        <f>((AVERAGE(Q10,BM10)*('Summary Page'!$C$2+1))*('Summary Page'!$C$2+1))*('Summary Page'!$C$2+1)</f>
        <v>#DIV/0!</v>
      </c>
      <c r="BO10" s="7" t="e">
        <f>((AVERAGE(Q10,BM10)*('Summary Page'!$C$3+1))*('Summary Page'!$C$3+1))*('Summary Page'!$C$3+1)</f>
        <v>#DIV/0!</v>
      </c>
      <c r="BP10" s="8" t="e">
        <f>((AVERAGE(Q10,BM10)*('Summary Page'!$C$4+1))*('Summary Page'!$C$4+1))*('Summary Page'!$C$4+1)</f>
        <v>#DIV/0!</v>
      </c>
      <c r="BS10" s="7"/>
      <c r="BT10" s="7" t="e">
        <f>((AVERAGE(T10,BS10)*('Summary Page'!$C$2+1))*('Summary Page'!$C$2+1))*('Summary Page'!$C$2+1)</f>
        <v>#DIV/0!</v>
      </c>
      <c r="BU10" s="7" t="e">
        <f>((AVERAGE(T10,BS10)*('Summary Page'!$C$3+1))*('Summary Page'!$C$3+1))*('Summary Page'!$C$3+1)</f>
        <v>#DIV/0!</v>
      </c>
      <c r="BV10" s="8" t="e">
        <f>((AVERAGE(T10,BS10)*('Summary Page'!$C$4+1))*('Summary Page'!$C$4+1))*('Summary Page'!$C$4+1)</f>
        <v>#DIV/0!</v>
      </c>
      <c r="BW10" s="9"/>
    </row>
    <row r="11" spans="1:162" ht="15.75" x14ac:dyDescent="0.25">
      <c r="A11" s="1">
        <v>43451</v>
      </c>
      <c r="B11" s="14"/>
      <c r="C11" s="14"/>
      <c r="D11" s="7"/>
      <c r="E11" s="14"/>
      <c r="F11" s="14"/>
      <c r="G11" s="110"/>
      <c r="H11" s="7"/>
      <c r="I11" s="7"/>
      <c r="J11" s="7"/>
      <c r="K11" s="111"/>
      <c r="L11" s="7"/>
      <c r="M11" s="7"/>
      <c r="N11" s="7"/>
      <c r="O11" s="7"/>
      <c r="P11" s="7"/>
      <c r="Q11" s="7"/>
      <c r="R11" s="7"/>
      <c r="S11" s="7"/>
      <c r="AA11" s="2"/>
      <c r="AB11" s="2"/>
      <c r="AC11" s="2"/>
      <c r="AD11" s="7" t="e">
        <f>((AVERAGE(AA11,AC11)*('Summary Page'!$C$2+1))*('Summary Page'!$C$2+1))*('Summary Page'!$C$2+1)</f>
        <v>#DIV/0!</v>
      </c>
      <c r="AE11" s="7" t="e">
        <f>((AVERAGE(AA11,AC11)*('Summary Page'!$C$3+1))*('Summary Page'!$C$3+1))*('Summary Page'!$C$3+1)</f>
        <v>#DIV/0!</v>
      </c>
      <c r="AF11" s="7" t="e">
        <f>((AVERAGE(AA11,AC11)*('Summary Page'!$C$4+1))*('Summary Page'!$C$4+1))*('Summary Page'!$C$4+1)</f>
        <v>#DIV/0!</v>
      </c>
      <c r="AI11" s="7"/>
      <c r="AJ11" s="7" t="e">
        <f>((AVERAGE(B11,AI11)*('Summary Page'!$C$2+1))*('Summary Page'!$C$2+1))*('Summary Page'!$C$2+1)</f>
        <v>#DIV/0!</v>
      </c>
      <c r="AK11" s="7" t="e">
        <f>((AVERAGE(B11,AI11)*('Summary Page'!$C$3+1))*('Summary Page'!$C$3+1))*('Summary Page'!$C$3+1)</f>
        <v>#DIV/0!</v>
      </c>
      <c r="AL11" s="8" t="e">
        <f>((AVERAGE(B11,AI11)*('Summary Page'!$C$4+1))*('Summary Page'!$C$4+1))*('Summary Page'!$C$4+1)</f>
        <v>#DIV/0!</v>
      </c>
      <c r="AO11" s="7"/>
      <c r="AP11" s="7" t="e">
        <f>((AVERAGE(C11,AO11)*('Summary Page'!$C$2+1))*('Summary Page'!$C$2+1))*('Summary Page'!$C$2+1)</f>
        <v>#DIV/0!</v>
      </c>
      <c r="AQ11" s="7" t="e">
        <f>((AVERAGE(C11,AO11)*('Summary Page'!$C$3+1))*('Summary Page'!$C$3+1))*('Summary Page'!$C$3+1)</f>
        <v>#DIV/0!</v>
      </c>
      <c r="AR11" s="8" t="e">
        <f>((AVERAGE(C11,AO11)*('Summary Page'!$C$4+1))*('Summary Page'!$C$4+1))*('Summary Page'!$C$4+1)</f>
        <v>#DIV/0!</v>
      </c>
      <c r="AU11" s="7"/>
      <c r="AV11" s="7" t="e">
        <f>((AVERAGE(D11,AU11)*('Summary Page'!$C$2+1))*('Summary Page'!$C$2+1))*('Summary Page'!$C$2+1)</f>
        <v>#DIV/0!</v>
      </c>
      <c r="AW11" s="7" t="e">
        <f>((AVERAGE(D11,AU11)*('Summary Page'!$C$3+1))*('Summary Page'!$C$3+1))*('Summary Page'!$C$3+1)</f>
        <v>#DIV/0!</v>
      </c>
      <c r="AX11" s="7" t="e">
        <f>((AVERAGE(D11,AU11)*('Summary Page'!$C$4+1))*('Summary Page'!$C$4+1))*('Summary Page'!$C$4+1)</f>
        <v>#DIV/0!</v>
      </c>
      <c r="BA11" s="7"/>
      <c r="BB11" s="7" t="e">
        <f>((AVERAGE(E11,BA11)*('Summary Page'!$C$2+1))*('Summary Page'!$C$2+1))*('Summary Page'!$C$2+1)</f>
        <v>#DIV/0!</v>
      </c>
      <c r="BC11" s="7" t="e">
        <f>((AVERAGE(E11,BA11)*('Summary Page'!$C$3+1))*('Summary Page'!$C$3+1))*('Summary Page'!$C$3+1)</f>
        <v>#DIV/0!</v>
      </c>
      <c r="BD11" s="8" t="e">
        <f>((AVERAGE(E11,BA11)*('Summary Page'!$C$4+1))*('Summary Page'!$C$4+1))*('Summary Page'!$C$4+1)</f>
        <v>#DIV/0!</v>
      </c>
      <c r="BG11" s="7"/>
      <c r="BH11" s="7" t="e">
        <f>((AVERAGE(F11,BG11)*('Summary Page'!$C$2+1))*('Summary Page'!$C$2+1))*('Summary Page'!$C$2+1)</f>
        <v>#DIV/0!</v>
      </c>
      <c r="BI11" s="7" t="e">
        <f>((AVERAGE(F11,BG11)*('Summary Page'!$C$3+1))*('Summary Page'!$C$3+1))*('Summary Page'!$C$3+1)</f>
        <v>#DIV/0!</v>
      </c>
      <c r="BJ11" s="8" t="e">
        <f>((AVERAGE(F11,BG11)*('Summary Page'!$C$4+1))*('Summary Page'!$C$4+1))*('Summary Page'!$C$4+1)</f>
        <v>#DIV/0!</v>
      </c>
      <c r="BM11" s="7"/>
      <c r="BN11" s="7" t="e">
        <f>((AVERAGE(Q11,BM11)*('Summary Page'!$C$2+1))*('Summary Page'!$C$2+1))*('Summary Page'!$C$2+1)</f>
        <v>#DIV/0!</v>
      </c>
      <c r="BO11" s="7" t="e">
        <f>((AVERAGE(Q11,BM11)*('Summary Page'!$C$3+1))*('Summary Page'!$C$3+1))*('Summary Page'!$C$3+1)</f>
        <v>#DIV/0!</v>
      </c>
      <c r="BP11" s="8" t="e">
        <f>((AVERAGE(Q11,BM11)*('Summary Page'!$C$4+1))*('Summary Page'!$C$4+1))*('Summary Page'!$C$4+1)</f>
        <v>#DIV/0!</v>
      </c>
      <c r="BS11" s="7"/>
      <c r="BT11" s="7" t="e">
        <f>((AVERAGE(T11,BS11)*('Summary Page'!$C$2+1))*('Summary Page'!$C$2+1))*('Summary Page'!$C$2+1)</f>
        <v>#DIV/0!</v>
      </c>
      <c r="BU11" s="7" t="e">
        <f>((AVERAGE(T11,BS11)*('Summary Page'!$C$3+1))*('Summary Page'!$C$3+1))*('Summary Page'!$C$3+1)</f>
        <v>#DIV/0!</v>
      </c>
      <c r="BV11" s="8" t="e">
        <f>((AVERAGE(T11,BS11)*('Summary Page'!$C$4+1))*('Summary Page'!$C$4+1))*('Summary Page'!$C$4+1)</f>
        <v>#DIV/0!</v>
      </c>
      <c r="BW11" s="9"/>
    </row>
    <row r="12" spans="1:162" ht="15.75" x14ac:dyDescent="0.25">
      <c r="A12" s="1">
        <v>43465</v>
      </c>
      <c r="B12" s="14"/>
      <c r="C12" s="14"/>
      <c r="D12" s="7"/>
      <c r="E12" s="14"/>
      <c r="F12" s="14"/>
      <c r="G12" s="110"/>
      <c r="H12" s="7"/>
      <c r="I12" s="7"/>
      <c r="J12" s="7"/>
      <c r="K12" s="111"/>
      <c r="L12" s="7"/>
      <c r="M12" s="7"/>
      <c r="N12" s="7"/>
      <c r="O12" s="7"/>
      <c r="P12" s="7"/>
      <c r="Q12" s="7"/>
      <c r="R12" s="7"/>
      <c r="S12" s="7"/>
      <c r="AA12" s="2"/>
      <c r="AB12" s="2"/>
      <c r="AC12" s="2"/>
      <c r="AD12" s="7" t="e">
        <f>((AVERAGE(AA12,AC12)*('Summary Page'!$C$2+1))*('Summary Page'!$C$2+1))*('Summary Page'!$C$2+1)</f>
        <v>#DIV/0!</v>
      </c>
      <c r="AE12" s="7" t="e">
        <f>((AVERAGE(AA12,AC12)*('Summary Page'!$C$3+1))*('Summary Page'!$C$3+1))*('Summary Page'!$C$3+1)</f>
        <v>#DIV/0!</v>
      </c>
      <c r="AF12" s="7" t="e">
        <f>((AVERAGE(AA12,AC12)*('Summary Page'!$C$4+1))*('Summary Page'!$C$4+1))*('Summary Page'!$C$4+1)</f>
        <v>#DIV/0!</v>
      </c>
      <c r="AI12" s="7"/>
      <c r="AJ12" s="7" t="e">
        <f>((AVERAGE(B12,AI12)*('Summary Page'!$C$2+1))*('Summary Page'!$C$2+1))*('Summary Page'!$C$2+1)</f>
        <v>#DIV/0!</v>
      </c>
      <c r="AK12" s="7" t="e">
        <f>((AVERAGE(B12,AI12)*('Summary Page'!$C$3+1))*('Summary Page'!$C$3+1))*('Summary Page'!$C$3+1)</f>
        <v>#DIV/0!</v>
      </c>
      <c r="AL12" s="8" t="e">
        <f>((AVERAGE(B12,AI12)*('Summary Page'!$C$4+1))*('Summary Page'!$C$4+1))*('Summary Page'!$C$4+1)</f>
        <v>#DIV/0!</v>
      </c>
      <c r="AO12" s="7"/>
      <c r="AP12" s="7" t="e">
        <f>((AVERAGE(C12,AO12)*('Summary Page'!$C$2+1))*('Summary Page'!$C$2+1))*('Summary Page'!$C$2+1)</f>
        <v>#DIV/0!</v>
      </c>
      <c r="AQ12" s="7" t="e">
        <f>((AVERAGE(C12,AO12)*('Summary Page'!$C$3+1))*('Summary Page'!$C$3+1))*('Summary Page'!$C$3+1)</f>
        <v>#DIV/0!</v>
      </c>
      <c r="AR12" s="8" t="e">
        <f>((AVERAGE(C12,AO12)*('Summary Page'!$C$4+1))*('Summary Page'!$C$4+1))*('Summary Page'!$C$4+1)</f>
        <v>#DIV/0!</v>
      </c>
      <c r="AU12" s="7"/>
      <c r="AV12" s="7" t="e">
        <f>((AVERAGE(D12,AU12)*('Summary Page'!$C$2+1))*('Summary Page'!$C$2+1))*('Summary Page'!$C$2+1)</f>
        <v>#DIV/0!</v>
      </c>
      <c r="AW12" s="7" t="e">
        <f>((AVERAGE(D12,AU12)*('Summary Page'!$C$3+1))*('Summary Page'!$C$3+1))*('Summary Page'!$C$3+1)</f>
        <v>#DIV/0!</v>
      </c>
      <c r="AX12" s="7" t="e">
        <f>((AVERAGE(D12,AU12)*('Summary Page'!$C$4+1))*('Summary Page'!$C$4+1))*('Summary Page'!$C$4+1)</f>
        <v>#DIV/0!</v>
      </c>
      <c r="BA12" s="7"/>
      <c r="BB12" s="7" t="e">
        <f>((AVERAGE(E12,BA12)*('Summary Page'!$C$2+1))*('Summary Page'!$C$2+1))*('Summary Page'!$C$2+1)</f>
        <v>#DIV/0!</v>
      </c>
      <c r="BC12" s="7" t="e">
        <f>((AVERAGE(E12,BA12)*('Summary Page'!$C$3+1))*('Summary Page'!$C$3+1))*('Summary Page'!$C$3+1)</f>
        <v>#DIV/0!</v>
      </c>
      <c r="BD12" s="8" t="e">
        <f>((AVERAGE(E12,BA12)*('Summary Page'!$C$4+1))*('Summary Page'!$C$4+1))*('Summary Page'!$C$4+1)</f>
        <v>#DIV/0!</v>
      </c>
      <c r="BG12" s="7"/>
      <c r="BH12" s="7" t="e">
        <f>((AVERAGE(F12,BG12)*('Summary Page'!$C$2+1))*('Summary Page'!$C$2+1))*('Summary Page'!$C$2+1)</f>
        <v>#DIV/0!</v>
      </c>
      <c r="BI12" s="7" t="e">
        <f>((AVERAGE(F12,BG12)*('Summary Page'!$C$3+1))*('Summary Page'!$C$3+1))*('Summary Page'!$C$3+1)</f>
        <v>#DIV/0!</v>
      </c>
      <c r="BJ12" s="8" t="e">
        <f>((AVERAGE(F12,BG12)*('Summary Page'!$C$4+1))*('Summary Page'!$C$4+1))*('Summary Page'!$C$4+1)</f>
        <v>#DIV/0!</v>
      </c>
      <c r="BM12" s="7"/>
      <c r="BN12" s="7" t="e">
        <f>((AVERAGE(Q12,BM12)*('Summary Page'!$C$2+1))*('Summary Page'!$C$2+1))*('Summary Page'!$C$2+1)</f>
        <v>#DIV/0!</v>
      </c>
      <c r="BO12" s="7" t="e">
        <f>((AVERAGE(Q12,BM12)*('Summary Page'!$C$3+1))*('Summary Page'!$C$3+1))*('Summary Page'!$C$3+1)</f>
        <v>#DIV/0!</v>
      </c>
      <c r="BP12" s="8" t="e">
        <f>((AVERAGE(Q12,BM12)*('Summary Page'!$C$4+1))*('Summary Page'!$C$4+1))*('Summary Page'!$C$4+1)</f>
        <v>#DIV/0!</v>
      </c>
      <c r="BS12" s="7"/>
      <c r="BT12" s="7" t="e">
        <f>((AVERAGE(T12,BS12)*('Summary Page'!$C$2+1))*('Summary Page'!$C$2+1))*('Summary Page'!$C$2+1)</f>
        <v>#DIV/0!</v>
      </c>
      <c r="BU12" s="7" t="e">
        <f>((AVERAGE(T12,BS12)*('Summary Page'!$C$3+1))*('Summary Page'!$C$3+1))*('Summary Page'!$C$3+1)</f>
        <v>#DIV/0!</v>
      </c>
      <c r="BV12" s="8" t="e">
        <f>((AVERAGE(T12,BS12)*('Summary Page'!$C$4+1))*('Summary Page'!$C$4+1))*('Summary Page'!$C$4+1)</f>
        <v>#DIV/0!</v>
      </c>
      <c r="BW12" s="9"/>
    </row>
    <row r="13" spans="1:162" ht="15.75" x14ac:dyDescent="0.25">
      <c r="A13" s="1">
        <v>43479</v>
      </c>
      <c r="B13" s="14"/>
      <c r="C13" s="14"/>
      <c r="D13" s="7"/>
      <c r="E13" s="14"/>
      <c r="F13" s="14"/>
      <c r="G13" s="110"/>
      <c r="H13" s="7"/>
      <c r="I13" s="7"/>
      <c r="J13" s="7"/>
      <c r="K13" s="111"/>
      <c r="L13" s="7"/>
      <c r="M13" s="7"/>
      <c r="N13" s="7"/>
      <c r="O13" s="7"/>
      <c r="P13" s="7"/>
      <c r="Q13" s="7"/>
      <c r="R13" s="7"/>
      <c r="S13" s="7"/>
      <c r="AA13" s="2"/>
      <c r="AB13" s="2"/>
      <c r="AC13" s="2"/>
      <c r="AD13" s="7" t="e">
        <f>((AVERAGE(AA13,AC13)*('Summary Page'!$C$2+1))*('Summary Page'!$C$2+1))*('Summary Page'!$C$2+1)</f>
        <v>#DIV/0!</v>
      </c>
      <c r="AE13" s="7" t="e">
        <f>((AVERAGE(AA13,AC13)*('Summary Page'!$C$3+1))*('Summary Page'!$C$3+1))*('Summary Page'!$C$3+1)</f>
        <v>#DIV/0!</v>
      </c>
      <c r="AF13" s="7" t="e">
        <f>((AVERAGE(AA13,AC13)*('Summary Page'!$C$4+1))*('Summary Page'!$C$4+1))*('Summary Page'!$C$4+1)</f>
        <v>#DIV/0!</v>
      </c>
      <c r="AI13" s="7"/>
      <c r="AJ13" s="7" t="e">
        <f>((AVERAGE(B13,AI13)*('Summary Page'!$C$2+1))*('Summary Page'!$C$2+1))*('Summary Page'!$C$2+1)</f>
        <v>#DIV/0!</v>
      </c>
      <c r="AK13" s="7" t="e">
        <f>((AVERAGE(B13,AI13)*('Summary Page'!$C$3+1))*('Summary Page'!$C$3+1))*('Summary Page'!$C$3+1)</f>
        <v>#DIV/0!</v>
      </c>
      <c r="AL13" s="8" t="e">
        <f>((AVERAGE(B13,AI13)*('Summary Page'!$C$4+1))*('Summary Page'!$C$4+1))*('Summary Page'!$C$4+1)</f>
        <v>#DIV/0!</v>
      </c>
      <c r="AO13" s="7"/>
      <c r="AP13" s="7" t="e">
        <f>((AVERAGE(C13,AO13)*('Summary Page'!$C$2+1))*('Summary Page'!$C$2+1))*('Summary Page'!$C$2+1)</f>
        <v>#DIV/0!</v>
      </c>
      <c r="AQ13" s="7" t="e">
        <f>((AVERAGE(C13,AO13)*('Summary Page'!$C$3+1))*('Summary Page'!$C$3+1))*('Summary Page'!$C$3+1)</f>
        <v>#DIV/0!</v>
      </c>
      <c r="AR13" s="8" t="e">
        <f>((AVERAGE(C13,AO13)*('Summary Page'!$C$4+1))*('Summary Page'!$C$4+1))*('Summary Page'!$C$4+1)</f>
        <v>#DIV/0!</v>
      </c>
      <c r="AU13" s="7"/>
      <c r="AV13" s="7" t="e">
        <f>((AVERAGE(D13,AU13)*('Summary Page'!$C$2+1))*('Summary Page'!$C$2+1))*('Summary Page'!$C$2+1)</f>
        <v>#DIV/0!</v>
      </c>
      <c r="AW13" s="7" t="e">
        <f>((AVERAGE(D13,AU13)*('Summary Page'!$C$3+1))*('Summary Page'!$C$3+1))*('Summary Page'!$C$3+1)</f>
        <v>#DIV/0!</v>
      </c>
      <c r="AX13" s="7" t="e">
        <f>((AVERAGE(D13,AU13)*('Summary Page'!$C$4+1))*('Summary Page'!$C$4+1))*('Summary Page'!$C$4+1)</f>
        <v>#DIV/0!</v>
      </c>
      <c r="BA13" s="7"/>
      <c r="BB13" s="7" t="e">
        <f>((AVERAGE(E13,BA13)*('Summary Page'!$C$2+1))*('Summary Page'!$C$2+1))*('Summary Page'!$C$2+1)</f>
        <v>#DIV/0!</v>
      </c>
      <c r="BC13" s="7" t="e">
        <f>((AVERAGE(E13,BA13)*('Summary Page'!$C$3+1))*('Summary Page'!$C$3+1))*('Summary Page'!$C$3+1)</f>
        <v>#DIV/0!</v>
      </c>
      <c r="BD13" s="8" t="e">
        <f>((AVERAGE(E13,BA13)*('Summary Page'!$C$4+1))*('Summary Page'!$C$4+1))*('Summary Page'!$C$4+1)</f>
        <v>#DIV/0!</v>
      </c>
      <c r="BG13" s="7"/>
      <c r="BH13" s="7" t="e">
        <f>((AVERAGE(F13,BG13)*('Summary Page'!$C$2+1))*('Summary Page'!$C$2+1))*('Summary Page'!$C$2+1)</f>
        <v>#DIV/0!</v>
      </c>
      <c r="BI13" s="7" t="e">
        <f>((AVERAGE(F13,BG13)*('Summary Page'!$C$3+1))*('Summary Page'!$C$3+1))*('Summary Page'!$C$3+1)</f>
        <v>#DIV/0!</v>
      </c>
      <c r="BJ13" s="8" t="e">
        <f>((AVERAGE(F13,BG13)*('Summary Page'!$C$4+1))*('Summary Page'!$C$4+1))*('Summary Page'!$C$4+1)</f>
        <v>#DIV/0!</v>
      </c>
      <c r="BM13" s="7"/>
      <c r="BN13" s="7" t="e">
        <f>((AVERAGE(Q13,BM13)*('Summary Page'!$C$2+1))*('Summary Page'!$C$2+1))*('Summary Page'!$C$2+1)</f>
        <v>#DIV/0!</v>
      </c>
      <c r="BO13" s="7" t="e">
        <f>((AVERAGE(Q13,BM13)*('Summary Page'!$C$3+1))*('Summary Page'!$C$3+1))*('Summary Page'!$C$3+1)</f>
        <v>#DIV/0!</v>
      </c>
      <c r="BP13" s="8" t="e">
        <f>((AVERAGE(Q13,BM13)*('Summary Page'!$C$4+1))*('Summary Page'!$C$4+1))*('Summary Page'!$C$4+1)</f>
        <v>#DIV/0!</v>
      </c>
      <c r="BS13" s="7"/>
      <c r="BT13" s="7" t="e">
        <f>((AVERAGE(T13,BS13)*('Summary Page'!$C$2+1))*('Summary Page'!$C$2+1))*('Summary Page'!$C$2+1)</f>
        <v>#DIV/0!</v>
      </c>
      <c r="BU13" s="7" t="e">
        <f>((AVERAGE(T13,BS13)*('Summary Page'!$C$3+1))*('Summary Page'!$C$3+1))*('Summary Page'!$C$3+1)</f>
        <v>#DIV/0!</v>
      </c>
      <c r="BV13" s="8" t="e">
        <f>((AVERAGE(T13,BS13)*('Summary Page'!$C$4+1))*('Summary Page'!$C$4+1))*('Summary Page'!$C$4+1)</f>
        <v>#DIV/0!</v>
      </c>
      <c r="BW13" s="9"/>
    </row>
    <row r="14" spans="1:162" ht="15.75" x14ac:dyDescent="0.25">
      <c r="A14" s="1">
        <v>43493</v>
      </c>
      <c r="B14" s="14"/>
      <c r="C14" s="14"/>
      <c r="D14" s="7"/>
      <c r="E14" s="14"/>
      <c r="F14" s="14"/>
      <c r="G14" s="110"/>
      <c r="H14" s="7"/>
      <c r="I14" s="7"/>
      <c r="J14" s="7"/>
      <c r="K14" s="111"/>
      <c r="L14" s="7"/>
      <c r="M14" s="7"/>
      <c r="N14" s="7"/>
      <c r="O14" s="7"/>
      <c r="P14" s="7"/>
      <c r="Q14" s="7"/>
      <c r="R14" s="7"/>
      <c r="S14" s="7"/>
      <c r="AA14" s="2"/>
      <c r="AB14" s="2"/>
      <c r="AC14" s="2"/>
      <c r="AD14" s="7" t="e">
        <f>((AVERAGE(AA14,AC14)*('Summary Page'!$C$2+1))*('Summary Page'!$C$2+1))*('Summary Page'!$C$2+1)</f>
        <v>#DIV/0!</v>
      </c>
      <c r="AE14" s="7" t="e">
        <f>((AVERAGE(AA14,AC14)*('Summary Page'!$C$3+1))*('Summary Page'!$C$3+1))*('Summary Page'!$C$3+1)</f>
        <v>#DIV/0!</v>
      </c>
      <c r="AF14" s="7" t="e">
        <f>((AVERAGE(AA14,AC14)*('Summary Page'!$C$4+1))*('Summary Page'!$C$4+1))*('Summary Page'!$C$4+1)</f>
        <v>#DIV/0!</v>
      </c>
      <c r="AI14" s="7"/>
      <c r="AJ14" s="7" t="e">
        <f>((AVERAGE(B14,AI14)*('Summary Page'!$C$2+1))*('Summary Page'!$C$2+1))*('Summary Page'!$C$2+1)</f>
        <v>#DIV/0!</v>
      </c>
      <c r="AK14" s="7" t="e">
        <f>((AVERAGE(B14,AI14)*('Summary Page'!$C$3+1))*('Summary Page'!$C$3+1))*('Summary Page'!$C$3+1)</f>
        <v>#DIV/0!</v>
      </c>
      <c r="AL14" s="8" t="e">
        <f>((AVERAGE(B14,AI14)*('Summary Page'!$C$4+1))*('Summary Page'!$C$4+1))*('Summary Page'!$C$4+1)</f>
        <v>#DIV/0!</v>
      </c>
      <c r="AO14" s="7"/>
      <c r="AP14" s="7" t="e">
        <f>((AVERAGE(C14,AO14)*('Summary Page'!$C$2+1))*('Summary Page'!$C$2+1))*('Summary Page'!$C$2+1)</f>
        <v>#DIV/0!</v>
      </c>
      <c r="AQ14" s="7" t="e">
        <f>((AVERAGE(C14,AO14)*('Summary Page'!$C$3+1))*('Summary Page'!$C$3+1))*('Summary Page'!$C$3+1)</f>
        <v>#DIV/0!</v>
      </c>
      <c r="AR14" s="8" t="e">
        <f>((AVERAGE(C14,AO14)*('Summary Page'!$C$4+1))*('Summary Page'!$C$4+1))*('Summary Page'!$C$4+1)</f>
        <v>#DIV/0!</v>
      </c>
      <c r="AU14" s="7"/>
      <c r="AV14" s="7" t="e">
        <f>((AVERAGE(D14,AU14)*('Summary Page'!$C$2+1))*('Summary Page'!$C$2+1))*('Summary Page'!$C$2+1)</f>
        <v>#DIV/0!</v>
      </c>
      <c r="AW14" s="7" t="e">
        <f>((AVERAGE(D14,AU14)*('Summary Page'!$C$3+1))*('Summary Page'!$C$3+1))*('Summary Page'!$C$3+1)</f>
        <v>#DIV/0!</v>
      </c>
      <c r="AX14" s="7" t="e">
        <f>((AVERAGE(D14,AU14)*('Summary Page'!$C$4+1))*('Summary Page'!$C$4+1))*('Summary Page'!$C$4+1)</f>
        <v>#DIV/0!</v>
      </c>
      <c r="BA14" s="7"/>
      <c r="BB14" s="7" t="e">
        <f>((AVERAGE(E14,BA14)*('Summary Page'!$C$2+1))*('Summary Page'!$C$2+1))*('Summary Page'!$C$2+1)</f>
        <v>#DIV/0!</v>
      </c>
      <c r="BC14" s="7" t="e">
        <f>((AVERAGE(E14,BA14)*('Summary Page'!$C$3+1))*('Summary Page'!$C$3+1))*('Summary Page'!$C$3+1)</f>
        <v>#DIV/0!</v>
      </c>
      <c r="BD14" s="8" t="e">
        <f>((AVERAGE(E14,BA14)*('Summary Page'!$C$4+1))*('Summary Page'!$C$4+1))*('Summary Page'!$C$4+1)</f>
        <v>#DIV/0!</v>
      </c>
      <c r="BG14" s="7"/>
      <c r="BH14" s="7" t="e">
        <f>((AVERAGE(F14,BG14)*('Summary Page'!$C$2+1))*('Summary Page'!$C$2+1))*('Summary Page'!$C$2+1)</f>
        <v>#DIV/0!</v>
      </c>
      <c r="BI14" s="7" t="e">
        <f>((AVERAGE(F14,BG14)*('Summary Page'!$C$3+1))*('Summary Page'!$C$3+1))*('Summary Page'!$C$3+1)</f>
        <v>#DIV/0!</v>
      </c>
      <c r="BJ14" s="8" t="e">
        <f>((AVERAGE(F14,BG14)*('Summary Page'!$C$4+1))*('Summary Page'!$C$4+1))*('Summary Page'!$C$4+1)</f>
        <v>#DIV/0!</v>
      </c>
      <c r="BM14" s="7"/>
      <c r="BN14" s="7" t="e">
        <f>((AVERAGE(Q14,BM14)*('Summary Page'!$C$2+1))*('Summary Page'!$C$2+1))*('Summary Page'!$C$2+1)</f>
        <v>#DIV/0!</v>
      </c>
      <c r="BO14" s="7" t="e">
        <f>((AVERAGE(Q14,BM14)*('Summary Page'!$C$3+1))*('Summary Page'!$C$3+1))*('Summary Page'!$C$3+1)</f>
        <v>#DIV/0!</v>
      </c>
      <c r="BP14" s="8" t="e">
        <f>((AVERAGE(Q14,BM14)*('Summary Page'!$C$4+1))*('Summary Page'!$C$4+1))*('Summary Page'!$C$4+1)</f>
        <v>#DIV/0!</v>
      </c>
      <c r="BS14" s="7"/>
      <c r="BT14" s="7" t="e">
        <f>((AVERAGE(T14,BS14)*('Summary Page'!$C$2+1))*('Summary Page'!$C$2+1))*('Summary Page'!$C$2+1)</f>
        <v>#DIV/0!</v>
      </c>
      <c r="BU14" s="7" t="e">
        <f>((AVERAGE(T14,BS14)*('Summary Page'!$C$3+1))*('Summary Page'!$C$3+1))*('Summary Page'!$C$3+1)</f>
        <v>#DIV/0!</v>
      </c>
      <c r="BV14" s="8" t="e">
        <f>((AVERAGE(T14,BS14)*('Summary Page'!$C$4+1))*('Summary Page'!$C$4+1))*('Summary Page'!$C$4+1)</f>
        <v>#DIV/0!</v>
      </c>
      <c r="BW14" s="9"/>
    </row>
    <row r="15" spans="1:162" ht="15.75" x14ac:dyDescent="0.25">
      <c r="A15" s="1">
        <v>43510</v>
      </c>
      <c r="B15" s="14"/>
      <c r="C15" s="14"/>
      <c r="D15" s="7"/>
      <c r="E15" s="14"/>
      <c r="F15" s="14"/>
      <c r="G15" s="110"/>
      <c r="H15" s="7"/>
      <c r="I15" s="7"/>
      <c r="J15" s="7"/>
      <c r="K15" s="111"/>
      <c r="L15" s="7"/>
      <c r="M15" s="7"/>
      <c r="N15" s="7"/>
      <c r="O15" s="7"/>
      <c r="P15" s="7"/>
      <c r="Q15" s="7"/>
      <c r="R15" s="7"/>
      <c r="S15" s="7"/>
      <c r="AA15" s="2"/>
      <c r="AB15" s="2"/>
      <c r="AC15" s="2"/>
      <c r="AD15" s="7" t="e">
        <f>((AVERAGE(AA15,AC15)*('Summary Page'!$C$2+1))*('Summary Page'!$C$2+1))*('Summary Page'!$C$2+1)</f>
        <v>#DIV/0!</v>
      </c>
      <c r="AE15" s="7" t="e">
        <f>((AVERAGE(AA15,AC15)*('Summary Page'!$C$3+1))*('Summary Page'!$C$3+1))*('Summary Page'!$C$3+1)</f>
        <v>#DIV/0!</v>
      </c>
      <c r="AF15" s="7" t="e">
        <f>((AVERAGE(AA15,AC15)*('Summary Page'!$C$4+1))*('Summary Page'!$C$4+1))*('Summary Page'!$C$4+1)</f>
        <v>#DIV/0!</v>
      </c>
      <c r="AI15" s="7"/>
      <c r="AJ15" s="7" t="e">
        <f>((AVERAGE(B15,AI15)*('Summary Page'!$C$2+1))*('Summary Page'!$C$2+1))*('Summary Page'!$C$2+1)</f>
        <v>#DIV/0!</v>
      </c>
      <c r="AK15" s="7" t="e">
        <f>((AVERAGE(B15,AI15)*('Summary Page'!$C$3+1))*('Summary Page'!$C$3+1))*('Summary Page'!$C$3+1)</f>
        <v>#DIV/0!</v>
      </c>
      <c r="AL15" s="8" t="e">
        <f>((AVERAGE(B15,AI15)*('Summary Page'!$C$4+1))*('Summary Page'!$C$4+1))*('Summary Page'!$C$4+1)</f>
        <v>#DIV/0!</v>
      </c>
      <c r="AO15" s="7"/>
      <c r="AP15" s="7" t="e">
        <f>((AVERAGE(C15,AO15)*('Summary Page'!$C$2+1))*('Summary Page'!$C$2+1))*('Summary Page'!$C$2+1)</f>
        <v>#DIV/0!</v>
      </c>
      <c r="AQ15" s="7" t="e">
        <f>((AVERAGE(C15,AO15)*('Summary Page'!$C$3+1))*('Summary Page'!$C$3+1))*('Summary Page'!$C$3+1)</f>
        <v>#DIV/0!</v>
      </c>
      <c r="AR15" s="8" t="e">
        <f>((AVERAGE(C15,AO15)*('Summary Page'!$C$4+1))*('Summary Page'!$C$4+1))*('Summary Page'!$C$4+1)</f>
        <v>#DIV/0!</v>
      </c>
      <c r="AU15" s="7"/>
      <c r="AV15" s="7" t="e">
        <f>((AVERAGE(D15,AU15)*('Summary Page'!$C$2+1))*('Summary Page'!$C$2+1))*('Summary Page'!$C$2+1)</f>
        <v>#DIV/0!</v>
      </c>
      <c r="AW15" s="7" t="e">
        <f>((AVERAGE(D15,AU15)*('Summary Page'!$C$3+1))*('Summary Page'!$C$3+1))*('Summary Page'!$C$3+1)</f>
        <v>#DIV/0!</v>
      </c>
      <c r="AX15" s="7" t="e">
        <f>((AVERAGE(D15,AU15)*('Summary Page'!$C$4+1))*('Summary Page'!$C$4+1))*('Summary Page'!$C$4+1)</f>
        <v>#DIV/0!</v>
      </c>
      <c r="BA15" s="7"/>
      <c r="BB15" s="7" t="e">
        <f>((AVERAGE(E15,BA15)*('Summary Page'!$C$2+1))*('Summary Page'!$C$2+1))*('Summary Page'!$C$2+1)</f>
        <v>#DIV/0!</v>
      </c>
      <c r="BC15" s="7" t="e">
        <f>((AVERAGE(E15,BA15)*('Summary Page'!$C$3+1))*('Summary Page'!$C$3+1))*('Summary Page'!$C$3+1)</f>
        <v>#DIV/0!</v>
      </c>
      <c r="BD15" s="8" t="e">
        <f>((AVERAGE(E15,BA15)*('Summary Page'!$C$4+1))*('Summary Page'!$C$4+1))*('Summary Page'!$C$4+1)</f>
        <v>#DIV/0!</v>
      </c>
      <c r="BG15" s="7"/>
      <c r="BH15" s="7" t="e">
        <f>((AVERAGE(F15,BG15)*('Summary Page'!$C$2+1))*('Summary Page'!$C$2+1))*('Summary Page'!$C$2+1)</f>
        <v>#DIV/0!</v>
      </c>
      <c r="BI15" s="7" t="e">
        <f>((AVERAGE(F15,BG15)*('Summary Page'!$C$3+1))*('Summary Page'!$C$3+1))*('Summary Page'!$C$3+1)</f>
        <v>#DIV/0!</v>
      </c>
      <c r="BJ15" s="8" t="e">
        <f>((AVERAGE(F15,BG15)*('Summary Page'!$C$4+1))*('Summary Page'!$C$4+1))*('Summary Page'!$C$4+1)</f>
        <v>#DIV/0!</v>
      </c>
      <c r="BM15" s="7"/>
      <c r="BN15" s="7" t="e">
        <f>((AVERAGE(Q15,BM15)*('Summary Page'!$C$2+1))*('Summary Page'!$C$2+1))*('Summary Page'!$C$2+1)</f>
        <v>#DIV/0!</v>
      </c>
      <c r="BO15" s="7" t="e">
        <f>((AVERAGE(Q15,BM15)*('Summary Page'!$C$3+1))*('Summary Page'!$C$3+1))*('Summary Page'!$C$3+1)</f>
        <v>#DIV/0!</v>
      </c>
      <c r="BP15" s="8" t="e">
        <f>((AVERAGE(Q15,BM15)*('Summary Page'!$C$4+1))*('Summary Page'!$C$4+1))*('Summary Page'!$C$4+1)</f>
        <v>#DIV/0!</v>
      </c>
      <c r="BS15" s="7"/>
      <c r="BT15" s="7" t="e">
        <f>((AVERAGE(T15,BS15)*('Summary Page'!$C$2+1))*('Summary Page'!$C$2+1))*('Summary Page'!$C$2+1)</f>
        <v>#DIV/0!</v>
      </c>
      <c r="BU15" s="7" t="e">
        <f>((AVERAGE(T15,BS15)*('Summary Page'!$C$3+1))*('Summary Page'!$C$3+1))*('Summary Page'!$C$3+1)</f>
        <v>#DIV/0!</v>
      </c>
      <c r="BV15" s="8" t="e">
        <f>((AVERAGE(T15,BS15)*('Summary Page'!$C$4+1))*('Summary Page'!$C$4+1))*('Summary Page'!$C$4+1)</f>
        <v>#DIV/0!</v>
      </c>
      <c r="BW15" s="9"/>
    </row>
    <row r="16" spans="1:162" ht="15.75" x14ac:dyDescent="0.25">
      <c r="A16" s="1">
        <v>43525</v>
      </c>
      <c r="B16" s="14"/>
      <c r="C16" s="14"/>
      <c r="D16" s="7"/>
      <c r="E16" s="14"/>
      <c r="F16" s="14"/>
      <c r="G16" s="110"/>
      <c r="H16" s="7"/>
      <c r="I16" s="7"/>
      <c r="J16" s="7"/>
      <c r="K16" s="111"/>
      <c r="L16" s="7"/>
      <c r="M16" s="7"/>
      <c r="N16" s="7"/>
      <c r="O16" s="7"/>
      <c r="P16" s="7"/>
      <c r="Q16" s="7"/>
      <c r="R16" s="7"/>
      <c r="S16" s="7"/>
      <c r="AA16" s="2"/>
      <c r="AB16" s="2"/>
      <c r="AC16" s="2"/>
      <c r="AD16" s="7" t="e">
        <f>((AVERAGE(AA16,AC16)*('Summary Page'!$C$2+1))*('Summary Page'!$C$2+1))*('Summary Page'!$C$2+1)</f>
        <v>#DIV/0!</v>
      </c>
      <c r="AE16" s="7" t="e">
        <f>((AVERAGE(AA16,AC16)*('Summary Page'!$C$3+1))*('Summary Page'!$C$3+1))*('Summary Page'!$C$3+1)</f>
        <v>#DIV/0!</v>
      </c>
      <c r="AF16" s="7" t="e">
        <f>((AVERAGE(AA16,AC16)*('Summary Page'!$C$4+1))*('Summary Page'!$C$4+1))*('Summary Page'!$C$4+1)</f>
        <v>#DIV/0!</v>
      </c>
      <c r="AI16" s="7"/>
      <c r="AJ16" s="7" t="e">
        <f>((AVERAGE(B16,AI16)*('Summary Page'!$C$2+1))*('Summary Page'!$C$2+1))*('Summary Page'!$C$2+1)</f>
        <v>#DIV/0!</v>
      </c>
      <c r="AK16" s="7" t="e">
        <f>((AVERAGE(B16,AI16)*('Summary Page'!$C$3+1))*('Summary Page'!$C$3+1))*('Summary Page'!$C$3+1)</f>
        <v>#DIV/0!</v>
      </c>
      <c r="AL16" s="8" t="e">
        <f>((AVERAGE(B16,AI16)*('Summary Page'!$C$4+1))*('Summary Page'!$C$4+1))*('Summary Page'!$C$4+1)</f>
        <v>#DIV/0!</v>
      </c>
      <c r="AO16" s="7"/>
      <c r="AP16" s="7" t="e">
        <f>((AVERAGE(C16,AO16)*('Summary Page'!$C$2+1))*('Summary Page'!$C$2+1))*('Summary Page'!$C$2+1)</f>
        <v>#DIV/0!</v>
      </c>
      <c r="AQ16" s="7" t="e">
        <f>((AVERAGE(C16,AO16)*('Summary Page'!$C$3+1))*('Summary Page'!$C$3+1))*('Summary Page'!$C$3+1)</f>
        <v>#DIV/0!</v>
      </c>
      <c r="AR16" s="8" t="e">
        <f>((AVERAGE(C16,AO16)*('Summary Page'!$C$4+1))*('Summary Page'!$C$4+1))*('Summary Page'!$C$4+1)</f>
        <v>#DIV/0!</v>
      </c>
      <c r="AU16" s="7"/>
      <c r="AV16" s="7" t="e">
        <f>((AVERAGE(D16,AU16)*('Summary Page'!$C$2+1))*('Summary Page'!$C$2+1))*('Summary Page'!$C$2+1)</f>
        <v>#DIV/0!</v>
      </c>
      <c r="AW16" s="7" t="e">
        <f>((AVERAGE(D16,AU16)*('Summary Page'!$C$3+1))*('Summary Page'!$C$3+1))*('Summary Page'!$C$3+1)</f>
        <v>#DIV/0!</v>
      </c>
      <c r="AX16" s="7" t="e">
        <f>((AVERAGE(D16,AU16)*('Summary Page'!$C$4+1))*('Summary Page'!$C$4+1))*('Summary Page'!$C$4+1)</f>
        <v>#DIV/0!</v>
      </c>
      <c r="BA16" s="7"/>
      <c r="BB16" s="7" t="e">
        <f>((AVERAGE(E16,BA16)*('Summary Page'!$C$2+1))*('Summary Page'!$C$2+1))*('Summary Page'!$C$2+1)</f>
        <v>#DIV/0!</v>
      </c>
      <c r="BC16" s="7" t="e">
        <f>((AVERAGE(E16,BA16)*('Summary Page'!$C$3+1))*('Summary Page'!$C$3+1))*('Summary Page'!$C$3+1)</f>
        <v>#DIV/0!</v>
      </c>
      <c r="BD16" s="8" t="e">
        <f>((AVERAGE(E16,BA16)*('Summary Page'!$C$4+1))*('Summary Page'!$C$4+1))*('Summary Page'!$C$4+1)</f>
        <v>#DIV/0!</v>
      </c>
      <c r="BG16" s="7"/>
      <c r="BH16" s="7" t="e">
        <f>((AVERAGE(F16,BG16)*('Summary Page'!$C$2+1))*('Summary Page'!$C$2+1))*('Summary Page'!$C$2+1)</f>
        <v>#DIV/0!</v>
      </c>
      <c r="BI16" s="7" t="e">
        <f>((AVERAGE(F16,BG16)*('Summary Page'!$C$3+1))*('Summary Page'!$C$3+1))*('Summary Page'!$C$3+1)</f>
        <v>#DIV/0!</v>
      </c>
      <c r="BJ16" s="8" t="e">
        <f>((AVERAGE(F16,BG16)*('Summary Page'!$C$4+1))*('Summary Page'!$C$4+1))*('Summary Page'!$C$4+1)</f>
        <v>#DIV/0!</v>
      </c>
      <c r="BM16" s="7"/>
      <c r="BN16" s="7" t="e">
        <f>((AVERAGE(Q16,BM16)*('Summary Page'!$C$2+1))*('Summary Page'!$C$2+1))*('Summary Page'!$C$2+1)</f>
        <v>#DIV/0!</v>
      </c>
      <c r="BO16" s="7" t="e">
        <f>((AVERAGE(Q16,BM16)*('Summary Page'!$C$3+1))*('Summary Page'!$C$3+1))*('Summary Page'!$C$3+1)</f>
        <v>#DIV/0!</v>
      </c>
      <c r="BP16" s="8" t="e">
        <f>((AVERAGE(Q16,BM16)*('Summary Page'!$C$4+1))*('Summary Page'!$C$4+1))*('Summary Page'!$C$4+1)</f>
        <v>#DIV/0!</v>
      </c>
      <c r="BS16" s="7"/>
      <c r="BT16" s="7" t="e">
        <f>((AVERAGE(T16,BS16)*('Summary Page'!$C$2+1))*('Summary Page'!$C$2+1))*('Summary Page'!$C$2+1)</f>
        <v>#DIV/0!</v>
      </c>
      <c r="BU16" s="7" t="e">
        <f>((AVERAGE(T16,BS16)*('Summary Page'!$C$3+1))*('Summary Page'!$C$3+1))*('Summary Page'!$C$3+1)</f>
        <v>#DIV/0!</v>
      </c>
      <c r="BV16" s="8" t="e">
        <f>((AVERAGE(T16,BS16)*('Summary Page'!$C$4+1))*('Summary Page'!$C$4+1))*('Summary Page'!$C$4+1)</f>
        <v>#DIV/0!</v>
      </c>
    </row>
    <row r="17" spans="1:86" ht="15.75" x14ac:dyDescent="0.25">
      <c r="A17" s="1">
        <v>43538</v>
      </c>
      <c r="B17" s="14"/>
      <c r="C17" s="14"/>
      <c r="D17" s="7"/>
      <c r="E17" s="14"/>
      <c r="F17" s="14"/>
      <c r="G17" s="110"/>
      <c r="H17" s="7"/>
      <c r="I17" s="7"/>
      <c r="J17" s="7"/>
      <c r="K17" s="111"/>
      <c r="L17" s="7"/>
      <c r="M17" s="7"/>
      <c r="N17" s="7"/>
      <c r="O17" s="7"/>
      <c r="P17" s="7"/>
      <c r="Q17" s="7"/>
      <c r="R17" s="7"/>
      <c r="S17" s="7"/>
      <c r="AA17" s="2"/>
      <c r="AB17" s="2"/>
      <c r="AC17" s="2"/>
      <c r="AD17" s="7" t="e">
        <f>((AVERAGE(AA17,AC17)*('Summary Page'!$C$2+1))*('Summary Page'!$C$2+1))*('Summary Page'!$C$2+1)</f>
        <v>#DIV/0!</v>
      </c>
      <c r="AE17" s="7" t="e">
        <f>((AVERAGE(AA17,AC17)*('Summary Page'!$C$3+1))*('Summary Page'!$C$3+1))*('Summary Page'!$C$3+1)</f>
        <v>#DIV/0!</v>
      </c>
      <c r="AF17" s="7" t="e">
        <f>((AVERAGE(AA17,AC17)*('Summary Page'!$C$4+1))*('Summary Page'!$C$4+1))*('Summary Page'!$C$4+1)</f>
        <v>#DIV/0!</v>
      </c>
      <c r="AI17" s="7"/>
      <c r="AJ17" s="7" t="e">
        <f>((AVERAGE(B17,AI17)*('Summary Page'!$C$2+1))*('Summary Page'!$C$2+1))*('Summary Page'!$C$2+1)</f>
        <v>#DIV/0!</v>
      </c>
      <c r="AK17" s="7" t="e">
        <f>((AVERAGE(B17,AI17)*('Summary Page'!$C$3+1))*('Summary Page'!$C$3+1))*('Summary Page'!$C$3+1)</f>
        <v>#DIV/0!</v>
      </c>
      <c r="AL17" s="8" t="e">
        <f>((AVERAGE(B17,AI17)*('Summary Page'!$C$4+1))*('Summary Page'!$C$4+1))*('Summary Page'!$C$4+1)</f>
        <v>#DIV/0!</v>
      </c>
      <c r="AO17" s="7"/>
      <c r="AP17" s="7" t="e">
        <f>((AVERAGE(C17,AO17)*('Summary Page'!$C$2+1))*('Summary Page'!$C$2+1))*('Summary Page'!$C$2+1)</f>
        <v>#DIV/0!</v>
      </c>
      <c r="AQ17" s="7" t="e">
        <f>((AVERAGE(C17,AO17)*('Summary Page'!$C$3+1))*('Summary Page'!$C$3+1))*('Summary Page'!$C$3+1)</f>
        <v>#DIV/0!</v>
      </c>
      <c r="AR17" s="8" t="e">
        <f>((AVERAGE(C17,AO17)*('Summary Page'!$C$4+1))*('Summary Page'!$C$4+1))*('Summary Page'!$C$4+1)</f>
        <v>#DIV/0!</v>
      </c>
      <c r="AU17" s="7"/>
      <c r="AV17" s="7" t="e">
        <f>((AVERAGE(D17,AU17)*('Summary Page'!$C$2+1))*('Summary Page'!$C$2+1))*('Summary Page'!$C$2+1)</f>
        <v>#DIV/0!</v>
      </c>
      <c r="AW17" s="7" t="e">
        <f>((AVERAGE(D17,AU17)*('Summary Page'!$C$3+1))*('Summary Page'!$C$3+1))*('Summary Page'!$C$3+1)</f>
        <v>#DIV/0!</v>
      </c>
      <c r="AX17" s="7" t="e">
        <f>((AVERAGE(D17,AU17)*('Summary Page'!$C$4+1))*('Summary Page'!$C$4+1))*('Summary Page'!$C$4+1)</f>
        <v>#DIV/0!</v>
      </c>
      <c r="BA17" s="7"/>
      <c r="BB17" s="7" t="e">
        <f>((AVERAGE(E17,BA17)*('Summary Page'!$C$2+1))*('Summary Page'!$C$2+1))*('Summary Page'!$C$2+1)</f>
        <v>#DIV/0!</v>
      </c>
      <c r="BC17" s="7" t="e">
        <f>((AVERAGE(E17,BA17)*('Summary Page'!$C$3+1))*('Summary Page'!$C$3+1))*('Summary Page'!$C$3+1)</f>
        <v>#DIV/0!</v>
      </c>
      <c r="BD17" s="8" t="e">
        <f>((AVERAGE(E17,BA17)*('Summary Page'!$C$4+1))*('Summary Page'!$C$4+1))*('Summary Page'!$C$4+1)</f>
        <v>#DIV/0!</v>
      </c>
      <c r="BG17" s="7"/>
      <c r="BH17" s="7" t="e">
        <f>((AVERAGE(F17,BG17)*('Summary Page'!$C$2+1))*('Summary Page'!$C$2+1))*('Summary Page'!$C$2+1)</f>
        <v>#DIV/0!</v>
      </c>
      <c r="BI17" s="7" t="e">
        <f>((AVERAGE(F17,BG17)*('Summary Page'!$C$3+1))*('Summary Page'!$C$3+1))*('Summary Page'!$C$3+1)</f>
        <v>#DIV/0!</v>
      </c>
      <c r="BJ17" s="8" t="e">
        <f>((AVERAGE(F17,BG17)*('Summary Page'!$C$4+1))*('Summary Page'!$C$4+1))*('Summary Page'!$C$4+1)</f>
        <v>#DIV/0!</v>
      </c>
      <c r="BM17" s="7"/>
      <c r="BN17" s="7" t="e">
        <f>((AVERAGE(Q17,BM17)*('Summary Page'!$C$2+1))*('Summary Page'!$C$2+1))*('Summary Page'!$C$2+1)</f>
        <v>#DIV/0!</v>
      </c>
      <c r="BO17" s="7" t="e">
        <f>((AVERAGE(Q17,BM17)*('Summary Page'!$C$3+1))*('Summary Page'!$C$3+1))*('Summary Page'!$C$3+1)</f>
        <v>#DIV/0!</v>
      </c>
      <c r="BP17" s="8" t="e">
        <f>((AVERAGE(Q17,BM17)*('Summary Page'!$C$4+1))*('Summary Page'!$C$4+1))*('Summary Page'!$C$4+1)</f>
        <v>#DIV/0!</v>
      </c>
      <c r="BS17" s="7"/>
      <c r="BT17" s="7" t="e">
        <f>((AVERAGE(T17,BS17)*('Summary Page'!$C$2+1))*('Summary Page'!$C$2+1))*('Summary Page'!$C$2+1)</f>
        <v>#DIV/0!</v>
      </c>
      <c r="BU17" s="7" t="e">
        <f>((AVERAGE(T17,BS17)*('Summary Page'!$C$3+1))*('Summary Page'!$C$3+1))*('Summary Page'!$C$3+1)</f>
        <v>#DIV/0!</v>
      </c>
      <c r="BV17" s="8" t="e">
        <f>((AVERAGE(T17,BS17)*('Summary Page'!$C$4+1))*('Summary Page'!$C$4+1))*('Summary Page'!$C$4+1)</f>
        <v>#DIV/0!</v>
      </c>
    </row>
    <row r="18" spans="1:86" ht="15.75" x14ac:dyDescent="0.25">
      <c r="A18" s="1">
        <v>43556</v>
      </c>
      <c r="B18" s="14"/>
      <c r="C18" s="14"/>
      <c r="D18" s="7"/>
      <c r="E18" s="14"/>
      <c r="F18" s="14"/>
      <c r="G18" s="110"/>
      <c r="H18" s="7"/>
      <c r="I18" s="7"/>
      <c r="J18" s="7"/>
      <c r="K18" s="111"/>
      <c r="L18" s="7"/>
      <c r="M18" s="7"/>
      <c r="N18" s="7"/>
      <c r="O18" s="7"/>
      <c r="P18" s="7"/>
      <c r="Q18" s="7"/>
      <c r="R18" s="7"/>
      <c r="S18" s="7"/>
      <c r="AA18" s="2"/>
      <c r="AB18" s="2"/>
      <c r="AC18" s="2"/>
      <c r="AD18" s="7" t="e">
        <f>((AVERAGE(AA18,AC18)*('Summary Page'!$C$2+1))*('Summary Page'!$C$2+1))*('Summary Page'!$C$2+1)</f>
        <v>#DIV/0!</v>
      </c>
      <c r="AE18" s="7" t="e">
        <f>((AVERAGE(AA18,AC18)*('Summary Page'!$C$3+1))*('Summary Page'!$C$3+1))*('Summary Page'!$C$3+1)</f>
        <v>#DIV/0!</v>
      </c>
      <c r="AF18" s="7" t="e">
        <f>((AVERAGE(AA18,AC18)*('Summary Page'!$C$4+1))*('Summary Page'!$C$4+1))*('Summary Page'!$C$4+1)</f>
        <v>#DIV/0!</v>
      </c>
      <c r="AI18" s="7"/>
      <c r="AJ18" s="7" t="e">
        <f>((AVERAGE(B18,AI18)*('Summary Page'!$C$2+1))*('Summary Page'!$C$2+1))*('Summary Page'!$C$2+1)</f>
        <v>#DIV/0!</v>
      </c>
      <c r="AK18" s="7" t="e">
        <f>((AVERAGE(B18,AI18)*('Summary Page'!$C$3+1))*('Summary Page'!$C$3+1))*('Summary Page'!$C$3+1)</f>
        <v>#DIV/0!</v>
      </c>
      <c r="AL18" s="8" t="e">
        <f>((AVERAGE(B18,AI18)*('Summary Page'!$C$4+1))*('Summary Page'!$C$4+1))*('Summary Page'!$C$4+1)</f>
        <v>#DIV/0!</v>
      </c>
      <c r="AO18" s="7"/>
      <c r="AP18" s="7" t="e">
        <f>((AVERAGE(C18,AO18)*('Summary Page'!$C$2+1))*('Summary Page'!$C$2+1))*('Summary Page'!$C$2+1)</f>
        <v>#DIV/0!</v>
      </c>
      <c r="AQ18" s="7" t="e">
        <f>((AVERAGE(C18,AO18)*('Summary Page'!$C$3+1))*('Summary Page'!$C$3+1))*('Summary Page'!$C$3+1)</f>
        <v>#DIV/0!</v>
      </c>
      <c r="AR18" s="8" t="e">
        <f>((AVERAGE(C18,AO18)*('Summary Page'!$C$4+1))*('Summary Page'!$C$4+1))*('Summary Page'!$C$4+1)</f>
        <v>#DIV/0!</v>
      </c>
      <c r="AU18" s="7"/>
      <c r="AV18" s="7" t="e">
        <f>((AVERAGE(D18,AU18)*('Summary Page'!$C$2+1))*('Summary Page'!$C$2+1))*('Summary Page'!$C$2+1)</f>
        <v>#DIV/0!</v>
      </c>
      <c r="AW18" s="7" t="e">
        <f>((AVERAGE(D18,AU18)*('Summary Page'!$C$3+1))*('Summary Page'!$C$3+1))*('Summary Page'!$C$3+1)</f>
        <v>#DIV/0!</v>
      </c>
      <c r="AX18" s="7" t="e">
        <f>((AVERAGE(D18,AU18)*('Summary Page'!$C$4+1))*('Summary Page'!$C$4+1))*('Summary Page'!$C$4+1)</f>
        <v>#DIV/0!</v>
      </c>
      <c r="BA18" s="7"/>
      <c r="BB18" s="7" t="e">
        <f>((AVERAGE(E18,BA18)*('Summary Page'!$C$2+1))*('Summary Page'!$C$2+1))*('Summary Page'!$C$2+1)</f>
        <v>#DIV/0!</v>
      </c>
      <c r="BC18" s="7" t="e">
        <f>((AVERAGE(E18,BA18)*('Summary Page'!$C$3+1))*('Summary Page'!$C$3+1))*('Summary Page'!$C$3+1)</f>
        <v>#DIV/0!</v>
      </c>
      <c r="BD18" s="8" t="e">
        <f>((AVERAGE(E18,BA18)*('Summary Page'!$C$4+1))*('Summary Page'!$C$4+1))*('Summary Page'!$C$4+1)</f>
        <v>#DIV/0!</v>
      </c>
      <c r="BG18" s="7"/>
      <c r="BH18" s="7" t="e">
        <f>((AVERAGE(F18,BG18)*('Summary Page'!$C$2+1))*('Summary Page'!$C$2+1))*('Summary Page'!$C$2+1)</f>
        <v>#DIV/0!</v>
      </c>
      <c r="BI18" s="7" t="e">
        <f>((AVERAGE(F18,BG18)*('Summary Page'!$C$3+1))*('Summary Page'!$C$3+1))*('Summary Page'!$C$3+1)</f>
        <v>#DIV/0!</v>
      </c>
      <c r="BJ18" s="8" t="e">
        <f>((AVERAGE(F18,BG18)*('Summary Page'!$C$4+1))*('Summary Page'!$C$4+1))*('Summary Page'!$C$4+1)</f>
        <v>#DIV/0!</v>
      </c>
      <c r="BM18" s="7"/>
      <c r="BN18" s="7" t="e">
        <f>((AVERAGE(Q18,BM18)*('Summary Page'!$C$2+1))*('Summary Page'!$C$2+1))*('Summary Page'!$C$2+1)</f>
        <v>#DIV/0!</v>
      </c>
      <c r="BO18" s="7" t="e">
        <f>((AVERAGE(Q18,BM18)*('Summary Page'!$C$3+1))*('Summary Page'!$C$3+1))*('Summary Page'!$C$3+1)</f>
        <v>#DIV/0!</v>
      </c>
      <c r="BP18" s="8" t="e">
        <f>((AVERAGE(Q18,BM18)*('Summary Page'!$C$4+1))*('Summary Page'!$C$4+1))*('Summary Page'!$C$4+1)</f>
        <v>#DIV/0!</v>
      </c>
      <c r="BS18" s="7"/>
      <c r="BT18" s="7" t="e">
        <f>((AVERAGE(T18,BS18)*('Summary Page'!$C$2+1))*('Summary Page'!$C$2+1))*('Summary Page'!$C$2+1)</f>
        <v>#DIV/0!</v>
      </c>
      <c r="BU18" s="7" t="e">
        <f>((AVERAGE(T18,BS18)*('Summary Page'!$C$3+1))*('Summary Page'!$C$3+1))*('Summary Page'!$C$3+1)</f>
        <v>#DIV/0!</v>
      </c>
      <c r="BV18" s="8" t="e">
        <f>((AVERAGE(T18,BS18)*('Summary Page'!$C$4+1))*('Summary Page'!$C$4+1))*('Summary Page'!$C$4+1)</f>
        <v>#DIV/0!</v>
      </c>
    </row>
    <row r="19" spans="1:86" ht="15.75" x14ac:dyDescent="0.25">
      <c r="A19" s="1">
        <v>43570</v>
      </c>
      <c r="B19" s="14"/>
      <c r="C19" s="14"/>
      <c r="D19" s="7"/>
      <c r="E19" s="14"/>
      <c r="F19" s="14"/>
      <c r="G19" s="110"/>
      <c r="H19" s="7"/>
      <c r="I19" s="7"/>
      <c r="J19" s="7"/>
      <c r="K19" s="111"/>
      <c r="L19" s="7"/>
      <c r="M19" s="7"/>
      <c r="N19" s="7"/>
      <c r="O19" s="7"/>
      <c r="P19" s="7"/>
      <c r="Q19" s="7"/>
      <c r="R19" s="7"/>
      <c r="S19" s="7"/>
      <c r="AA19" s="2"/>
      <c r="AB19" s="2"/>
      <c r="AC19" s="2"/>
      <c r="AD19" s="7" t="e">
        <f>((AVERAGE(AA19,AC19)*('Summary Page'!$C$2+1))*('Summary Page'!$C$2+1))*('Summary Page'!$C$2+1)</f>
        <v>#DIV/0!</v>
      </c>
      <c r="AE19" s="7" t="e">
        <f>((AVERAGE(AA19,AC19)*('Summary Page'!$C$3+1))*('Summary Page'!$C$3+1))*('Summary Page'!$C$3+1)</f>
        <v>#DIV/0!</v>
      </c>
      <c r="AF19" s="7" t="e">
        <f>((AVERAGE(AA19,AC19)*('Summary Page'!$C$4+1))*('Summary Page'!$C$4+1))*('Summary Page'!$C$4+1)</f>
        <v>#DIV/0!</v>
      </c>
      <c r="AI19" s="7"/>
      <c r="AJ19" s="7" t="e">
        <f>((AVERAGE(B19,AI19)*('Summary Page'!$C$2+1))*('Summary Page'!$C$2+1))*('Summary Page'!$C$2+1)</f>
        <v>#DIV/0!</v>
      </c>
      <c r="AK19" s="7" t="e">
        <f>((AVERAGE(B19,AI19)*('Summary Page'!$C$3+1))*('Summary Page'!$C$3+1))*('Summary Page'!$C$3+1)</f>
        <v>#DIV/0!</v>
      </c>
      <c r="AL19" s="8" t="e">
        <f>((AVERAGE(B19,AI19)*('Summary Page'!$C$4+1))*('Summary Page'!$C$4+1))*('Summary Page'!$C$4+1)</f>
        <v>#DIV/0!</v>
      </c>
      <c r="AO19" s="7"/>
      <c r="AP19" s="7" t="e">
        <f>((AVERAGE(C19,AO19)*('Summary Page'!$C$2+1))*('Summary Page'!$C$2+1))*('Summary Page'!$C$2+1)</f>
        <v>#DIV/0!</v>
      </c>
      <c r="AQ19" s="7" t="e">
        <f>((AVERAGE(C19,AO19)*('Summary Page'!$C$3+1))*('Summary Page'!$C$3+1))*('Summary Page'!$C$3+1)</f>
        <v>#DIV/0!</v>
      </c>
      <c r="AR19" s="8" t="e">
        <f>((AVERAGE(C19,AO19)*('Summary Page'!$C$4+1))*('Summary Page'!$C$4+1))*('Summary Page'!$C$4+1)</f>
        <v>#DIV/0!</v>
      </c>
      <c r="AU19" s="7"/>
      <c r="AV19" s="7" t="e">
        <f>((AVERAGE(D19,AU19)*('Summary Page'!$C$2+1))*('Summary Page'!$C$2+1))*('Summary Page'!$C$2+1)</f>
        <v>#DIV/0!</v>
      </c>
      <c r="AW19" s="7" t="e">
        <f>((AVERAGE(D19,AU19)*('Summary Page'!$C$3+1))*('Summary Page'!$C$3+1))*('Summary Page'!$C$3+1)</f>
        <v>#DIV/0!</v>
      </c>
      <c r="AX19" s="7" t="e">
        <f>((AVERAGE(D19,AU19)*('Summary Page'!$C$4+1))*('Summary Page'!$C$4+1))*('Summary Page'!$C$4+1)</f>
        <v>#DIV/0!</v>
      </c>
      <c r="BA19" s="7"/>
      <c r="BB19" s="7" t="e">
        <f>((AVERAGE(E19,BA19)*('Summary Page'!$C$2+1))*('Summary Page'!$C$2+1))*('Summary Page'!$C$2+1)</f>
        <v>#DIV/0!</v>
      </c>
      <c r="BC19" s="7" t="e">
        <f>((AVERAGE(E19,BA19)*('Summary Page'!$C$3+1))*('Summary Page'!$C$3+1))*('Summary Page'!$C$3+1)</f>
        <v>#DIV/0!</v>
      </c>
      <c r="BD19" s="8" t="e">
        <f>((AVERAGE(E19,BA19)*('Summary Page'!$C$4+1))*('Summary Page'!$C$4+1))*('Summary Page'!$C$4+1)</f>
        <v>#DIV/0!</v>
      </c>
      <c r="BG19" s="7"/>
      <c r="BH19" s="7" t="e">
        <f>((AVERAGE(F19,BG19)*('Summary Page'!$C$2+1))*('Summary Page'!$C$2+1))*('Summary Page'!$C$2+1)</f>
        <v>#DIV/0!</v>
      </c>
      <c r="BI19" s="7" t="e">
        <f>((AVERAGE(F19,BG19)*('Summary Page'!$C$3+1))*('Summary Page'!$C$3+1))*('Summary Page'!$C$3+1)</f>
        <v>#DIV/0!</v>
      </c>
      <c r="BJ19" s="8" t="e">
        <f>((AVERAGE(F19,BG19)*('Summary Page'!$C$4+1))*('Summary Page'!$C$4+1))*('Summary Page'!$C$4+1)</f>
        <v>#DIV/0!</v>
      </c>
      <c r="BM19" s="7"/>
      <c r="BN19" s="7" t="e">
        <f>((AVERAGE(Q19,BM19)*('Summary Page'!$C$2+1))*('Summary Page'!$C$2+1))*('Summary Page'!$C$2+1)</f>
        <v>#DIV/0!</v>
      </c>
      <c r="BO19" s="7" t="e">
        <f>((AVERAGE(Q19,BM19)*('Summary Page'!$C$3+1))*('Summary Page'!$C$3+1))*('Summary Page'!$C$3+1)</f>
        <v>#DIV/0!</v>
      </c>
      <c r="BP19" s="8" t="e">
        <f>((AVERAGE(Q19,BM19)*('Summary Page'!$C$4+1))*('Summary Page'!$C$4+1))*('Summary Page'!$C$4+1)</f>
        <v>#DIV/0!</v>
      </c>
      <c r="BS19" s="7"/>
      <c r="BT19" s="7" t="e">
        <f>((AVERAGE(T19,BS19)*('Summary Page'!$C$2+1))*('Summary Page'!$C$2+1))*('Summary Page'!$C$2+1)</f>
        <v>#DIV/0!</v>
      </c>
      <c r="BU19" s="7" t="e">
        <f>((AVERAGE(T19,BS19)*('Summary Page'!$C$3+1))*('Summary Page'!$C$3+1))*('Summary Page'!$C$3+1)</f>
        <v>#DIV/0!</v>
      </c>
      <c r="BV19" s="8" t="e">
        <f>((AVERAGE(T19,BS19)*('Summary Page'!$C$4+1))*('Summary Page'!$C$4+1))*('Summary Page'!$C$4+1)</f>
        <v>#DIV/0!</v>
      </c>
    </row>
    <row r="20" spans="1:86" ht="15.75" x14ac:dyDescent="0.25">
      <c r="A20" s="1">
        <v>43586</v>
      </c>
      <c r="B20" s="14"/>
      <c r="C20" s="14"/>
      <c r="D20" s="7"/>
      <c r="E20" s="14"/>
      <c r="F20" s="14"/>
      <c r="G20" s="110"/>
      <c r="H20" s="7"/>
      <c r="I20" s="7"/>
      <c r="J20" s="7"/>
      <c r="K20" s="111"/>
      <c r="L20" s="7"/>
      <c r="M20" s="7"/>
      <c r="N20" s="7"/>
      <c r="O20" s="7"/>
      <c r="P20" s="7"/>
      <c r="Q20" s="7"/>
      <c r="R20" s="7"/>
      <c r="S20" s="7"/>
      <c r="AA20" s="2"/>
      <c r="AB20" s="2"/>
      <c r="AC20" s="2"/>
      <c r="AD20" s="7" t="e">
        <f>((AVERAGE(AA20,AC20)*('Summary Page'!$C$2+1))*('Summary Page'!$C$2+1))*('Summary Page'!$C$2+1)</f>
        <v>#DIV/0!</v>
      </c>
      <c r="AE20" s="7" t="e">
        <f>((AVERAGE(AA20,AC20)*('Summary Page'!$C$3+1))*('Summary Page'!$C$3+1))*('Summary Page'!$C$3+1)</f>
        <v>#DIV/0!</v>
      </c>
      <c r="AF20" s="7" t="e">
        <f>((AVERAGE(AA20,AC20)*('Summary Page'!$C$4+1))*('Summary Page'!$C$4+1))*('Summary Page'!$C$4+1)</f>
        <v>#DIV/0!</v>
      </c>
      <c r="AI20" s="7"/>
      <c r="AJ20" s="7" t="e">
        <f>((AVERAGE(B20,AI20)*('Summary Page'!$C$2+1))*('Summary Page'!$C$2+1))*('Summary Page'!$C$2+1)</f>
        <v>#DIV/0!</v>
      </c>
      <c r="AK20" s="7" t="e">
        <f>((AVERAGE(B20,AI20)*('Summary Page'!$C$3+1))*('Summary Page'!$C$3+1))*('Summary Page'!$C$3+1)</f>
        <v>#DIV/0!</v>
      </c>
      <c r="AL20" s="8" t="e">
        <f>((AVERAGE(B20,AI20)*('Summary Page'!$C$4+1))*('Summary Page'!$C$4+1))*('Summary Page'!$C$4+1)</f>
        <v>#DIV/0!</v>
      </c>
      <c r="AO20" s="7"/>
      <c r="AP20" s="7" t="e">
        <f>((AVERAGE(C20,AO20)*('Summary Page'!$C$2+1))*('Summary Page'!$C$2+1))*('Summary Page'!$C$2+1)</f>
        <v>#DIV/0!</v>
      </c>
      <c r="AQ20" s="7" t="e">
        <f>((AVERAGE(C20,AO20)*('Summary Page'!$C$3+1))*('Summary Page'!$C$3+1))*('Summary Page'!$C$3+1)</f>
        <v>#DIV/0!</v>
      </c>
      <c r="AR20" s="8" t="e">
        <f>((AVERAGE(C20,AO20)*('Summary Page'!$C$4+1))*('Summary Page'!$C$4+1))*('Summary Page'!$C$4+1)</f>
        <v>#DIV/0!</v>
      </c>
      <c r="AU20" s="7"/>
      <c r="AV20" s="7" t="e">
        <f>((AVERAGE(D20,AU20)*('Summary Page'!$C$2+1))*('Summary Page'!$C$2+1))*('Summary Page'!$C$2+1)</f>
        <v>#DIV/0!</v>
      </c>
      <c r="AW20" s="7" t="e">
        <f>((AVERAGE(D20,AU20)*('Summary Page'!$C$3+1))*('Summary Page'!$C$3+1))*('Summary Page'!$C$3+1)</f>
        <v>#DIV/0!</v>
      </c>
      <c r="AX20" s="7" t="e">
        <f>((AVERAGE(D20,AU20)*('Summary Page'!$C$4+1))*('Summary Page'!$C$4+1))*('Summary Page'!$C$4+1)</f>
        <v>#DIV/0!</v>
      </c>
      <c r="BA20" s="7"/>
      <c r="BB20" s="7" t="e">
        <f>((AVERAGE(E20,BA20)*('Summary Page'!$C$2+1))*('Summary Page'!$C$2+1))*('Summary Page'!$C$2+1)</f>
        <v>#DIV/0!</v>
      </c>
      <c r="BC20" s="7" t="e">
        <f>((AVERAGE(E20,BA20)*('Summary Page'!$C$3+1))*('Summary Page'!$C$3+1))*('Summary Page'!$C$3+1)</f>
        <v>#DIV/0!</v>
      </c>
      <c r="BD20" s="8" t="e">
        <f>((AVERAGE(E20,BA20)*('Summary Page'!$C$4+1))*('Summary Page'!$C$4+1))*('Summary Page'!$C$4+1)</f>
        <v>#DIV/0!</v>
      </c>
      <c r="BG20" s="7"/>
      <c r="BH20" s="7" t="e">
        <f>((AVERAGE(F20,BG20)*('Summary Page'!$C$2+1))*('Summary Page'!$C$2+1))*('Summary Page'!$C$2+1)</f>
        <v>#DIV/0!</v>
      </c>
      <c r="BI20" s="7" t="e">
        <f>((AVERAGE(F20,BG20)*('Summary Page'!$C$3+1))*('Summary Page'!$C$3+1))*('Summary Page'!$C$3+1)</f>
        <v>#DIV/0!</v>
      </c>
      <c r="BJ20" s="8" t="e">
        <f>((AVERAGE(F20,BG20)*('Summary Page'!$C$4+1))*('Summary Page'!$C$4+1))*('Summary Page'!$C$4+1)</f>
        <v>#DIV/0!</v>
      </c>
      <c r="BM20" s="7"/>
      <c r="BN20" s="7" t="e">
        <f>((AVERAGE(Q20,BM20)*('Summary Page'!$C$2+1))*('Summary Page'!$C$2+1))*('Summary Page'!$C$2+1)</f>
        <v>#DIV/0!</v>
      </c>
      <c r="BO20" s="7" t="e">
        <f>((AVERAGE(Q20,BM20)*('Summary Page'!$C$3+1))*('Summary Page'!$C$3+1))*('Summary Page'!$C$3+1)</f>
        <v>#DIV/0!</v>
      </c>
      <c r="BP20" s="8" t="e">
        <f>((AVERAGE(Q20,BM20)*('Summary Page'!$C$4+1))*('Summary Page'!$C$4+1))*('Summary Page'!$C$4+1)</f>
        <v>#DIV/0!</v>
      </c>
      <c r="BS20" s="7"/>
      <c r="BT20" s="7" t="e">
        <f>((AVERAGE(T20,BS20)*('Summary Page'!$C$2+1))*('Summary Page'!$C$2+1))*('Summary Page'!$C$2+1)</f>
        <v>#DIV/0!</v>
      </c>
      <c r="BU20" s="7" t="e">
        <f>((AVERAGE(T20,BS20)*('Summary Page'!$C$3+1))*('Summary Page'!$C$3+1))*('Summary Page'!$C$3+1)</f>
        <v>#DIV/0!</v>
      </c>
      <c r="BV20" s="8" t="e">
        <f>((AVERAGE(T20,BS20)*('Summary Page'!$C$4+1))*('Summary Page'!$C$4+1))*('Summary Page'!$C$4+1)</f>
        <v>#DIV/0!</v>
      </c>
    </row>
    <row r="21" spans="1:86" ht="15.75" x14ac:dyDescent="0.25">
      <c r="A21" s="1">
        <v>43599</v>
      </c>
      <c r="B21" s="14"/>
      <c r="C21" s="14"/>
      <c r="D21" s="7"/>
      <c r="E21" s="14"/>
      <c r="F21" s="14"/>
      <c r="G21" s="110"/>
      <c r="H21" s="7"/>
      <c r="I21" s="7"/>
      <c r="J21" s="7"/>
      <c r="K21" s="111"/>
      <c r="L21" s="7"/>
      <c r="M21" s="7"/>
      <c r="N21" s="7"/>
      <c r="O21" s="7"/>
      <c r="P21" s="7"/>
      <c r="Q21" s="7"/>
      <c r="R21" s="7"/>
      <c r="S21" s="7"/>
      <c r="AA21" s="2"/>
      <c r="AB21" s="2"/>
      <c r="AC21" s="2"/>
      <c r="AD21" s="7" t="e">
        <f>((AVERAGE(AA21,AC21)*('Summary Page'!$C$2+1))*('Summary Page'!$C$2+1))*('Summary Page'!$C$2+1)</f>
        <v>#DIV/0!</v>
      </c>
      <c r="AE21" s="7" t="e">
        <f>((AVERAGE(AA21,AC21)*('Summary Page'!$C$3+1))*('Summary Page'!$C$3+1))*('Summary Page'!$C$3+1)</f>
        <v>#DIV/0!</v>
      </c>
      <c r="AF21" s="7" t="e">
        <f>((AVERAGE(AA21,AC21)*('Summary Page'!$C$4+1))*('Summary Page'!$C$4+1))*('Summary Page'!$C$4+1)</f>
        <v>#DIV/0!</v>
      </c>
      <c r="AI21" s="7"/>
      <c r="AJ21" s="7" t="e">
        <f>((AVERAGE(B21,AI21)*('Summary Page'!$C$2+1))*('Summary Page'!$C$2+1))*('Summary Page'!$C$2+1)</f>
        <v>#DIV/0!</v>
      </c>
      <c r="AK21" s="7" t="e">
        <f>((AVERAGE(B21,AI21)*('Summary Page'!$C$3+1))*('Summary Page'!$C$3+1))*('Summary Page'!$C$3+1)</f>
        <v>#DIV/0!</v>
      </c>
      <c r="AL21" s="8" t="e">
        <f>((AVERAGE(B21,AI21)*('Summary Page'!$C$4+1))*('Summary Page'!$C$4+1))*('Summary Page'!$C$4+1)</f>
        <v>#DIV/0!</v>
      </c>
      <c r="AO21" s="7"/>
      <c r="AP21" s="7" t="e">
        <f>((AVERAGE(C21,AO21)*('Summary Page'!$C$2+1))*('Summary Page'!$C$2+1))*('Summary Page'!$C$2+1)</f>
        <v>#DIV/0!</v>
      </c>
      <c r="AQ21" s="7" t="e">
        <f>((AVERAGE(C21,AO21)*('Summary Page'!$C$3+1))*('Summary Page'!$C$3+1))*('Summary Page'!$C$3+1)</f>
        <v>#DIV/0!</v>
      </c>
      <c r="AR21" s="8" t="e">
        <f>((AVERAGE(C21,AO21)*('Summary Page'!$C$4+1))*('Summary Page'!$C$4+1))*('Summary Page'!$C$4+1)</f>
        <v>#DIV/0!</v>
      </c>
      <c r="AU21" s="7"/>
      <c r="AV21" s="7" t="e">
        <f>((AVERAGE(D21,AU21)*('Summary Page'!$C$2+1))*('Summary Page'!$C$2+1))*('Summary Page'!$C$2+1)</f>
        <v>#DIV/0!</v>
      </c>
      <c r="AW21" s="7" t="e">
        <f>((AVERAGE(D21,AU21)*('Summary Page'!$C$3+1))*('Summary Page'!$C$3+1))*('Summary Page'!$C$3+1)</f>
        <v>#DIV/0!</v>
      </c>
      <c r="AX21" s="7" t="e">
        <f>((AVERAGE(D21,AU21)*('Summary Page'!$C$4+1))*('Summary Page'!$C$4+1))*('Summary Page'!$C$4+1)</f>
        <v>#DIV/0!</v>
      </c>
      <c r="BA21" s="7"/>
      <c r="BB21" s="7" t="e">
        <f>((AVERAGE(E21,BA21)*('Summary Page'!$C$2+1))*('Summary Page'!$C$2+1))*('Summary Page'!$C$2+1)</f>
        <v>#DIV/0!</v>
      </c>
      <c r="BC21" s="7" t="e">
        <f>((AVERAGE(E21,BA21)*('Summary Page'!$C$3+1))*('Summary Page'!$C$3+1))*('Summary Page'!$C$3+1)</f>
        <v>#DIV/0!</v>
      </c>
      <c r="BD21" s="8" t="e">
        <f>((AVERAGE(E21,BA21)*('Summary Page'!$C$4+1))*('Summary Page'!$C$4+1))*('Summary Page'!$C$4+1)</f>
        <v>#DIV/0!</v>
      </c>
      <c r="BG21" s="7"/>
      <c r="BH21" s="7" t="e">
        <f>((AVERAGE(F21,BG21)*('Summary Page'!$C$2+1))*('Summary Page'!$C$2+1))*('Summary Page'!$C$2+1)</f>
        <v>#DIV/0!</v>
      </c>
      <c r="BI21" s="7" t="e">
        <f>((AVERAGE(F21,BG21)*('Summary Page'!$C$3+1))*('Summary Page'!$C$3+1))*('Summary Page'!$C$3+1)</f>
        <v>#DIV/0!</v>
      </c>
      <c r="BJ21" s="8" t="e">
        <f>((AVERAGE(F21,BG21)*('Summary Page'!$C$4+1))*('Summary Page'!$C$4+1))*('Summary Page'!$C$4+1)</f>
        <v>#DIV/0!</v>
      </c>
      <c r="BM21" s="7"/>
      <c r="BN21" s="7" t="e">
        <f>((AVERAGE(Q21,BM21)*('Summary Page'!$C$2+1))*('Summary Page'!$C$2+1))*('Summary Page'!$C$2+1)</f>
        <v>#DIV/0!</v>
      </c>
      <c r="BO21" s="7" t="e">
        <f>((AVERAGE(Q21,BM21)*('Summary Page'!$C$3+1))*('Summary Page'!$C$3+1))*('Summary Page'!$C$3+1)</f>
        <v>#DIV/0!</v>
      </c>
      <c r="BP21" s="8" t="e">
        <f>((AVERAGE(Q21,BM21)*('Summary Page'!$C$4+1))*('Summary Page'!$C$4+1))*('Summary Page'!$C$4+1)</f>
        <v>#DIV/0!</v>
      </c>
      <c r="BS21" s="7"/>
      <c r="BT21" s="7" t="e">
        <f>((AVERAGE(T21,BS21)*('Summary Page'!$C$2+1))*('Summary Page'!$C$2+1))*('Summary Page'!$C$2+1)</f>
        <v>#DIV/0!</v>
      </c>
      <c r="BU21" s="7" t="e">
        <f>((AVERAGE(T21,BS21)*('Summary Page'!$C$3+1))*('Summary Page'!$C$3+1))*('Summary Page'!$C$3+1)</f>
        <v>#DIV/0!</v>
      </c>
      <c r="BV21" s="8" t="e">
        <f>((AVERAGE(T21,BS21)*('Summary Page'!$C$4+1))*('Summary Page'!$C$4+1))*('Summary Page'!$C$4+1)</f>
        <v>#DIV/0!</v>
      </c>
    </row>
    <row r="22" spans="1:86" ht="15.75" x14ac:dyDescent="0.25">
      <c r="A22" s="1">
        <v>43617</v>
      </c>
      <c r="B22" s="14"/>
      <c r="C22" s="14"/>
      <c r="D22" s="7"/>
      <c r="E22" s="14"/>
      <c r="F22" s="14"/>
      <c r="G22" s="110"/>
      <c r="H22" s="7"/>
      <c r="I22" s="7"/>
      <c r="J22" s="7"/>
      <c r="K22" s="111"/>
      <c r="L22" s="7"/>
      <c r="M22" s="7"/>
      <c r="N22" s="7"/>
      <c r="O22" s="7"/>
      <c r="P22" s="7"/>
      <c r="Q22" s="7"/>
      <c r="R22" s="7"/>
      <c r="S22" s="7"/>
      <c r="AA22" s="2"/>
      <c r="AB22" s="2"/>
      <c r="AC22" s="2"/>
      <c r="AD22" s="7" t="e">
        <f>((AVERAGE(AA22,AC22)*('Summary Page'!$C$2+1))*('Summary Page'!$C$2+1))*('Summary Page'!$C$2+1)</f>
        <v>#DIV/0!</v>
      </c>
      <c r="AE22" s="7" t="e">
        <f>((AVERAGE(AA22,AC22)*('Summary Page'!$C$3+1))*('Summary Page'!$C$3+1))*('Summary Page'!$C$3+1)</f>
        <v>#DIV/0!</v>
      </c>
      <c r="AF22" s="7" t="e">
        <f>((AVERAGE(AA22,AC22)*('Summary Page'!$C$4+1))*('Summary Page'!$C$4+1))*('Summary Page'!$C$4+1)</f>
        <v>#DIV/0!</v>
      </c>
      <c r="AI22" s="7"/>
      <c r="AJ22" s="7" t="e">
        <f>((AVERAGE(B22,AI22)*('Summary Page'!$C$2+1))*('Summary Page'!$C$2+1))*('Summary Page'!$C$2+1)</f>
        <v>#DIV/0!</v>
      </c>
      <c r="AK22" s="7" t="e">
        <f>((AVERAGE(B22,AI22)*('Summary Page'!$C$3+1))*('Summary Page'!$C$3+1))*('Summary Page'!$C$3+1)</f>
        <v>#DIV/0!</v>
      </c>
      <c r="AL22" s="8" t="e">
        <f>((AVERAGE(B22,AI22)*('Summary Page'!$C$4+1))*('Summary Page'!$C$4+1))*('Summary Page'!$C$4+1)</f>
        <v>#DIV/0!</v>
      </c>
      <c r="AO22" s="7"/>
      <c r="AP22" s="7" t="e">
        <f>((AVERAGE(C22,AO22)*('Summary Page'!$C$2+1))*('Summary Page'!$C$2+1))*('Summary Page'!$C$2+1)</f>
        <v>#DIV/0!</v>
      </c>
      <c r="AQ22" s="7" t="e">
        <f>((AVERAGE(C22,AO22)*('Summary Page'!$C$3+1))*('Summary Page'!$C$3+1))*('Summary Page'!$C$3+1)</f>
        <v>#DIV/0!</v>
      </c>
      <c r="AR22" s="8" t="e">
        <f>((AVERAGE(C22,AO22)*('Summary Page'!$C$4+1))*('Summary Page'!$C$4+1))*('Summary Page'!$C$4+1)</f>
        <v>#DIV/0!</v>
      </c>
      <c r="AU22" s="7"/>
      <c r="AV22" s="7" t="e">
        <f>((AVERAGE(D22,AU22)*('Summary Page'!$C$2+1))*('Summary Page'!$C$2+1))*('Summary Page'!$C$2+1)</f>
        <v>#DIV/0!</v>
      </c>
      <c r="AW22" s="7" t="e">
        <f>((AVERAGE(D22,AU22)*('Summary Page'!$C$3+1))*('Summary Page'!$C$3+1))*('Summary Page'!$C$3+1)</f>
        <v>#DIV/0!</v>
      </c>
      <c r="AX22" s="7" t="e">
        <f>((AVERAGE(D22,AU22)*('Summary Page'!$C$4+1))*('Summary Page'!$C$4+1))*('Summary Page'!$C$4+1)</f>
        <v>#DIV/0!</v>
      </c>
      <c r="BA22" s="7"/>
      <c r="BB22" s="7" t="e">
        <f>((AVERAGE(E22,BA22)*('Summary Page'!$C$2+1))*('Summary Page'!$C$2+1))*('Summary Page'!$C$2+1)</f>
        <v>#DIV/0!</v>
      </c>
      <c r="BC22" s="7" t="e">
        <f>((AVERAGE(E22,BA22)*('Summary Page'!$C$3+1))*('Summary Page'!$C$3+1))*('Summary Page'!$C$3+1)</f>
        <v>#DIV/0!</v>
      </c>
      <c r="BD22" s="8" t="e">
        <f>((AVERAGE(E22,BA22)*('Summary Page'!$C$4+1))*('Summary Page'!$C$4+1))*('Summary Page'!$C$4+1)</f>
        <v>#DIV/0!</v>
      </c>
      <c r="BG22" s="7"/>
      <c r="BH22" s="7" t="e">
        <f>((AVERAGE(F22,BG22)*('Summary Page'!$C$2+1))*('Summary Page'!$C$2+1))*('Summary Page'!$C$2+1)</f>
        <v>#DIV/0!</v>
      </c>
      <c r="BI22" s="7" t="e">
        <f>((AVERAGE(F22,BG22)*('Summary Page'!$C$3+1))*('Summary Page'!$C$3+1))*('Summary Page'!$C$3+1)</f>
        <v>#DIV/0!</v>
      </c>
      <c r="BJ22" s="8" t="e">
        <f>((AVERAGE(F22,BG22)*('Summary Page'!$C$4+1))*('Summary Page'!$C$4+1))*('Summary Page'!$C$4+1)</f>
        <v>#DIV/0!</v>
      </c>
      <c r="BM22" s="7"/>
      <c r="BN22" s="7" t="e">
        <f>((AVERAGE(Q22,BM22)*('Summary Page'!$C$2+1))*('Summary Page'!$C$2+1))*('Summary Page'!$C$2+1)</f>
        <v>#DIV/0!</v>
      </c>
      <c r="BO22" s="7" t="e">
        <f>((AVERAGE(Q22,BM22)*('Summary Page'!$C$3+1))*('Summary Page'!$C$3+1))*('Summary Page'!$C$3+1)</f>
        <v>#DIV/0!</v>
      </c>
      <c r="BP22" s="8" t="e">
        <f>((AVERAGE(Q22,BM22)*('Summary Page'!$C$4+1))*('Summary Page'!$C$4+1))*('Summary Page'!$C$4+1)</f>
        <v>#DIV/0!</v>
      </c>
      <c r="BS22" s="7"/>
      <c r="BT22" s="7" t="e">
        <f>((AVERAGE(T22,BS22)*('Summary Page'!$C$2+1))*('Summary Page'!$C$2+1))*('Summary Page'!$C$2+1)</f>
        <v>#DIV/0!</v>
      </c>
      <c r="BU22" s="7" t="e">
        <f>((AVERAGE(T22,BS22)*('Summary Page'!$C$3+1))*('Summary Page'!$C$3+1))*('Summary Page'!$C$3+1)</f>
        <v>#DIV/0!</v>
      </c>
      <c r="BV22" s="8" t="e">
        <f>((AVERAGE(T22,BS22)*('Summary Page'!$C$4+1))*('Summary Page'!$C$4+1))*('Summary Page'!$C$4+1)</f>
        <v>#DIV/0!</v>
      </c>
    </row>
    <row r="23" spans="1:86" ht="15.75" x14ac:dyDescent="0.25">
      <c r="A23" s="1">
        <v>43630</v>
      </c>
      <c r="B23" s="14"/>
      <c r="C23" s="14"/>
      <c r="D23" s="7"/>
      <c r="E23" s="14"/>
      <c r="F23" s="14"/>
      <c r="G23" s="110"/>
      <c r="H23" s="7"/>
      <c r="I23" s="7"/>
      <c r="J23" s="7"/>
      <c r="K23" s="111"/>
      <c r="L23" s="7"/>
      <c r="M23" s="7"/>
      <c r="N23" s="7"/>
      <c r="O23" s="7"/>
      <c r="P23" s="7"/>
      <c r="Q23" s="7"/>
      <c r="R23" s="7"/>
      <c r="S23" s="7"/>
      <c r="AA23" s="2"/>
      <c r="AB23" s="2"/>
      <c r="AC23" s="2"/>
      <c r="AD23" s="7" t="e">
        <f>((AVERAGE(AA23,AC23)*('Summary Page'!$C$2+1))*('Summary Page'!$C$2+1))*('Summary Page'!$C$2+1)</f>
        <v>#DIV/0!</v>
      </c>
      <c r="AE23" s="7" t="e">
        <f>((AVERAGE(AA23,AC23)*('Summary Page'!$C$3+1))*('Summary Page'!$C$3+1))*('Summary Page'!$C$3+1)</f>
        <v>#DIV/0!</v>
      </c>
      <c r="AF23" s="7" t="e">
        <f>((AVERAGE(AA23,AC23)*('Summary Page'!$C$4+1))*('Summary Page'!$C$4+1))*('Summary Page'!$C$4+1)</f>
        <v>#DIV/0!</v>
      </c>
      <c r="AI23" s="7"/>
      <c r="AJ23" s="7" t="e">
        <f>((AVERAGE(B23,AI23)*('Summary Page'!$C$2+1))*('Summary Page'!$C$2+1))*('Summary Page'!$C$2+1)</f>
        <v>#DIV/0!</v>
      </c>
      <c r="AK23" s="7" t="e">
        <f>((AVERAGE(B23,AI23)*('Summary Page'!$C$3+1))*('Summary Page'!$C$3+1))*('Summary Page'!$C$3+1)</f>
        <v>#DIV/0!</v>
      </c>
      <c r="AL23" s="8" t="e">
        <f>((AVERAGE(B23,AI23)*('Summary Page'!$C$4+1))*('Summary Page'!$C$4+1))*('Summary Page'!$C$4+1)</f>
        <v>#DIV/0!</v>
      </c>
      <c r="AO23" s="7"/>
      <c r="AP23" s="7" t="e">
        <f>((AVERAGE(C23,AO23)*('Summary Page'!$C$2+1))*('Summary Page'!$C$2+1))*('Summary Page'!$C$2+1)</f>
        <v>#DIV/0!</v>
      </c>
      <c r="AQ23" s="7" t="e">
        <f>((AVERAGE(C23,AO23)*('Summary Page'!$C$3+1))*('Summary Page'!$C$3+1))*('Summary Page'!$C$3+1)</f>
        <v>#DIV/0!</v>
      </c>
      <c r="AR23" s="8" t="e">
        <f>((AVERAGE(C23,AO23)*('Summary Page'!$C$4+1))*('Summary Page'!$C$4+1))*('Summary Page'!$C$4+1)</f>
        <v>#DIV/0!</v>
      </c>
      <c r="AU23" s="7"/>
      <c r="AV23" s="7" t="e">
        <f>((AVERAGE(D23,AU23)*('Summary Page'!$C$2+1))*('Summary Page'!$C$2+1))*('Summary Page'!$C$2+1)</f>
        <v>#DIV/0!</v>
      </c>
      <c r="AW23" s="7" t="e">
        <f>((AVERAGE(D23,AU23)*('Summary Page'!$C$3+1))*('Summary Page'!$C$3+1))*('Summary Page'!$C$3+1)</f>
        <v>#DIV/0!</v>
      </c>
      <c r="AX23" s="7" t="e">
        <f>((AVERAGE(D23,AU23)*('Summary Page'!$C$4+1))*('Summary Page'!$C$4+1))*('Summary Page'!$C$4+1)</f>
        <v>#DIV/0!</v>
      </c>
      <c r="BA23" s="7"/>
      <c r="BB23" s="7" t="e">
        <f>((AVERAGE(E23,BA23)*('Summary Page'!$C$2+1))*('Summary Page'!$C$2+1))*('Summary Page'!$C$2+1)</f>
        <v>#DIV/0!</v>
      </c>
      <c r="BC23" s="7" t="e">
        <f>((AVERAGE(E23,BA23)*('Summary Page'!$C$3+1))*('Summary Page'!$C$3+1))*('Summary Page'!$C$3+1)</f>
        <v>#DIV/0!</v>
      </c>
      <c r="BD23" s="8" t="e">
        <f>((AVERAGE(E23,BA23)*('Summary Page'!$C$4+1))*('Summary Page'!$C$4+1))*('Summary Page'!$C$4+1)</f>
        <v>#DIV/0!</v>
      </c>
      <c r="BG23" s="7"/>
      <c r="BH23" s="7" t="e">
        <f>((AVERAGE(F23,BG23)*('Summary Page'!$C$2+1))*('Summary Page'!$C$2+1))*('Summary Page'!$C$2+1)</f>
        <v>#DIV/0!</v>
      </c>
      <c r="BI23" s="7" t="e">
        <f>((AVERAGE(F23,BG23)*('Summary Page'!$C$3+1))*('Summary Page'!$C$3+1))*('Summary Page'!$C$3+1)</f>
        <v>#DIV/0!</v>
      </c>
      <c r="BJ23" s="8" t="e">
        <f>((AVERAGE(F23,BG23)*('Summary Page'!$C$4+1))*('Summary Page'!$C$4+1))*('Summary Page'!$C$4+1)</f>
        <v>#DIV/0!</v>
      </c>
      <c r="BM23" s="7"/>
      <c r="BN23" s="7" t="e">
        <f>((AVERAGE(Q23,BM23)*('Summary Page'!$C$2+1))*('Summary Page'!$C$2+1))*('Summary Page'!$C$2+1)</f>
        <v>#DIV/0!</v>
      </c>
      <c r="BO23" s="7" t="e">
        <f>((AVERAGE(Q23,BM23)*('Summary Page'!$C$3+1))*('Summary Page'!$C$3+1))*('Summary Page'!$C$3+1)</f>
        <v>#DIV/0!</v>
      </c>
      <c r="BP23" s="8" t="e">
        <f>((AVERAGE(Q23,BM23)*('Summary Page'!$C$4+1))*('Summary Page'!$C$4+1))*('Summary Page'!$C$4+1)</f>
        <v>#DIV/0!</v>
      </c>
      <c r="BS23" s="7"/>
      <c r="BT23" s="7" t="e">
        <f>((AVERAGE(T23,BS23)*('Summary Page'!$C$2+1))*('Summary Page'!$C$2+1))*('Summary Page'!$C$2+1)</f>
        <v>#DIV/0!</v>
      </c>
      <c r="BU23" s="7" t="e">
        <f>((AVERAGE(T23,BS23)*('Summary Page'!$C$3+1))*('Summary Page'!$C$3+1))*('Summary Page'!$C$3+1)</f>
        <v>#DIV/0!</v>
      </c>
      <c r="BV23" s="8" t="e">
        <f>((AVERAGE(T23,BS23)*('Summary Page'!$C$4+1))*('Summary Page'!$C$4+1))*('Summary Page'!$C$4+1)</f>
        <v>#DIV/0!</v>
      </c>
    </row>
    <row r="24" spans="1:86" ht="15.75" x14ac:dyDescent="0.25">
      <c r="A24" s="1">
        <v>43647</v>
      </c>
      <c r="B24" s="14"/>
      <c r="C24" s="14"/>
      <c r="D24" s="7"/>
      <c r="E24" s="14"/>
      <c r="F24" s="14"/>
      <c r="G24" s="110"/>
      <c r="H24" s="7"/>
      <c r="I24" s="7"/>
      <c r="J24" s="7"/>
      <c r="K24" s="111"/>
      <c r="L24" s="7"/>
      <c r="M24" s="7"/>
      <c r="N24" s="7"/>
      <c r="O24" s="7"/>
      <c r="P24" s="7"/>
      <c r="Q24" s="7"/>
      <c r="R24" s="7"/>
      <c r="S24" s="7"/>
      <c r="AA24" s="2"/>
      <c r="AB24" s="2"/>
      <c r="AC24" s="2"/>
      <c r="AD24" s="7" t="e">
        <f>((AVERAGE(AA24,AC24)*('Summary Page'!$C$2+1))*('Summary Page'!$C$2+1))*('Summary Page'!$C$2+1)</f>
        <v>#DIV/0!</v>
      </c>
      <c r="AE24" s="7" t="e">
        <f>((AVERAGE(AA24,AC24)*('Summary Page'!$C$3+1))*('Summary Page'!$C$3+1))*('Summary Page'!$C$3+1)</f>
        <v>#DIV/0!</v>
      </c>
      <c r="AF24" s="7" t="e">
        <f>((AVERAGE(AA24,AC24)*('Summary Page'!$C$4+1))*('Summary Page'!$C$4+1))*('Summary Page'!$C$4+1)</f>
        <v>#DIV/0!</v>
      </c>
      <c r="AI24" s="7"/>
      <c r="AJ24" s="7" t="e">
        <f>((AVERAGE(B24,AI24)*('Summary Page'!$C$2+1))*('Summary Page'!$C$2+1))*('Summary Page'!$C$2+1)</f>
        <v>#DIV/0!</v>
      </c>
      <c r="AK24" s="7" t="e">
        <f>((AVERAGE(B24,AI24)*('Summary Page'!$C$3+1))*('Summary Page'!$C$3+1))*('Summary Page'!$C$3+1)</f>
        <v>#DIV/0!</v>
      </c>
      <c r="AL24" s="8" t="e">
        <f>((AVERAGE(B24,AI24)*('Summary Page'!$C$4+1))*('Summary Page'!$C$4+1))*('Summary Page'!$C$4+1)</f>
        <v>#DIV/0!</v>
      </c>
      <c r="AO24" s="7"/>
      <c r="AP24" s="7" t="e">
        <f>((AVERAGE(C24,AO24)*('Summary Page'!$C$2+1))*('Summary Page'!$C$2+1))*('Summary Page'!$C$2+1)</f>
        <v>#DIV/0!</v>
      </c>
      <c r="AQ24" s="7" t="e">
        <f>((AVERAGE(C24,AO24)*('Summary Page'!$C$3+1))*('Summary Page'!$C$3+1))*('Summary Page'!$C$3+1)</f>
        <v>#DIV/0!</v>
      </c>
      <c r="AR24" s="8" t="e">
        <f>((AVERAGE(C24,AO24)*('Summary Page'!$C$4+1))*('Summary Page'!$C$4+1))*('Summary Page'!$C$4+1)</f>
        <v>#DIV/0!</v>
      </c>
      <c r="AU24" s="7"/>
      <c r="AV24" s="7" t="e">
        <f>((AVERAGE(D24,AU24)*('Summary Page'!$C$2+1))*('Summary Page'!$C$2+1))*('Summary Page'!$C$2+1)</f>
        <v>#DIV/0!</v>
      </c>
      <c r="AW24" s="7" t="e">
        <f>((AVERAGE(D24,AU24)*('Summary Page'!$C$3+1))*('Summary Page'!$C$3+1))*('Summary Page'!$C$3+1)</f>
        <v>#DIV/0!</v>
      </c>
      <c r="AX24" s="7" t="e">
        <f>((AVERAGE(D24,AU24)*('Summary Page'!$C$4+1))*('Summary Page'!$C$4+1))*('Summary Page'!$C$4+1)</f>
        <v>#DIV/0!</v>
      </c>
      <c r="BA24" s="7"/>
      <c r="BB24" s="7" t="e">
        <f>((AVERAGE(E24,BA24)*('Summary Page'!$C$2+1))*('Summary Page'!$C$2+1))*('Summary Page'!$C$2+1)</f>
        <v>#DIV/0!</v>
      </c>
      <c r="BC24" s="7" t="e">
        <f>((AVERAGE(E24,BA24)*('Summary Page'!$C$3+1))*('Summary Page'!$C$3+1))*('Summary Page'!$C$3+1)</f>
        <v>#DIV/0!</v>
      </c>
      <c r="BD24" s="8" t="e">
        <f>((AVERAGE(E24,BA24)*('Summary Page'!$C$4+1))*('Summary Page'!$C$4+1))*('Summary Page'!$C$4+1)</f>
        <v>#DIV/0!</v>
      </c>
      <c r="BG24" s="7"/>
      <c r="BH24" s="7" t="e">
        <f>((AVERAGE(F24,BG24)*('Summary Page'!$C$2+1))*('Summary Page'!$C$2+1))*('Summary Page'!$C$2+1)</f>
        <v>#DIV/0!</v>
      </c>
      <c r="BI24" s="7" t="e">
        <f>((AVERAGE(F24,BG24)*('Summary Page'!$C$3+1))*('Summary Page'!$C$3+1))*('Summary Page'!$C$3+1)</f>
        <v>#DIV/0!</v>
      </c>
      <c r="BJ24" s="8" t="e">
        <f>((AVERAGE(F24,BG24)*('Summary Page'!$C$4+1))*('Summary Page'!$C$4+1))*('Summary Page'!$C$4+1)</f>
        <v>#DIV/0!</v>
      </c>
      <c r="BM24" s="7"/>
      <c r="BN24" s="7" t="e">
        <f>((AVERAGE(Q24,BM24)*('Summary Page'!$C$2+1))*('Summary Page'!$C$2+1))*('Summary Page'!$C$2+1)</f>
        <v>#DIV/0!</v>
      </c>
      <c r="BO24" s="7" t="e">
        <f>((AVERAGE(Q24,BM24)*('Summary Page'!$C$3+1))*('Summary Page'!$C$3+1))*('Summary Page'!$C$3+1)</f>
        <v>#DIV/0!</v>
      </c>
      <c r="BP24" s="8" t="e">
        <f>((AVERAGE(Q24,BM24)*('Summary Page'!$C$4+1))*('Summary Page'!$C$4+1))*('Summary Page'!$C$4+1)</f>
        <v>#DIV/0!</v>
      </c>
      <c r="BS24" s="7"/>
      <c r="BT24" s="7" t="e">
        <f>((AVERAGE(T24,BS24)*('Summary Page'!$C$2+1))*('Summary Page'!$C$2+1))*('Summary Page'!$C$2+1)</f>
        <v>#DIV/0!</v>
      </c>
      <c r="BU24" s="7" t="e">
        <f>((AVERAGE(T24,BS24)*('Summary Page'!$C$3+1))*('Summary Page'!$C$3+1))*('Summary Page'!$C$3+1)</f>
        <v>#DIV/0!</v>
      </c>
      <c r="BV24" s="8" t="e">
        <f>((AVERAGE(T24,BS24)*('Summary Page'!$C$4+1))*('Summary Page'!$C$4+1))*('Summary Page'!$C$4+1)</f>
        <v>#DIV/0!</v>
      </c>
    </row>
    <row r="25" spans="1:86" ht="15.75" x14ac:dyDescent="0.25">
      <c r="A25" s="1">
        <v>43661</v>
      </c>
      <c r="B25" s="7">
        <v>80</v>
      </c>
      <c r="C25" s="7">
        <v>53</v>
      </c>
      <c r="D25" s="7">
        <v>73</v>
      </c>
      <c r="E25" s="7">
        <v>42</v>
      </c>
      <c r="F25" s="7">
        <v>59</v>
      </c>
      <c r="G25" s="110">
        <v>81</v>
      </c>
      <c r="H25" s="7">
        <v>47</v>
      </c>
      <c r="I25" s="7">
        <v>55</v>
      </c>
      <c r="J25" s="7">
        <v>34</v>
      </c>
      <c r="K25" s="111">
        <v>52</v>
      </c>
      <c r="L25" s="7"/>
      <c r="M25" s="7"/>
      <c r="N25" s="7"/>
      <c r="O25" s="7"/>
      <c r="P25" s="7"/>
      <c r="Q25" s="7">
        <v>74</v>
      </c>
      <c r="R25" s="7">
        <v>75</v>
      </c>
      <c r="S25" s="7"/>
      <c r="T25">
        <v>231</v>
      </c>
      <c r="U25">
        <v>231</v>
      </c>
      <c r="AA25" s="2">
        <f t="shared" ref="AA25:AA56" si="2">AVERAGE(B25,C25,D25,E25,F25)</f>
        <v>61.4</v>
      </c>
      <c r="AB25" s="2">
        <f t="shared" ref="AB25:AB40" si="3">AVERAGE(G25,H25,I25,J25,K25)</f>
        <v>53.8</v>
      </c>
      <c r="AC25" s="2">
        <f t="shared" ref="AC25:AC40" si="4">AB25*1.2</f>
        <v>64.559999999999988</v>
      </c>
      <c r="AD25" s="7">
        <f>((AVERAGE(AA20:AA25)*('Summary Page'!$C$2+1))*('Summary Page'!$C$2+1))*('Summary Page'!$C$2+1)</f>
        <v>95.839014399999968</v>
      </c>
      <c r="AE25" s="7">
        <f>((AVERAGE(AA20:AA25)*('Summary Page'!$C$3+1))*('Summary Page'!$C$3+1))*('Summary Page'!$C$3+1)</f>
        <v>119.921875</v>
      </c>
      <c r="AF25" s="7">
        <f>((AVERAGE(AA20:AA25)*('Summary Page'!$C$4+1))*('Summary Page'!$C$4+1))*('Summary Page'!$C$4+1)</f>
        <v>106.09919999999998</v>
      </c>
      <c r="AI25" s="7">
        <f t="shared" ref="AI25:AI30" si="5">G25*1.2</f>
        <v>97.2</v>
      </c>
      <c r="AJ25" s="7">
        <f>((AVERAGE(B20:B25)*('Summary Page'!$C$2+1))*('Summary Page'!$C$2+1))*('Summary Page'!$C$2+1)</f>
        <v>124.87167999999998</v>
      </c>
      <c r="AK25" s="7">
        <f>((AVERAGE(B20:B25)*('Summary Page'!$C$3+1))*('Summary Page'!$C$3+1))*('Summary Page'!$C$3+1)</f>
        <v>156.25</v>
      </c>
      <c r="AL25" s="8">
        <f>((AVERAGE(B20:B25)*('Summary Page'!$C$4+1))*('Summary Page'!$C$4+1))*('Summary Page'!$C$4+1)</f>
        <v>138.23999999999998</v>
      </c>
      <c r="AO25" s="7">
        <f t="shared" ref="AO25:AO30" si="6">H25*1.2</f>
        <v>56.4</v>
      </c>
      <c r="AP25" s="7">
        <f>((AVERAGE(C20:C25)*('Summary Page'!$C$2+1))*('Summary Page'!$C$2+1))*('Summary Page'!$C$2+1)</f>
        <v>82.72748799999998</v>
      </c>
      <c r="AQ25" s="7">
        <f>((AVERAGE(C20:C25)*('Summary Page'!$C$3+1))*('Summary Page'!$C$3+1))*('Summary Page'!$C$3+1)</f>
        <v>103.515625</v>
      </c>
      <c r="AR25" s="8">
        <f>((AVERAGE(C20:C25)*('Summary Page'!$C$4+1))*('Summary Page'!$C$4+1))*('Summary Page'!$C$4+1)</f>
        <v>91.583999999999989</v>
      </c>
      <c r="AU25" s="7">
        <f t="shared" ref="AU25:AU30" si="7">I25*1.2</f>
        <v>66</v>
      </c>
      <c r="AV25" s="7">
        <f>((AVERAGE(D20:D25)*('Summary Page'!$C$2+1))*('Summary Page'!$C$2+1))*('Summary Page'!$C$2+1)</f>
        <v>113.94540799999997</v>
      </c>
      <c r="AW25" s="7">
        <f>((AVERAGE(D20:D25)*('Summary Page'!$C$3+1))*('Summary Page'!$C$3+1))*('Summary Page'!$C$3+1)</f>
        <v>142.578125</v>
      </c>
      <c r="AX25" s="7">
        <f>((AVERAGE(D20:D25)*('Summary Page'!$C$4+1))*('Summary Page'!$C$4+1))*('Summary Page'!$C$4+1)</f>
        <v>126.14399999999998</v>
      </c>
      <c r="BA25" s="7">
        <f t="shared" ref="BA25:BA30" si="8">J25*1.2</f>
        <v>40.799999999999997</v>
      </c>
      <c r="BB25" s="7">
        <f>((AVERAGE(E20:E25)*('Summary Page'!$C$2+1))*('Summary Page'!$C$2+1))*('Summary Page'!$C$2+1)</f>
        <v>65.557631999999984</v>
      </c>
      <c r="BC25" s="7">
        <f>((AVERAGE(E20:E25)*('Summary Page'!$C$3+1))*('Summary Page'!$C$3+1))*('Summary Page'!$C$3+1)</f>
        <v>82.03125</v>
      </c>
      <c r="BD25" s="8">
        <f>((AVERAGE(E20:E25)*('Summary Page'!$C$4+1))*('Summary Page'!$C$4+1))*('Summary Page'!$C$4+1)</f>
        <v>72.575999999999993</v>
      </c>
      <c r="BG25" s="7">
        <f t="shared" ref="BG25:BG30" si="9">K25*1.2</f>
        <v>62.4</v>
      </c>
      <c r="BH25" s="7">
        <f>((AVERAGE(F20:F25)*('Summary Page'!$C$2+1))*('Summary Page'!$C$2+1))*('Summary Page'!$C$2+1)</f>
        <v>92.092863999999977</v>
      </c>
      <c r="BI25" s="7">
        <f>((AVERAGE(F20:F25)*('Summary Page'!$C$3+1))*('Summary Page'!$C$3+1))*('Summary Page'!$C$3+1)</f>
        <v>115.234375</v>
      </c>
      <c r="BJ25" s="8">
        <f>((AVERAGE(F20:F25)*('Summary Page'!$C$4+1))*('Summary Page'!$C$4+1))*('Summary Page'!$C$4+1)</f>
        <v>101.95199999999998</v>
      </c>
      <c r="BM25" s="7">
        <f t="shared" ref="BM25:BM30" si="10">R25*1.2</f>
        <v>90</v>
      </c>
      <c r="BN25" s="7">
        <f>((AVERAGE(Q20:Q25)*('Summary Page'!$C$2+1))*('Summary Page'!$C$2+1))*('Summary Page'!$C$2+1)</f>
        <v>115.50630399999997</v>
      </c>
      <c r="BO25" s="7">
        <f>((AVERAGE(Q20:Q25)*('Summary Page'!$C$3+1))*('Summary Page'!$C$3+1))*('Summary Page'!$C$3+1)</f>
        <v>144.53125</v>
      </c>
      <c r="BP25" s="8">
        <f>((AVERAGE(Q20:Q25)*('Summary Page'!$C$4+1))*('Summary Page'!$C$4+1))*('Summary Page'!$C$4+1)</f>
        <v>127.87199999999999</v>
      </c>
      <c r="BS25" s="7">
        <f t="shared" ref="BS25:BS30" si="11">U25*1.2</f>
        <v>277.2</v>
      </c>
      <c r="BT25" s="7">
        <f>((AVERAGE(T20:T25)*('Summary Page'!$C$2+1))*('Summary Page'!$C$2+1))*('Summary Page'!$C$2+1)</f>
        <v>360.5669759999999</v>
      </c>
      <c r="BU25" s="7">
        <f>((AVERAGE(T20:T25)*('Summary Page'!$C$3+1))*('Summary Page'!$C$3+1))*('Summary Page'!$C$3+1)</f>
        <v>451.171875</v>
      </c>
      <c r="BV25" s="8">
        <f>((AVERAGE(T20:T25)*('Summary Page'!$C$4+1))*('Summary Page'!$C$4+1))*('Summary Page'!$C$4+1)</f>
        <v>399.16799999999995</v>
      </c>
      <c r="BW25" s="16">
        <f t="shared" ref="BW25:BX27" si="12">T25/7.5/0.89/5</f>
        <v>6.9213483146067416</v>
      </c>
      <c r="BX25" s="16">
        <f t="shared" si="12"/>
        <v>6.9213483146067416</v>
      </c>
      <c r="BY25" s="7">
        <f t="shared" ref="BY25:BY30" si="13">BX25*1.2</f>
        <v>8.3056179775280903</v>
      </c>
      <c r="BZ25" s="7">
        <f>((AVERAGE(BW20:BW25)*('Summary Page'!$C$2+1))*('Summary Page'!$C$2+1))*('Summary Page'!$C$2+1)</f>
        <v>10.803504898876403</v>
      </c>
      <c r="CA25" s="7">
        <f>((AVERAGE(BW20:BW25)*('Summary Page'!$C$3+1))*('Summary Page'!$C$3+1))*('Summary Page'!$C$3+1)</f>
        <v>13.518258426966291</v>
      </c>
      <c r="CB25" s="7">
        <f>((AVERAGE(BW20:BW25)*('Summary Page'!$C$4+1))*('Summary Page'!$C$4+1))*('Summary Page'!$C$4+1)</f>
        <v>11.96008988764045</v>
      </c>
      <c r="CC25" s="11">
        <f t="shared" ref="CC25:CC30" si="14">(BW25/6)+BW25</f>
        <v>8.0749063670411978</v>
      </c>
      <c r="CD25" s="11">
        <f t="shared" ref="CD25:CD48" si="15">(BX25/6)+BX25</f>
        <v>8.0749063670411978</v>
      </c>
      <c r="CE25" s="11">
        <f t="shared" ref="CE25:CE48" si="16">(BY25/6)+BY25</f>
        <v>9.6898876404494381</v>
      </c>
      <c r="CF25" s="11">
        <f t="shared" ref="CF25:CF48" si="17">(BZ25/6)+BZ25</f>
        <v>12.604089048689136</v>
      </c>
      <c r="CG25" s="11">
        <f t="shared" ref="CG25:CG48" si="18">(CA25/6)+CA25</f>
        <v>15.77130149812734</v>
      </c>
      <c r="CH25" s="11">
        <f t="shared" ref="CH25:CH48" si="19">(CB25/6)+CB25</f>
        <v>13.953438202247192</v>
      </c>
    </row>
    <row r="26" spans="1:86" ht="15.75" x14ac:dyDescent="0.25">
      <c r="A26" s="10">
        <v>43678</v>
      </c>
      <c r="B26" s="7">
        <v>72</v>
      </c>
      <c r="C26" s="7">
        <v>46</v>
      </c>
      <c r="D26" s="7">
        <v>60</v>
      </c>
      <c r="E26" s="7">
        <v>36</v>
      </c>
      <c r="F26" s="7">
        <v>51</v>
      </c>
      <c r="G26" s="110">
        <v>81</v>
      </c>
      <c r="H26" s="7">
        <v>43</v>
      </c>
      <c r="I26" s="7">
        <v>57</v>
      </c>
      <c r="J26" s="7">
        <v>34</v>
      </c>
      <c r="K26" s="111">
        <v>48</v>
      </c>
      <c r="L26" s="7"/>
      <c r="M26" s="7"/>
      <c r="N26" s="7"/>
      <c r="O26" s="7"/>
      <c r="P26" s="7"/>
      <c r="Q26" s="7">
        <v>74</v>
      </c>
      <c r="R26" s="7">
        <v>75</v>
      </c>
      <c r="S26" s="7"/>
      <c r="T26">
        <v>231</v>
      </c>
      <c r="U26">
        <v>231</v>
      </c>
      <c r="AA26" s="2">
        <f t="shared" si="2"/>
        <v>53</v>
      </c>
      <c r="AB26" s="2">
        <f t="shared" si="3"/>
        <v>52.6</v>
      </c>
      <c r="AC26" s="2">
        <f t="shared" si="4"/>
        <v>63.12</v>
      </c>
      <c r="AD26" s="7">
        <f>((AVERAGE(AA21:AA26)*('Summary Page'!$C$2+1))*('Summary Page'!$C$2+1))*('Summary Page'!$C$2+1)</f>
        <v>89.283251199999995</v>
      </c>
      <c r="AE26" s="7">
        <f>((AVERAGE(AA21:AA26)*('Summary Page'!$C$3+1))*('Summary Page'!$C$3+1))*('Summary Page'!$C$3+1)</f>
        <v>111.71875</v>
      </c>
      <c r="AF26" s="7">
        <f>((AVERAGE(AA21:AA26)*('Summary Page'!$C$4+1))*('Summary Page'!$C$4+1))*('Summary Page'!$C$4+1)</f>
        <v>98.841599999999985</v>
      </c>
      <c r="AI26" s="7">
        <f t="shared" si="5"/>
        <v>97.2</v>
      </c>
      <c r="AJ26" s="7">
        <f>((AVERAGE(B21:B26)*('Summary Page'!$C$2+1))*('Summary Page'!$C$2+1))*('Summary Page'!$C$2+1)</f>
        <v>118.62809599999999</v>
      </c>
      <c r="AK26" s="7">
        <f>((AVERAGE(B21:B26)*('Summary Page'!$C$3+1))*('Summary Page'!$C$3+1))*('Summary Page'!$C$3+1)</f>
        <v>148.4375</v>
      </c>
      <c r="AL26" s="8">
        <f>((AVERAGE(B21:B26)*('Summary Page'!$C$4+1))*('Summary Page'!$C$4+1))*('Summary Page'!$C$4+1)</f>
        <v>131.328</v>
      </c>
      <c r="AO26" s="7">
        <f t="shared" si="6"/>
        <v>51.6</v>
      </c>
      <c r="AP26" s="7">
        <f>((AVERAGE(C21:C26)*('Summary Page'!$C$2+1))*('Summary Page'!$C$2+1))*('Summary Page'!$C$2+1)</f>
        <v>77.264351999999988</v>
      </c>
      <c r="AQ26" s="7">
        <f>((AVERAGE(C21:C26)*('Summary Page'!$C$3+1))*('Summary Page'!$C$3+1))*('Summary Page'!$C$3+1)</f>
        <v>96.6796875</v>
      </c>
      <c r="AR26" s="8">
        <f>((AVERAGE(C21:C26)*('Summary Page'!$C$4+1))*('Summary Page'!$C$4+1))*('Summary Page'!$C$4+1)</f>
        <v>85.536000000000001</v>
      </c>
      <c r="AU26" s="7">
        <f t="shared" si="7"/>
        <v>68.399999999999991</v>
      </c>
      <c r="AV26" s="7">
        <f>((AVERAGE(D21:D26)*('Summary Page'!$C$2+1))*('Summary Page'!$C$2+1))*('Summary Page'!$C$2+1)</f>
        <v>103.799584</v>
      </c>
      <c r="AW26" s="7">
        <f>((AVERAGE(D21:D26)*('Summary Page'!$C$3+1))*('Summary Page'!$C$3+1))*('Summary Page'!$C$3+1)</f>
        <v>129.8828125</v>
      </c>
      <c r="AX26" s="7">
        <f>((AVERAGE(D21:D26)*('Summary Page'!$C$4+1))*('Summary Page'!$C$4+1))*('Summary Page'!$C$4+1)</f>
        <v>114.91199999999999</v>
      </c>
      <c r="BA26" s="7">
        <f t="shared" si="8"/>
        <v>40.799999999999997</v>
      </c>
      <c r="BB26" s="7">
        <f>((AVERAGE(E21:E26)*('Summary Page'!$C$2+1))*('Summary Page'!$C$2+1))*('Summary Page'!$C$2+1)</f>
        <v>60.874943999999985</v>
      </c>
      <c r="BC26" s="7">
        <f>((AVERAGE(E21:E26)*('Summary Page'!$C$3+1))*('Summary Page'!$C$3+1))*('Summary Page'!$C$3+1)</f>
        <v>76.171875</v>
      </c>
      <c r="BD26" s="8">
        <f>((AVERAGE(E21:E26)*('Summary Page'!$C$4+1))*('Summary Page'!$C$4+1))*('Summary Page'!$C$4+1)</f>
        <v>67.391999999999996</v>
      </c>
      <c r="BG26" s="7">
        <f t="shared" si="9"/>
        <v>57.599999999999994</v>
      </c>
      <c r="BH26" s="7">
        <f>((AVERAGE(F21:F26)*('Summary Page'!$C$2+1))*('Summary Page'!$C$2+1))*('Summary Page'!$C$2+1)</f>
        <v>85.849279999999993</v>
      </c>
      <c r="BI26" s="7">
        <f>((AVERAGE(F21:F26)*('Summary Page'!$C$3+1))*('Summary Page'!$C$3+1))*('Summary Page'!$C$3+1)</f>
        <v>107.421875</v>
      </c>
      <c r="BJ26" s="8">
        <f>((AVERAGE(F21:F26)*('Summary Page'!$C$4+1))*('Summary Page'!$C$4+1))*('Summary Page'!$C$4+1)</f>
        <v>95.04</v>
      </c>
      <c r="BM26" s="7">
        <f t="shared" si="10"/>
        <v>90</v>
      </c>
      <c r="BN26" s="7">
        <f>((AVERAGE(Q21:Q26)*('Summary Page'!$C$2+1))*('Summary Page'!$C$2+1))*('Summary Page'!$C$2+1)</f>
        <v>115.50630399999997</v>
      </c>
      <c r="BO26" s="7">
        <f>((AVERAGE(Q21:Q26)*('Summary Page'!$C$3+1))*('Summary Page'!$C$3+1))*('Summary Page'!$C$3+1)</f>
        <v>144.53125</v>
      </c>
      <c r="BP26" s="8">
        <f>((AVERAGE(Q21:Q26)*('Summary Page'!$C$4+1))*('Summary Page'!$C$4+1))*('Summary Page'!$C$4+1)</f>
        <v>127.87199999999999</v>
      </c>
      <c r="BS26" s="7">
        <f t="shared" si="11"/>
        <v>277.2</v>
      </c>
      <c r="BT26" s="7">
        <f>((AVERAGE(T21:T26)*('Summary Page'!$C$2+1))*('Summary Page'!$C$2+1))*('Summary Page'!$C$2+1)</f>
        <v>360.5669759999999</v>
      </c>
      <c r="BU26" s="7">
        <f>((AVERAGE(T21:T26)*('Summary Page'!$C$3+1))*('Summary Page'!$C$3+1))*('Summary Page'!$C$3+1)</f>
        <v>451.171875</v>
      </c>
      <c r="BV26" s="8">
        <f>((AVERAGE(T21:T26)*('Summary Page'!$C$4+1))*('Summary Page'!$C$4+1))*('Summary Page'!$C$4+1)</f>
        <v>399.16799999999995</v>
      </c>
      <c r="BW26" s="16">
        <f t="shared" si="12"/>
        <v>6.9213483146067416</v>
      </c>
      <c r="BX26" s="16">
        <f t="shared" si="12"/>
        <v>6.9213483146067416</v>
      </c>
      <c r="BY26" s="7">
        <f t="shared" si="13"/>
        <v>8.3056179775280903</v>
      </c>
      <c r="BZ26" s="7">
        <f>((AVERAGE(BW21:BW26)*('Summary Page'!$C$2+1))*('Summary Page'!$C$2+1))*('Summary Page'!$C$2+1)</f>
        <v>10.803504898876403</v>
      </c>
      <c r="CA26" s="7">
        <f>((AVERAGE(BW21:BW26)*('Summary Page'!$C$3+1))*('Summary Page'!$C$3+1))*('Summary Page'!$C$3+1)</f>
        <v>13.518258426966291</v>
      </c>
      <c r="CB26" s="7">
        <f>((AVERAGE(BW21:BW26)*('Summary Page'!$C$4+1))*('Summary Page'!$C$4+1))*('Summary Page'!$C$4+1)</f>
        <v>11.96008988764045</v>
      </c>
      <c r="CC26" s="11">
        <f t="shared" si="14"/>
        <v>8.0749063670411978</v>
      </c>
      <c r="CD26" s="11">
        <f t="shared" si="15"/>
        <v>8.0749063670411978</v>
      </c>
      <c r="CE26" s="11">
        <f t="shared" si="16"/>
        <v>9.6898876404494381</v>
      </c>
      <c r="CF26" s="11">
        <f t="shared" si="17"/>
        <v>12.604089048689136</v>
      </c>
      <c r="CG26" s="11">
        <f t="shared" si="18"/>
        <v>15.77130149812734</v>
      </c>
      <c r="CH26" s="11">
        <f t="shared" si="19"/>
        <v>13.953438202247192</v>
      </c>
    </row>
    <row r="27" spans="1:86" ht="15.75" x14ac:dyDescent="0.25">
      <c r="A27" s="10">
        <v>43710</v>
      </c>
      <c r="B27" s="7">
        <v>80</v>
      </c>
      <c r="C27" s="7">
        <v>48</v>
      </c>
      <c r="D27" s="7">
        <v>66</v>
      </c>
      <c r="E27" s="7">
        <v>38</v>
      </c>
      <c r="F27" s="7">
        <v>55</v>
      </c>
      <c r="G27" s="110">
        <v>39</v>
      </c>
      <c r="H27" s="7">
        <v>33</v>
      </c>
      <c r="I27" s="7">
        <v>36</v>
      </c>
      <c r="J27" s="7">
        <v>21</v>
      </c>
      <c r="K27" s="111">
        <v>37</v>
      </c>
      <c r="L27" s="7"/>
      <c r="M27" s="7"/>
      <c r="N27" s="7"/>
      <c r="O27" s="7"/>
      <c r="P27" s="7"/>
      <c r="Q27" s="7">
        <v>82</v>
      </c>
      <c r="R27" s="7">
        <v>45</v>
      </c>
      <c r="S27" s="7"/>
      <c r="T27" s="7">
        <v>231</v>
      </c>
      <c r="U27" s="7">
        <v>200</v>
      </c>
      <c r="V27" s="7"/>
      <c r="W27" s="7"/>
      <c r="X27" s="7"/>
      <c r="Y27" s="7"/>
      <c r="Z27" s="7"/>
      <c r="AA27" s="2">
        <f t="shared" si="2"/>
        <v>57.4</v>
      </c>
      <c r="AB27" s="2">
        <f t="shared" si="3"/>
        <v>33.200000000000003</v>
      </c>
      <c r="AC27" s="2">
        <f t="shared" si="4"/>
        <v>39.840000000000003</v>
      </c>
      <c r="AD27" s="7">
        <f>((AVERAGE(AA22:AA27)*('Summary Page'!$C$2+1))*('Summary Page'!$C$2+1))*('Summary Page'!$C$2+1)</f>
        <v>89.387310933333325</v>
      </c>
      <c r="AE27" s="7">
        <f>((AVERAGE(AA22:AA27)*('Summary Page'!$C$3+1))*('Summary Page'!$C$3+1))*('Summary Page'!$C$3+1)</f>
        <v>111.84895833333336</v>
      </c>
      <c r="AF27" s="7">
        <f>((AVERAGE(AA22:AA27)*('Summary Page'!$C$4+1))*('Summary Page'!$C$4+1))*('Summary Page'!$C$4+1)</f>
        <v>98.956800000000001</v>
      </c>
      <c r="AI27" s="7">
        <f t="shared" si="5"/>
        <v>46.8</v>
      </c>
      <c r="AJ27" s="7">
        <f>((AVERAGE(B22:B27)*('Summary Page'!$C$2+1))*('Summary Page'!$C$2+1))*('Summary Page'!$C$2+1)</f>
        <v>120.70929066666663</v>
      </c>
      <c r="AK27" s="7">
        <f>((AVERAGE(B22:B27)*('Summary Page'!$C$3+1))*('Summary Page'!$C$3+1))*('Summary Page'!$C$3+1)</f>
        <v>151.04166666666663</v>
      </c>
      <c r="AL27" s="8">
        <f>((AVERAGE(B22:B27)*('Summary Page'!$C$4+1))*('Summary Page'!$C$4+1))*('Summary Page'!$C$4+1)</f>
        <v>133.63200000000001</v>
      </c>
      <c r="AO27" s="7">
        <f t="shared" si="6"/>
        <v>39.6</v>
      </c>
      <c r="AP27" s="7">
        <f>((AVERAGE(C22:C27)*('Summary Page'!$C$2+1))*('Summary Page'!$C$2+1))*('Summary Page'!$C$2+1)</f>
        <v>76.483903999999995</v>
      </c>
      <c r="AQ27" s="7">
        <f>((AVERAGE(C22:C27)*('Summary Page'!$C$3+1))*('Summary Page'!$C$3+1))*('Summary Page'!$C$3+1)</f>
        <v>95.703125</v>
      </c>
      <c r="AR27" s="8">
        <f>((AVERAGE(C22:C27)*('Summary Page'!$C$4+1))*('Summary Page'!$C$4+1))*('Summary Page'!$C$4+1)</f>
        <v>84.671999999999983</v>
      </c>
      <c r="AU27" s="7">
        <f t="shared" si="7"/>
        <v>43.199999999999996</v>
      </c>
      <c r="AV27" s="7">
        <f>((AVERAGE(D22:D27)*('Summary Page'!$C$2+1))*('Summary Page'!$C$2+1))*('Summary Page'!$C$2+1)</f>
        <v>103.53943466666664</v>
      </c>
      <c r="AW27" s="7">
        <f>((AVERAGE(D22:D27)*('Summary Page'!$C$3+1))*('Summary Page'!$C$3+1))*('Summary Page'!$C$3+1)</f>
        <v>129.55729166666663</v>
      </c>
      <c r="AX27" s="7">
        <f>((AVERAGE(D22:D27)*('Summary Page'!$C$4+1))*('Summary Page'!$C$4+1))*('Summary Page'!$C$4+1)</f>
        <v>114.624</v>
      </c>
      <c r="BA27" s="7">
        <f t="shared" si="8"/>
        <v>25.2</v>
      </c>
      <c r="BB27" s="7">
        <f>((AVERAGE(E22:E27)*('Summary Page'!$C$2+1))*('Summary Page'!$C$2+1))*('Summary Page'!$C$2+1)</f>
        <v>60.354645333333316</v>
      </c>
      <c r="BC27" s="7">
        <f>((AVERAGE(E22:E27)*('Summary Page'!$C$3+1))*('Summary Page'!$C$3+1))*('Summary Page'!$C$3+1)</f>
        <v>75.520833333333314</v>
      </c>
      <c r="BD27" s="8">
        <f>((AVERAGE(E22:E27)*('Summary Page'!$C$4+1))*('Summary Page'!$C$4+1))*('Summary Page'!$C$4+1)</f>
        <v>66.816000000000003</v>
      </c>
      <c r="BG27" s="7">
        <f t="shared" si="9"/>
        <v>44.4</v>
      </c>
      <c r="BH27" s="7">
        <f>((AVERAGE(F22:F27)*('Summary Page'!$C$2+1))*('Summary Page'!$C$2+1))*('Summary Page'!$C$2+1)</f>
        <v>85.849279999999993</v>
      </c>
      <c r="BI27" s="7">
        <f>((AVERAGE(F22:F27)*('Summary Page'!$C$3+1))*('Summary Page'!$C$3+1))*('Summary Page'!$C$3+1)</f>
        <v>107.421875</v>
      </c>
      <c r="BJ27" s="8">
        <f>((AVERAGE(F22:F27)*('Summary Page'!$C$4+1))*('Summary Page'!$C$4+1))*('Summary Page'!$C$4+1)</f>
        <v>95.04</v>
      </c>
      <c r="BM27" s="7">
        <f t="shared" si="10"/>
        <v>54</v>
      </c>
      <c r="BN27" s="7">
        <f>((AVERAGE(Q22:Q27)*('Summary Page'!$C$2+1))*('Summary Page'!$C$2+1))*('Summary Page'!$C$2+1)</f>
        <v>119.66869333333332</v>
      </c>
      <c r="BO27" s="7">
        <f>((AVERAGE(Q22:Q27)*('Summary Page'!$C$3+1))*('Summary Page'!$C$3+1))*('Summary Page'!$C$3+1)</f>
        <v>149.73958333333337</v>
      </c>
      <c r="BP27" s="8">
        <f>((AVERAGE(Q22:Q27)*('Summary Page'!$C$4+1))*('Summary Page'!$C$4+1))*('Summary Page'!$C$4+1)</f>
        <v>132.47999999999999</v>
      </c>
      <c r="BS27" s="7">
        <f t="shared" si="11"/>
        <v>240</v>
      </c>
      <c r="BT27" s="7">
        <f>((AVERAGE(T22:T27)*('Summary Page'!$C$2+1))*('Summary Page'!$C$2+1))*('Summary Page'!$C$2+1)</f>
        <v>360.5669759999999</v>
      </c>
      <c r="BU27" s="7">
        <f>((AVERAGE(T22:T27)*('Summary Page'!$C$3+1))*('Summary Page'!$C$3+1))*('Summary Page'!$C$3+1)</f>
        <v>451.171875</v>
      </c>
      <c r="BV27" s="8">
        <f>((AVERAGE(T22:T27)*('Summary Page'!$C$4+1))*('Summary Page'!$C$4+1))*('Summary Page'!$C$4+1)</f>
        <v>399.16799999999995</v>
      </c>
      <c r="BW27" s="16">
        <f t="shared" si="12"/>
        <v>6.9213483146067416</v>
      </c>
      <c r="BX27" s="16">
        <f t="shared" si="12"/>
        <v>5.9925093632958806</v>
      </c>
      <c r="BY27" s="7">
        <f t="shared" si="13"/>
        <v>7.1910112359550569</v>
      </c>
      <c r="BZ27" s="7">
        <f>((AVERAGE(BW22:BW27)*('Summary Page'!$C$2+1))*('Summary Page'!$C$2+1))*('Summary Page'!$C$2+1)</f>
        <v>10.803504898876403</v>
      </c>
      <c r="CA27" s="7">
        <f>((AVERAGE(BW22:BW27)*('Summary Page'!$C$3+1))*('Summary Page'!$C$3+1))*('Summary Page'!$C$3+1)</f>
        <v>13.518258426966291</v>
      </c>
      <c r="CB27" s="7">
        <f>((AVERAGE(BW22:BW27)*('Summary Page'!$C$4+1))*('Summary Page'!$C$4+1))*('Summary Page'!$C$4+1)</f>
        <v>11.96008988764045</v>
      </c>
      <c r="CC27" s="11">
        <f t="shared" si="14"/>
        <v>8.0749063670411978</v>
      </c>
      <c r="CD27" s="11">
        <f t="shared" si="15"/>
        <v>6.9912609238451937</v>
      </c>
      <c r="CE27" s="11">
        <f t="shared" si="16"/>
        <v>8.3895131086142332</v>
      </c>
      <c r="CF27" s="11">
        <f t="shared" si="17"/>
        <v>12.604089048689136</v>
      </c>
      <c r="CG27" s="11">
        <f t="shared" si="18"/>
        <v>15.77130149812734</v>
      </c>
      <c r="CH27" s="11">
        <f t="shared" si="19"/>
        <v>13.953438202247192</v>
      </c>
    </row>
    <row r="28" spans="1:86" ht="15.75" x14ac:dyDescent="0.25">
      <c r="A28" s="10">
        <v>43740</v>
      </c>
      <c r="B28" s="7">
        <v>77</v>
      </c>
      <c r="C28" s="7">
        <v>46</v>
      </c>
      <c r="D28" s="7">
        <v>63</v>
      </c>
      <c r="E28" s="7">
        <v>37</v>
      </c>
      <c r="F28" s="7">
        <v>49</v>
      </c>
      <c r="G28" s="110">
        <v>80</v>
      </c>
      <c r="H28" s="7">
        <v>49</v>
      </c>
      <c r="I28" s="7">
        <v>66</v>
      </c>
      <c r="J28" s="7">
        <v>38</v>
      </c>
      <c r="K28" s="111">
        <v>54</v>
      </c>
      <c r="L28" s="7"/>
      <c r="M28" s="7"/>
      <c r="N28" s="7"/>
      <c r="O28" s="7"/>
      <c r="P28" s="7"/>
      <c r="Q28" s="7">
        <v>80</v>
      </c>
      <c r="R28" s="7">
        <v>80</v>
      </c>
      <c r="S28" s="7"/>
      <c r="T28" s="7">
        <v>223</v>
      </c>
      <c r="U28" s="7">
        <v>224</v>
      </c>
      <c r="V28" s="7"/>
      <c r="W28" s="7"/>
      <c r="X28" s="7"/>
      <c r="Y28" s="7"/>
      <c r="Z28" s="7"/>
      <c r="AA28" s="2">
        <f t="shared" si="2"/>
        <v>54.4</v>
      </c>
      <c r="AB28" s="2">
        <f t="shared" si="3"/>
        <v>57.4</v>
      </c>
      <c r="AC28" s="2">
        <f t="shared" si="4"/>
        <v>68.88</v>
      </c>
      <c r="AD28" s="7">
        <f>((AVERAGE(AA23:AA28)*('Summary Page'!$C$2+1))*('Summary Page'!$C$2+1))*('Summary Page'!$C$2+1)</f>
        <v>88.268668799999986</v>
      </c>
      <c r="AE28" s="7">
        <f>((AVERAGE(AA23:AA28)*('Summary Page'!$C$3+1))*('Summary Page'!$C$3+1))*('Summary Page'!$C$3+1)</f>
        <v>110.44921875</v>
      </c>
      <c r="AF28" s="7">
        <f>((AVERAGE(AA23:AA28)*('Summary Page'!$C$4+1))*('Summary Page'!$C$4+1))*('Summary Page'!$C$4+1)</f>
        <v>97.718400000000003</v>
      </c>
      <c r="AI28" s="7">
        <f t="shared" si="5"/>
        <v>96</v>
      </c>
      <c r="AJ28" s="7">
        <f>((AVERAGE(B23:B28)*('Summary Page'!$C$2+1))*('Summary Page'!$C$2+1))*('Summary Page'!$C$2+1)</f>
        <v>120.57921599999999</v>
      </c>
      <c r="AK28" s="7">
        <f>((AVERAGE(B23:B28)*('Summary Page'!$C$3+1))*('Summary Page'!$C$3+1))*('Summary Page'!$C$3+1)</f>
        <v>150.87890625</v>
      </c>
      <c r="AL28" s="8">
        <f>((AVERAGE(B23:B28)*('Summary Page'!$C$4+1))*('Summary Page'!$C$4+1))*('Summary Page'!$C$4+1)</f>
        <v>133.488</v>
      </c>
      <c r="AO28" s="7">
        <f t="shared" si="6"/>
        <v>58.8</v>
      </c>
      <c r="AP28" s="7">
        <f>((AVERAGE(C23:C28)*('Summary Page'!$C$2+1))*('Summary Page'!$C$2+1))*('Summary Page'!$C$2+1)</f>
        <v>75.313231999999985</v>
      </c>
      <c r="AQ28" s="7">
        <f>((AVERAGE(C23:C28)*('Summary Page'!$C$3+1))*('Summary Page'!$C$3+1))*('Summary Page'!$C$3+1)</f>
        <v>94.23828125</v>
      </c>
      <c r="AR28" s="8">
        <f>((AVERAGE(C23:C28)*('Summary Page'!$C$4+1))*('Summary Page'!$C$4+1))*('Summary Page'!$C$4+1)</f>
        <v>83.375999999999991</v>
      </c>
      <c r="AU28" s="7">
        <f t="shared" si="7"/>
        <v>79.2</v>
      </c>
      <c r="AV28" s="7">
        <f>((AVERAGE(D23:D28)*('Summary Page'!$C$2+1))*('Summary Page'!$C$2+1))*('Summary Page'!$C$2+1)</f>
        <v>102.23868799999997</v>
      </c>
      <c r="AW28" s="7">
        <f>((AVERAGE(D23:D28)*('Summary Page'!$C$3+1))*('Summary Page'!$C$3+1))*('Summary Page'!$C$3+1)</f>
        <v>127.9296875</v>
      </c>
      <c r="AX28" s="7">
        <f>((AVERAGE(D23:D28)*('Summary Page'!$C$4+1))*('Summary Page'!$C$4+1))*('Summary Page'!$C$4+1)</f>
        <v>113.18399999999998</v>
      </c>
      <c r="BA28" s="7">
        <f t="shared" si="8"/>
        <v>45.6</v>
      </c>
      <c r="BB28" s="7">
        <f>((AVERAGE(E23:E28)*('Summary Page'!$C$2+1))*('Summary Page'!$C$2+1))*('Summary Page'!$C$2+1)</f>
        <v>59.704271999999989</v>
      </c>
      <c r="BC28" s="7">
        <f>((AVERAGE(E23:E28)*('Summary Page'!$C$3+1))*('Summary Page'!$C$3+1))*('Summary Page'!$C$3+1)</f>
        <v>74.70703125</v>
      </c>
      <c r="BD28" s="8">
        <f>((AVERAGE(E23:E28)*('Summary Page'!$C$4+1))*('Summary Page'!$C$4+1))*('Summary Page'!$C$4+1)</f>
        <v>66.095999999999989</v>
      </c>
      <c r="BG28" s="7">
        <f t="shared" si="9"/>
        <v>64.8</v>
      </c>
      <c r="BH28" s="7">
        <f>((AVERAGE(F23:F28)*('Summary Page'!$C$2+1))*('Summary Page'!$C$2+1))*('Summary Page'!$C$2+1)</f>
        <v>83.507935999999987</v>
      </c>
      <c r="BI28" s="7">
        <f>((AVERAGE(F23:F28)*('Summary Page'!$C$3+1))*('Summary Page'!$C$3+1))*('Summary Page'!$C$3+1)</f>
        <v>104.4921875</v>
      </c>
      <c r="BJ28" s="8">
        <f>((AVERAGE(F23:F28)*('Summary Page'!$C$4+1))*('Summary Page'!$C$4+1))*('Summary Page'!$C$4+1)</f>
        <v>92.448000000000008</v>
      </c>
      <c r="BM28" s="7">
        <f t="shared" si="10"/>
        <v>96</v>
      </c>
      <c r="BN28" s="7">
        <f>((AVERAGE(Q23:Q28)*('Summary Page'!$C$2+1))*('Summary Page'!$C$2+1))*('Summary Page'!$C$2+1)</f>
        <v>120.96943999999996</v>
      </c>
      <c r="BO28" s="7">
        <f>((AVERAGE(Q23:Q28)*('Summary Page'!$C$3+1))*('Summary Page'!$C$3+1))*('Summary Page'!$C$3+1)</f>
        <v>151.3671875</v>
      </c>
      <c r="BP28" s="8">
        <f>((AVERAGE(Q23:Q28)*('Summary Page'!$C$4+1))*('Summary Page'!$C$4+1))*('Summary Page'!$C$4+1)</f>
        <v>133.91999999999999</v>
      </c>
      <c r="BS28" s="7">
        <f t="shared" si="11"/>
        <v>268.8</v>
      </c>
      <c r="BT28" s="7">
        <f>((AVERAGE(T23:T28)*('Summary Page'!$C$2+1))*('Summary Page'!$C$2+1))*('Summary Page'!$C$2+1)</f>
        <v>357.44518399999993</v>
      </c>
      <c r="BU28" s="7">
        <f>((AVERAGE(T23:T28)*('Summary Page'!$C$3+1))*('Summary Page'!$C$3+1))*('Summary Page'!$C$3+1)</f>
        <v>447.265625</v>
      </c>
      <c r="BV28" s="8">
        <f>((AVERAGE(T23:T28)*('Summary Page'!$C$4+1))*('Summary Page'!$C$4+1))*('Summary Page'!$C$4+1)</f>
        <v>395.71199999999999</v>
      </c>
      <c r="BW28" s="16">
        <f t="shared" ref="BW28:BW50" si="20">T28/7.5/0.89/5</f>
        <v>6.6816479400749058</v>
      </c>
      <c r="BX28" s="16">
        <f t="shared" ref="BX28:BX50" si="21">U28/7.5/0.89/5</f>
        <v>6.7116104868913853</v>
      </c>
      <c r="BY28" s="7">
        <f t="shared" si="13"/>
        <v>8.0539325842696616</v>
      </c>
      <c r="BZ28" s="7">
        <f>((AVERAGE(BW23:BW28)*('Summary Page'!$C$2+1))*('Summary Page'!$C$2+1))*('Summary Page'!$C$2+1)</f>
        <v>10.709968059925092</v>
      </c>
      <c r="CA28" s="7">
        <f>((AVERAGE(BW23:BW28)*('Summary Page'!$C$3+1))*('Summary Page'!$C$3+1))*('Summary Page'!$C$3+1)</f>
        <v>13.401217228464418</v>
      </c>
      <c r="CB28" s="7">
        <f>((AVERAGE(BW23:BW28)*('Summary Page'!$C$4+1))*('Summary Page'!$C$4+1))*('Summary Page'!$C$4+1)</f>
        <v>11.856539325842695</v>
      </c>
      <c r="CC28" s="11">
        <f t="shared" si="14"/>
        <v>7.7952559300873903</v>
      </c>
      <c r="CD28" s="11">
        <f t="shared" si="15"/>
        <v>7.8302122347066163</v>
      </c>
      <c r="CE28" s="11">
        <f t="shared" si="16"/>
        <v>9.3962546816479389</v>
      </c>
      <c r="CF28" s="11">
        <f t="shared" si="17"/>
        <v>12.494962736579275</v>
      </c>
      <c r="CG28" s="11">
        <f t="shared" si="18"/>
        <v>15.634753433208488</v>
      </c>
      <c r="CH28" s="11">
        <f t="shared" si="19"/>
        <v>13.832629213483145</v>
      </c>
    </row>
    <row r="29" spans="1:86" ht="15.75" x14ac:dyDescent="0.25">
      <c r="A29" s="10">
        <v>43773</v>
      </c>
      <c r="B29" s="7">
        <v>84</v>
      </c>
      <c r="C29" s="7">
        <v>55</v>
      </c>
      <c r="D29" s="7">
        <v>72</v>
      </c>
      <c r="E29" s="7">
        <v>43</v>
      </c>
      <c r="F29" s="7">
        <v>63</v>
      </c>
      <c r="G29" s="110">
        <v>61</v>
      </c>
      <c r="H29" s="7">
        <v>30</v>
      </c>
      <c r="I29" s="7">
        <v>43</v>
      </c>
      <c r="J29" s="7">
        <v>27</v>
      </c>
      <c r="K29" s="111">
        <v>35</v>
      </c>
      <c r="L29" s="7"/>
      <c r="M29" s="7"/>
      <c r="N29" s="7"/>
      <c r="O29" s="7"/>
      <c r="P29" s="7"/>
      <c r="Q29" s="7">
        <v>92</v>
      </c>
      <c r="R29" s="7">
        <v>56</v>
      </c>
      <c r="S29" s="7"/>
      <c r="T29">
        <v>216</v>
      </c>
      <c r="U29">
        <v>220</v>
      </c>
      <c r="AA29" s="2">
        <f t="shared" si="2"/>
        <v>63.4</v>
      </c>
      <c r="AB29" s="2">
        <f t="shared" si="3"/>
        <v>39.200000000000003</v>
      </c>
      <c r="AC29" s="2">
        <f t="shared" si="4"/>
        <v>47.04</v>
      </c>
      <c r="AD29" s="7">
        <f>((AVERAGE(AA24:AA29)*('Summary Page'!$C$2+1))*('Summary Page'!$C$2+1))*('Summary Page'!$C$2+1)</f>
        <v>90.407096319999994</v>
      </c>
      <c r="AE29" s="7">
        <f>((AVERAGE(AA24:AA29)*('Summary Page'!$C$3+1))*('Summary Page'!$C$3+1))*('Summary Page'!$C$3+1)</f>
        <v>113.125</v>
      </c>
      <c r="AF29" s="7">
        <f>((AVERAGE(AA24:AA29)*('Summary Page'!$C$4+1))*('Summary Page'!$C$4+1))*('Summary Page'!$C$4+1)</f>
        <v>100.08576000000001</v>
      </c>
      <c r="AI29" s="7">
        <f t="shared" si="5"/>
        <v>73.2</v>
      </c>
      <c r="AJ29" s="7">
        <f>((AVERAGE(B24:B29)*('Summary Page'!$C$2+1))*('Summary Page'!$C$2+1))*('Summary Page'!$C$2+1)</f>
        <v>122.68642559999996</v>
      </c>
      <c r="AK29" s="7">
        <f>((AVERAGE(B24:B29)*('Summary Page'!$C$3+1))*('Summary Page'!$C$3+1))*('Summary Page'!$C$3+1)</f>
        <v>153.515625</v>
      </c>
      <c r="AL29" s="8">
        <f>((AVERAGE(B24:B29)*('Summary Page'!$C$4+1))*('Summary Page'!$C$4+1))*('Summary Page'!$C$4+1)</f>
        <v>135.82079999999996</v>
      </c>
      <c r="AO29" s="7">
        <f t="shared" si="6"/>
        <v>36</v>
      </c>
      <c r="AP29" s="7">
        <f>((AVERAGE(C24:C29)*('Summary Page'!$C$2+1))*('Summary Page'!$C$2+1))*('Summary Page'!$C$2+1)</f>
        <v>77.420441599999975</v>
      </c>
      <c r="AQ29" s="7">
        <f>((AVERAGE(C24:C29)*('Summary Page'!$C$3+1))*('Summary Page'!$C$3+1))*('Summary Page'!$C$3+1)</f>
        <v>96.875</v>
      </c>
      <c r="AR29" s="8">
        <f>((AVERAGE(C24:C29)*('Summary Page'!$C$4+1))*('Summary Page'!$C$4+1))*('Summary Page'!$C$4+1)</f>
        <v>85.708799999999982</v>
      </c>
      <c r="AU29" s="7">
        <f t="shared" si="7"/>
        <v>51.6</v>
      </c>
      <c r="AV29" s="7">
        <f>((AVERAGE(D24:D29)*('Summary Page'!$C$2+1))*('Summary Page'!$C$2+1))*('Summary Page'!$C$2+1)</f>
        <v>104.26785279999997</v>
      </c>
      <c r="AW29" s="7">
        <f>((AVERAGE(D24:D29)*('Summary Page'!$C$3+1))*('Summary Page'!$C$3+1))*('Summary Page'!$C$3+1)</f>
        <v>130.46875</v>
      </c>
      <c r="AX29" s="7">
        <f>((AVERAGE(D24:D29)*('Summary Page'!$C$4+1))*('Summary Page'!$C$4+1))*('Summary Page'!$C$4+1)</f>
        <v>115.43039999999999</v>
      </c>
      <c r="BA29" s="7">
        <f t="shared" si="8"/>
        <v>32.4</v>
      </c>
      <c r="BB29" s="7">
        <f>((AVERAGE(E24:E29)*('Summary Page'!$C$2+1))*('Summary Page'!$C$2+1))*('Summary Page'!$C$2+1)</f>
        <v>61.187123199999988</v>
      </c>
      <c r="BC29" s="7">
        <f>((AVERAGE(E24:E29)*('Summary Page'!$C$3+1))*('Summary Page'!$C$3+1))*('Summary Page'!$C$3+1)</f>
        <v>76.5625</v>
      </c>
      <c r="BD29" s="8">
        <f>((AVERAGE(E24:E29)*('Summary Page'!$C$4+1))*('Summary Page'!$C$4+1))*('Summary Page'!$C$4+1)</f>
        <v>67.7376</v>
      </c>
      <c r="BG29" s="7">
        <f t="shared" si="9"/>
        <v>42</v>
      </c>
      <c r="BH29" s="7">
        <f>((AVERAGE(F24:F29)*('Summary Page'!$C$2+1))*('Summary Page'!$C$2+1))*('Summary Page'!$C$2+1)</f>
        <v>86.47363839999997</v>
      </c>
      <c r="BI29" s="7">
        <f>((AVERAGE(F24:F29)*('Summary Page'!$C$3+1))*('Summary Page'!$C$3+1))*('Summary Page'!$C$3+1)</f>
        <v>108.203125</v>
      </c>
      <c r="BJ29" s="8">
        <f>((AVERAGE(F24:F29)*('Summary Page'!$C$4+1))*('Summary Page'!$C$4+1))*('Summary Page'!$C$4+1)</f>
        <v>95.731199999999973</v>
      </c>
      <c r="BM29" s="7">
        <f t="shared" si="10"/>
        <v>67.2</v>
      </c>
      <c r="BN29" s="7">
        <f>((AVERAGE(Q24:Q29)*('Summary Page'!$C$2+1))*('Summary Page'!$C$2+1))*('Summary Page'!$C$2+1)</f>
        <v>125.49603839999997</v>
      </c>
      <c r="BO29" s="7">
        <f>((AVERAGE(Q24:Q29)*('Summary Page'!$C$3+1))*('Summary Page'!$C$3+1))*('Summary Page'!$C$3+1)</f>
        <v>157.03125</v>
      </c>
      <c r="BP29" s="8">
        <f>((AVERAGE(Q24:Q29)*('Summary Page'!$C$4+1))*('Summary Page'!$C$4+1))*('Summary Page'!$C$4+1)</f>
        <v>138.93119999999999</v>
      </c>
      <c r="BS29" s="7">
        <f t="shared" si="11"/>
        <v>264</v>
      </c>
      <c r="BT29" s="7">
        <f>((AVERAGE(T24:T29)*('Summary Page'!$C$2+1))*('Summary Page'!$C$2+1))*('Summary Page'!$C$2+1)</f>
        <v>353.38685439999995</v>
      </c>
      <c r="BU29" s="7">
        <f>((AVERAGE(T24:T29)*('Summary Page'!$C$3+1))*('Summary Page'!$C$3+1))*('Summary Page'!$C$3+1)</f>
        <v>442.1875</v>
      </c>
      <c r="BV29" s="8">
        <f>((AVERAGE(T24:T29)*('Summary Page'!$C$4+1))*('Summary Page'!$C$4+1))*('Summary Page'!$C$4+1)</f>
        <v>391.2192</v>
      </c>
      <c r="BW29" s="16">
        <f t="shared" si="20"/>
        <v>6.4719101123595504</v>
      </c>
      <c r="BX29" s="16">
        <f t="shared" si="21"/>
        <v>6.5917602996254674</v>
      </c>
      <c r="BY29" s="7">
        <f t="shared" si="13"/>
        <v>7.9101123595505607</v>
      </c>
      <c r="BZ29" s="7">
        <f>((AVERAGE(BW24:BW29)*('Summary Page'!$C$2+1))*('Summary Page'!$C$2+1))*('Summary Page'!$C$2+1)</f>
        <v>10.588370169288387</v>
      </c>
      <c r="CA29" s="7">
        <f>((AVERAGE(BW24:BW29)*('Summary Page'!$C$3+1))*('Summary Page'!$C$3+1))*('Summary Page'!$C$3+1)</f>
        <v>13.249063670411985</v>
      </c>
      <c r="CB29" s="7">
        <f>((AVERAGE(BW24:BW29)*('Summary Page'!$C$4+1))*('Summary Page'!$C$4+1))*('Summary Page'!$C$4+1)</f>
        <v>11.721923595505617</v>
      </c>
      <c r="CC29" s="11">
        <f t="shared" si="14"/>
        <v>7.5505617977528088</v>
      </c>
      <c r="CD29" s="11">
        <f t="shared" si="15"/>
        <v>7.6903870162297121</v>
      </c>
      <c r="CE29" s="11">
        <f t="shared" si="16"/>
        <v>9.2284644194756549</v>
      </c>
      <c r="CF29" s="11">
        <f t="shared" si="17"/>
        <v>12.353098530836451</v>
      </c>
      <c r="CG29" s="11">
        <f t="shared" si="18"/>
        <v>15.457240948813983</v>
      </c>
      <c r="CH29" s="11">
        <f t="shared" si="19"/>
        <v>13.675577528089885</v>
      </c>
    </row>
    <row r="30" spans="1:86" ht="15.75" x14ac:dyDescent="0.25">
      <c r="A30" s="10">
        <v>43801</v>
      </c>
      <c r="B30" s="7">
        <v>84</v>
      </c>
      <c r="C30" s="7">
        <v>45</v>
      </c>
      <c r="D30" s="7">
        <v>63</v>
      </c>
      <c r="E30" s="7">
        <v>39</v>
      </c>
      <c r="F30" s="7">
        <v>52</v>
      </c>
      <c r="G30" s="110">
        <v>63</v>
      </c>
      <c r="H30" s="7">
        <v>36</v>
      </c>
      <c r="I30" s="7">
        <v>50</v>
      </c>
      <c r="J30" s="7">
        <v>31</v>
      </c>
      <c r="K30" s="111">
        <v>42</v>
      </c>
      <c r="L30" s="7"/>
      <c r="M30" s="7"/>
      <c r="N30" s="7"/>
      <c r="O30" s="7"/>
      <c r="P30" s="7"/>
      <c r="Q30" s="7">
        <v>83</v>
      </c>
      <c r="R30" s="7">
        <v>63</v>
      </c>
      <c r="S30" s="7"/>
      <c r="T30" s="7">
        <v>180</v>
      </c>
      <c r="U30" s="7">
        <v>136</v>
      </c>
      <c r="V30" s="7"/>
      <c r="W30" s="7"/>
      <c r="X30" s="7"/>
      <c r="Y30" s="7"/>
      <c r="Z30" s="7"/>
      <c r="AA30" s="2">
        <f t="shared" si="2"/>
        <v>56.6</v>
      </c>
      <c r="AB30" s="2">
        <f t="shared" si="3"/>
        <v>44.4</v>
      </c>
      <c r="AC30" s="2">
        <f t="shared" si="4"/>
        <v>53.279999999999994</v>
      </c>
      <c r="AD30" s="7">
        <f>((AVERAGE(AA25:AA30)*('Summary Page'!$C$2+1))*('Summary Page'!$C$2+1))*('Summary Page'!$C$2+1)</f>
        <v>90.063699199999988</v>
      </c>
      <c r="AE30" s="7">
        <f>((AVERAGE(AA25:AA30)*('Summary Page'!$C$3+1))*('Summary Page'!$C$3+1))*('Summary Page'!$C$3+1)</f>
        <v>112.69531250000001</v>
      </c>
      <c r="AF30" s="7">
        <f>((AVERAGE(AA25:AA30)*('Summary Page'!$C$4+1))*('Summary Page'!$C$4+1))*('Summary Page'!$C$4+1)</f>
        <v>99.705600000000004</v>
      </c>
      <c r="AI30" s="7">
        <f t="shared" si="5"/>
        <v>75.599999999999994</v>
      </c>
      <c r="AJ30" s="7">
        <f>((AVERAGE(B25:B30)*('Summary Page'!$C$2+1))*('Summary Page'!$C$2+1))*('Summary Page'!$C$2+1)</f>
        <v>124.09123199999998</v>
      </c>
      <c r="AK30" s="7">
        <f>((AVERAGE(B25:B30)*('Summary Page'!$C$3+1))*('Summary Page'!$C$3+1))*('Summary Page'!$C$3+1)</f>
        <v>155.2734375</v>
      </c>
      <c r="AL30" s="8">
        <f>((AVERAGE(B25:B30)*('Summary Page'!$C$4+1))*('Summary Page'!$C$4+1))*('Summary Page'!$C$4+1)</f>
        <v>137.37599999999998</v>
      </c>
      <c r="AO30" s="7">
        <f t="shared" si="6"/>
        <v>43.199999999999996</v>
      </c>
      <c r="AP30" s="7">
        <f>((AVERAGE(C25:C30)*('Summary Page'!$C$2+1))*('Summary Page'!$C$2+1))*('Summary Page'!$C$2+1)</f>
        <v>76.223754666666665</v>
      </c>
      <c r="AQ30" s="7">
        <f>((AVERAGE(C25:C30)*('Summary Page'!$C$3+1))*('Summary Page'!$C$3+1))*('Summary Page'!$C$3+1)</f>
        <v>95.377604166666686</v>
      </c>
      <c r="AR30" s="8">
        <f>((AVERAGE(C25:C30)*('Summary Page'!$C$4+1))*('Summary Page'!$C$4+1))*('Summary Page'!$C$4+1)</f>
        <v>84.383999999999986</v>
      </c>
      <c r="AU30" s="7">
        <f t="shared" si="7"/>
        <v>60</v>
      </c>
      <c r="AV30" s="7">
        <f>((AVERAGE(D25:D30)*('Summary Page'!$C$2+1))*('Summary Page'!$C$2+1))*('Summary Page'!$C$2+1)</f>
        <v>103.27928533333331</v>
      </c>
      <c r="AW30" s="7">
        <f>((AVERAGE(D25:D30)*('Summary Page'!$C$3+1))*('Summary Page'!$C$3+1))*('Summary Page'!$C$3+1)</f>
        <v>129.23177083333337</v>
      </c>
      <c r="AX30" s="7">
        <f>((AVERAGE(D25:D30)*('Summary Page'!$C$4+1))*('Summary Page'!$C$4+1))*('Summary Page'!$C$4+1)</f>
        <v>114.336</v>
      </c>
      <c r="BA30" s="7">
        <f t="shared" si="8"/>
        <v>37.199999999999996</v>
      </c>
      <c r="BB30" s="7">
        <f>((AVERAGE(E25:E30)*('Summary Page'!$C$2+1))*('Summary Page'!$C$2+1))*('Summary Page'!$C$2+1)</f>
        <v>61.135093333333323</v>
      </c>
      <c r="BC30" s="7">
        <f>((AVERAGE(E25:E30)*('Summary Page'!$C$3+1))*('Summary Page'!$C$3+1))*('Summary Page'!$C$3+1)</f>
        <v>76.497395833333314</v>
      </c>
      <c r="BD30" s="8">
        <f>((AVERAGE(E25:E30)*('Summary Page'!$C$4+1))*('Summary Page'!$C$4+1))*('Summary Page'!$C$4+1)</f>
        <v>67.679999999999993</v>
      </c>
      <c r="BG30" s="7">
        <f t="shared" si="9"/>
        <v>50.4</v>
      </c>
      <c r="BH30" s="7">
        <f>((AVERAGE(F25:F30)*('Summary Page'!$C$2+1))*('Summary Page'!$C$2+1))*('Summary Page'!$C$2+1)</f>
        <v>85.589130666666648</v>
      </c>
      <c r="BI30" s="7">
        <f>((AVERAGE(F25:F30)*('Summary Page'!$C$3+1))*('Summary Page'!$C$3+1))*('Summary Page'!$C$3+1)</f>
        <v>107.09635416666669</v>
      </c>
      <c r="BJ30" s="8">
        <f>((AVERAGE(F25:F30)*('Summary Page'!$C$4+1))*('Summary Page'!$C$4+1))*('Summary Page'!$C$4+1)</f>
        <v>94.751999999999995</v>
      </c>
      <c r="BM30" s="7">
        <f t="shared" si="10"/>
        <v>75.599999999999994</v>
      </c>
      <c r="BN30" s="7">
        <f>((AVERAGE(Q25:Q30)*('Summary Page'!$C$2+1))*('Summary Page'!$C$2+1))*('Summary Page'!$C$2+1)</f>
        <v>126.17242666666662</v>
      </c>
      <c r="BO30" s="7">
        <f>((AVERAGE(Q25:Q30)*('Summary Page'!$C$3+1))*('Summary Page'!$C$3+1))*('Summary Page'!$C$3+1)</f>
        <v>157.87760416666663</v>
      </c>
      <c r="BP30" s="8">
        <f>((AVERAGE(Q25:Q30)*('Summary Page'!$C$4+1))*('Summary Page'!$C$4+1))*('Summary Page'!$C$4+1)</f>
        <v>139.67999999999998</v>
      </c>
      <c r="BS30" s="7">
        <f t="shared" si="11"/>
        <v>163.19999999999999</v>
      </c>
      <c r="BT30" s="7">
        <f>((AVERAGE(T25:T30)*('Summary Page'!$C$2+1))*('Summary Page'!$C$2+1))*('Summary Page'!$C$2+1)</f>
        <v>341.31592533333321</v>
      </c>
      <c r="BU30" s="7">
        <f>((AVERAGE(T25:T30)*('Summary Page'!$C$3+1))*('Summary Page'!$C$3+1))*('Summary Page'!$C$3+1)</f>
        <v>427.08333333333326</v>
      </c>
      <c r="BV30" s="8">
        <f>((AVERAGE(T25:T30)*('Summary Page'!$C$4+1))*('Summary Page'!$C$4+1))*('Summary Page'!$C$4+1)</f>
        <v>377.85599999999994</v>
      </c>
      <c r="BW30" s="16">
        <f t="shared" si="20"/>
        <v>5.393258426966292</v>
      </c>
      <c r="BX30" s="16">
        <f t="shared" si="21"/>
        <v>4.0749063670411987</v>
      </c>
      <c r="BY30" s="7">
        <f t="shared" si="13"/>
        <v>4.8898876404494382</v>
      </c>
      <c r="BZ30" s="7">
        <f>((AVERAGE(BW25:BW30)*('Summary Page'!$C$2+1))*('Summary Page'!$C$2+1))*('Summary Page'!$C$2+1)</f>
        <v>10.226694392009984</v>
      </c>
      <c r="CA30" s="7">
        <f>((AVERAGE(BW25:BW30)*('Summary Page'!$C$3+1))*('Summary Page'!$C$3+1))*('Summary Page'!$C$3+1)</f>
        <v>12.796504369538075</v>
      </c>
      <c r="CB30" s="7">
        <f>((AVERAGE(BW25:BW30)*('Summary Page'!$C$4+1))*('Summary Page'!$C$4+1))*('Summary Page'!$C$4+1)</f>
        <v>11.321528089887639</v>
      </c>
      <c r="CC30" s="11">
        <f t="shared" si="14"/>
        <v>6.2921348314606735</v>
      </c>
      <c r="CD30" s="11">
        <f t="shared" si="15"/>
        <v>4.7540574282147317</v>
      </c>
      <c r="CE30" s="11">
        <f t="shared" si="16"/>
        <v>5.7048689138576778</v>
      </c>
      <c r="CF30" s="11">
        <f t="shared" si="17"/>
        <v>11.93114345734498</v>
      </c>
      <c r="CG30" s="11">
        <f t="shared" si="18"/>
        <v>14.929255097794421</v>
      </c>
      <c r="CH30" s="11">
        <f t="shared" si="19"/>
        <v>13.208449438202246</v>
      </c>
    </row>
    <row r="31" spans="1:86" ht="15.75" x14ac:dyDescent="0.25">
      <c r="A31" s="10">
        <v>43838</v>
      </c>
      <c r="B31" s="7">
        <v>82</v>
      </c>
      <c r="C31" s="7">
        <v>49</v>
      </c>
      <c r="D31" s="7">
        <v>69</v>
      </c>
      <c r="E31" s="7">
        <v>39</v>
      </c>
      <c r="F31" s="7">
        <v>53</v>
      </c>
      <c r="G31" s="110">
        <v>66</v>
      </c>
      <c r="H31" s="7">
        <v>30</v>
      </c>
      <c r="I31" s="7">
        <v>47</v>
      </c>
      <c r="J31" s="7">
        <v>29</v>
      </c>
      <c r="K31" s="111">
        <v>36</v>
      </c>
      <c r="L31" s="7"/>
      <c r="M31" s="7"/>
      <c r="N31" s="7"/>
      <c r="O31" s="7"/>
      <c r="P31" s="7"/>
      <c r="Q31" s="7">
        <v>84</v>
      </c>
      <c r="R31" s="7">
        <v>59</v>
      </c>
      <c r="S31" s="7"/>
      <c r="T31" s="7">
        <v>211</v>
      </c>
      <c r="U31" s="7">
        <v>220</v>
      </c>
      <c r="V31" s="7"/>
      <c r="W31" s="7"/>
      <c r="X31" s="7"/>
      <c r="Y31" s="7"/>
      <c r="Z31" s="7"/>
      <c r="AA31" s="2">
        <f t="shared" si="2"/>
        <v>58.4</v>
      </c>
      <c r="AB31" s="2">
        <f t="shared" si="3"/>
        <v>41.6</v>
      </c>
      <c r="AC31" s="2">
        <f t="shared" si="4"/>
        <v>49.92</v>
      </c>
      <c r="AD31" s="7">
        <f>((AVERAGE(AA26:AA31)*('Summary Page'!$C$2+1))*('Summary Page'!$C$2+1))*('Summary Page'!$C$2+1)</f>
        <v>89.283251199999967</v>
      </c>
      <c r="AE31" s="7">
        <f>((AVERAGE(AA26:AA31)*('Summary Page'!$C$3+1))*('Summary Page'!$C$3+1))*('Summary Page'!$C$3+1)</f>
        <v>111.71875</v>
      </c>
      <c r="AF31" s="7">
        <f>((AVERAGE(AA26:AA31)*('Summary Page'!$C$4+1))*('Summary Page'!$C$4+1))*('Summary Page'!$C$4+1)</f>
        <v>98.841599999999971</v>
      </c>
      <c r="AI31" s="7">
        <f t="shared" ref="AI31:AI48" si="22">G31*1.2</f>
        <v>79.2</v>
      </c>
      <c r="AJ31" s="7">
        <f>((AVERAGE(B26:B31)*('Summary Page'!$C$2+1))*('Summary Page'!$C$2+1))*('Summary Page'!$C$2+1)</f>
        <v>124.61153066666664</v>
      </c>
      <c r="AK31" s="7">
        <f>((AVERAGE(B26:B31)*('Summary Page'!$C$3+1))*('Summary Page'!$C$3+1))*('Summary Page'!$C$3+1)</f>
        <v>155.92447916666663</v>
      </c>
      <c r="AL31" s="8">
        <f>((AVERAGE(B26:B31)*('Summary Page'!$C$4+1))*('Summary Page'!$C$4+1))*('Summary Page'!$C$4+1)</f>
        <v>137.952</v>
      </c>
      <c r="AO31" s="7">
        <f t="shared" ref="AO31:AO56" si="23">H31*1.2</f>
        <v>36</v>
      </c>
      <c r="AP31" s="7">
        <f>((AVERAGE(C26:C31)*('Summary Page'!$C$2+1))*('Summary Page'!$C$2+1))*('Summary Page'!$C$2+1)</f>
        <v>75.183157333333313</v>
      </c>
      <c r="AQ31" s="7">
        <f>((AVERAGE(C26:C31)*('Summary Page'!$C$3+1))*('Summary Page'!$C$3+1))*('Summary Page'!$C$3+1)</f>
        <v>94.075520833333314</v>
      </c>
      <c r="AR31" s="8">
        <f>((AVERAGE(C26:C31)*('Summary Page'!$C$4+1))*('Summary Page'!$C$4+1))*('Summary Page'!$C$4+1)</f>
        <v>83.231999999999999</v>
      </c>
      <c r="AU31" s="7">
        <f t="shared" ref="AU31:AU56" si="24">I31*1.2</f>
        <v>56.4</v>
      </c>
      <c r="AV31" s="7">
        <f>((AVERAGE(D26:D31)*('Summary Page'!$C$2+1))*('Summary Page'!$C$2+1))*('Summary Page'!$C$2+1)</f>
        <v>102.23868799999997</v>
      </c>
      <c r="AW31" s="7">
        <f>((AVERAGE(D26:D31)*('Summary Page'!$C$3+1))*('Summary Page'!$C$3+1))*('Summary Page'!$C$3+1)</f>
        <v>127.9296875</v>
      </c>
      <c r="AX31" s="7">
        <f>((AVERAGE(D26:D31)*('Summary Page'!$C$4+1))*('Summary Page'!$C$4+1))*('Summary Page'!$C$4+1)</f>
        <v>113.18399999999998</v>
      </c>
      <c r="BA31" s="7">
        <f t="shared" ref="BA31:BA56" si="25">J31*1.2</f>
        <v>34.799999999999997</v>
      </c>
      <c r="BB31" s="7">
        <f>((AVERAGE(E26:E31)*('Summary Page'!$C$2+1))*('Summary Page'!$C$2+1))*('Summary Page'!$C$2+1)</f>
        <v>60.354645333333316</v>
      </c>
      <c r="BC31" s="7">
        <f>((AVERAGE(E26:E31)*('Summary Page'!$C$3+1))*('Summary Page'!$C$3+1))*('Summary Page'!$C$3+1)</f>
        <v>75.520833333333314</v>
      </c>
      <c r="BD31" s="8">
        <f>((AVERAGE(E26:E31)*('Summary Page'!$C$4+1))*('Summary Page'!$C$4+1))*('Summary Page'!$C$4+1)</f>
        <v>66.816000000000003</v>
      </c>
      <c r="BG31" s="7">
        <f t="shared" ref="BG31:BG49" si="26">K31*1.2</f>
        <v>43.199999999999996</v>
      </c>
      <c r="BH31" s="7">
        <f>((AVERAGE(F26:F31)*('Summary Page'!$C$2+1))*('Summary Page'!$C$2+1))*('Summary Page'!$C$2+1)</f>
        <v>84.028234666666648</v>
      </c>
      <c r="BI31" s="7">
        <f>((AVERAGE(F26:F31)*('Summary Page'!$C$3+1))*('Summary Page'!$C$3+1))*('Summary Page'!$C$3+1)</f>
        <v>105.14322916666669</v>
      </c>
      <c r="BJ31" s="8">
        <f>((AVERAGE(F26:F31)*('Summary Page'!$C$4+1))*('Summary Page'!$C$4+1))*('Summary Page'!$C$4+1)</f>
        <v>93.023999999999987</v>
      </c>
      <c r="BM31" s="7">
        <f t="shared" ref="BM31:BM50" si="27">R31*1.2</f>
        <v>70.8</v>
      </c>
      <c r="BN31" s="7">
        <f>((AVERAGE(Q26:Q31)*('Summary Page'!$C$2+1))*('Summary Page'!$C$2+1))*('Summary Page'!$C$2+1)</f>
        <v>128.77391999999998</v>
      </c>
      <c r="BO31" s="7">
        <f>((AVERAGE(Q26:Q31)*('Summary Page'!$C$3+1))*('Summary Page'!$C$3+1))*('Summary Page'!$C$3+1)</f>
        <v>161.1328125</v>
      </c>
      <c r="BP31" s="8">
        <f>((AVERAGE(Q26:Q31)*('Summary Page'!$C$4+1))*('Summary Page'!$C$4+1))*('Summary Page'!$C$4+1)</f>
        <v>142.56</v>
      </c>
      <c r="BS31" s="7">
        <f t="shared" ref="BS31:BS50" si="28">U31*1.2</f>
        <v>264</v>
      </c>
      <c r="BT31" s="7">
        <f>((AVERAGE(T26:T31)*('Summary Page'!$C$2+1))*('Summary Page'!$C$2+1))*('Summary Page'!$C$2+1)</f>
        <v>336.11293866666659</v>
      </c>
      <c r="BU31" s="7">
        <f>((AVERAGE(T26:T31)*('Summary Page'!$C$3+1))*('Summary Page'!$C$3+1))*('Summary Page'!$C$3+1)</f>
        <v>420.57291666666674</v>
      </c>
      <c r="BV31" s="8">
        <f>((AVERAGE(T26:T31)*('Summary Page'!$C$4+1))*('Summary Page'!$C$4+1))*('Summary Page'!$C$4+1)</f>
        <v>372.09599999999995</v>
      </c>
      <c r="BW31" s="16">
        <f t="shared" si="20"/>
        <v>6.322097378277153</v>
      </c>
      <c r="BX31" s="16">
        <f t="shared" si="21"/>
        <v>6.5917602996254674</v>
      </c>
      <c r="BY31" s="7">
        <f t="shared" ref="BY31:BY50" si="29">BX31*1.2</f>
        <v>7.9101123595505607</v>
      </c>
      <c r="BZ31" s="7">
        <f>((AVERAGE(BW26:BW31)*('Summary Page'!$C$2+1))*('Summary Page'!$C$2+1))*('Summary Page'!$C$2+1)</f>
        <v>10.070799660424468</v>
      </c>
      <c r="CA31" s="7">
        <f>((AVERAGE(BW26:BW31)*('Summary Page'!$C$3+1))*('Summary Page'!$C$3+1))*('Summary Page'!$C$3+1)</f>
        <v>12.601435705368292</v>
      </c>
      <c r="CB31" s="7">
        <f>((AVERAGE(BW26:BW31)*('Summary Page'!$C$4+1))*('Summary Page'!$C$4+1))*('Summary Page'!$C$4+1)</f>
        <v>11.148943820224719</v>
      </c>
      <c r="CC31" s="11">
        <f t="shared" ref="CC31:CC50" si="30">(BW31/6)+BW31</f>
        <v>7.3757802746566785</v>
      </c>
      <c r="CD31" s="11">
        <f t="shared" si="15"/>
        <v>7.6903870162297121</v>
      </c>
      <c r="CE31" s="11">
        <f t="shared" si="16"/>
        <v>9.2284644194756549</v>
      </c>
      <c r="CF31" s="11">
        <f t="shared" si="17"/>
        <v>11.749266270495212</v>
      </c>
      <c r="CG31" s="11">
        <f t="shared" si="18"/>
        <v>14.701674989596341</v>
      </c>
      <c r="CH31" s="11">
        <f t="shared" si="19"/>
        <v>13.007101123595506</v>
      </c>
    </row>
    <row r="32" spans="1:86" ht="15.75" x14ac:dyDescent="0.25">
      <c r="A32" s="10">
        <v>43864</v>
      </c>
      <c r="B32" s="7">
        <v>79</v>
      </c>
      <c r="C32" s="7">
        <v>45</v>
      </c>
      <c r="D32" s="7">
        <v>66</v>
      </c>
      <c r="E32" s="7">
        <v>38</v>
      </c>
      <c r="F32" s="7">
        <v>53</v>
      </c>
      <c r="G32" s="110">
        <v>44</v>
      </c>
      <c r="H32" s="7">
        <v>25</v>
      </c>
      <c r="I32" s="7">
        <v>37</v>
      </c>
      <c r="J32" s="7">
        <v>22</v>
      </c>
      <c r="K32" s="111">
        <v>30</v>
      </c>
      <c r="L32" s="7"/>
      <c r="M32" s="7"/>
      <c r="N32" s="7"/>
      <c r="O32" s="7"/>
      <c r="P32" s="7"/>
      <c r="Q32" s="7">
        <v>80</v>
      </c>
      <c r="R32" s="7">
        <v>44</v>
      </c>
      <c r="S32" s="7"/>
      <c r="T32" s="7">
        <v>214.5</v>
      </c>
      <c r="U32" s="7">
        <v>227</v>
      </c>
      <c r="V32" s="7"/>
      <c r="W32" s="7"/>
      <c r="X32" s="7"/>
      <c r="Y32" s="7"/>
      <c r="Z32" s="7"/>
      <c r="AA32" s="2">
        <f t="shared" si="2"/>
        <v>56.2</v>
      </c>
      <c r="AB32" s="2">
        <f t="shared" si="3"/>
        <v>31.6</v>
      </c>
      <c r="AC32" s="2">
        <f t="shared" si="4"/>
        <v>37.92</v>
      </c>
      <c r="AD32" s="7">
        <f>((AVERAGE(AA27:AA32)*('Summary Page'!$C$2+1))*('Summary Page'!$C$2+1))*('Summary Page'!$C$2+1)</f>
        <v>90.115729066666646</v>
      </c>
      <c r="AE32" s="7">
        <f>((AVERAGE(AA27:AA32)*('Summary Page'!$C$3+1))*('Summary Page'!$C$3+1))*('Summary Page'!$C$3+1)</f>
        <v>112.76041666666664</v>
      </c>
      <c r="AF32" s="7">
        <f>((AVERAGE(AA27:AA32)*('Summary Page'!$C$4+1))*('Summary Page'!$C$4+1))*('Summary Page'!$C$4+1)</f>
        <v>99.763199999999969</v>
      </c>
      <c r="AI32" s="7">
        <f t="shared" si="22"/>
        <v>52.8</v>
      </c>
      <c r="AJ32" s="7">
        <f>((AVERAGE(B27:B32)*('Summary Page'!$C$2+1))*('Summary Page'!$C$2+1))*('Summary Page'!$C$2+1)</f>
        <v>126.43257599999997</v>
      </c>
      <c r="AK32" s="7">
        <f>((AVERAGE(B27:B32)*('Summary Page'!$C$3+1))*('Summary Page'!$C$3+1))*('Summary Page'!$C$3+1)</f>
        <v>158.203125</v>
      </c>
      <c r="AL32" s="8">
        <f>((AVERAGE(B27:B32)*('Summary Page'!$C$4+1))*('Summary Page'!$C$4+1))*('Summary Page'!$C$4+1)</f>
        <v>139.96799999999999</v>
      </c>
      <c r="AO32" s="7">
        <f t="shared" si="23"/>
        <v>30</v>
      </c>
      <c r="AP32" s="7">
        <f>((AVERAGE(C27:C32)*('Summary Page'!$C$2+1))*('Summary Page'!$C$2+1))*('Summary Page'!$C$2+1)</f>
        <v>74.923007999999982</v>
      </c>
      <c r="AQ32" s="7">
        <f>((AVERAGE(C27:C32)*('Summary Page'!$C$3+1))*('Summary Page'!$C$3+1))*('Summary Page'!$C$3+1)</f>
        <v>93.75</v>
      </c>
      <c r="AR32" s="8">
        <f>((AVERAGE(C27:C32)*('Summary Page'!$C$4+1))*('Summary Page'!$C$4+1))*('Summary Page'!$C$4+1)</f>
        <v>82.943999999999988</v>
      </c>
      <c r="AU32" s="7">
        <f t="shared" si="24"/>
        <v>44.4</v>
      </c>
      <c r="AV32" s="7">
        <f>((AVERAGE(D27:D32)*('Summary Page'!$C$2+1))*('Summary Page'!$C$2+1))*('Summary Page'!$C$2+1)</f>
        <v>103.799584</v>
      </c>
      <c r="AW32" s="7">
        <f>((AVERAGE(D27:D32)*('Summary Page'!$C$3+1))*('Summary Page'!$C$3+1))*('Summary Page'!$C$3+1)</f>
        <v>129.8828125</v>
      </c>
      <c r="AX32" s="7">
        <f>((AVERAGE(D27:D32)*('Summary Page'!$C$4+1))*('Summary Page'!$C$4+1))*('Summary Page'!$C$4+1)</f>
        <v>114.91199999999999</v>
      </c>
      <c r="BA32" s="7">
        <f t="shared" si="25"/>
        <v>26.4</v>
      </c>
      <c r="BB32" s="7">
        <f>((AVERAGE(E27:E32)*('Summary Page'!$C$2+1))*('Summary Page'!$C$2+1))*('Summary Page'!$C$2+1)</f>
        <v>60.874943999999985</v>
      </c>
      <c r="BC32" s="7">
        <f>((AVERAGE(E27:E32)*('Summary Page'!$C$3+1))*('Summary Page'!$C$3+1))*('Summary Page'!$C$3+1)</f>
        <v>76.171875</v>
      </c>
      <c r="BD32" s="8">
        <f>((AVERAGE(E27:E32)*('Summary Page'!$C$4+1))*('Summary Page'!$C$4+1))*('Summary Page'!$C$4+1)</f>
        <v>67.391999999999996</v>
      </c>
      <c r="BG32" s="7">
        <f t="shared" si="26"/>
        <v>36</v>
      </c>
      <c r="BH32" s="7">
        <f>((AVERAGE(F27:F32)*('Summary Page'!$C$2+1))*('Summary Page'!$C$2+1))*('Summary Page'!$C$2+1)</f>
        <v>84.54853333333331</v>
      </c>
      <c r="BI32" s="7">
        <f>((AVERAGE(F27:F32)*('Summary Page'!$C$3+1))*('Summary Page'!$C$3+1))*('Summary Page'!$C$3+1)</f>
        <v>105.79427083333331</v>
      </c>
      <c r="BJ32" s="8">
        <f>((AVERAGE(F27:F32)*('Summary Page'!$C$4+1))*('Summary Page'!$C$4+1))*('Summary Page'!$C$4+1)</f>
        <v>93.6</v>
      </c>
      <c r="BM32" s="7">
        <f t="shared" si="27"/>
        <v>52.8</v>
      </c>
      <c r="BN32" s="7">
        <f>((AVERAGE(Q27:Q32)*('Summary Page'!$C$2+1))*('Summary Page'!$C$2+1))*('Summary Page'!$C$2+1)</f>
        <v>130.33481599999999</v>
      </c>
      <c r="BO32" s="7">
        <f>((AVERAGE(Q27:Q32)*('Summary Page'!$C$3+1))*('Summary Page'!$C$3+1))*('Summary Page'!$C$3+1)</f>
        <v>163.0859375</v>
      </c>
      <c r="BP32" s="8">
        <f>((AVERAGE(Q27:Q32)*('Summary Page'!$C$4+1))*('Summary Page'!$C$4+1))*('Summary Page'!$C$4+1)</f>
        <v>144.28799999999998</v>
      </c>
      <c r="BS32" s="7">
        <f t="shared" si="28"/>
        <v>272.39999999999998</v>
      </c>
      <c r="BT32" s="7">
        <f>((AVERAGE(T27:T32)*('Summary Page'!$C$2+1))*('Summary Page'!$C$2+1))*('Summary Page'!$C$2+1)</f>
        <v>331.8204746666666</v>
      </c>
      <c r="BU32" s="7">
        <f>((AVERAGE(T27:T32)*('Summary Page'!$C$3+1))*('Summary Page'!$C$3+1))*('Summary Page'!$C$3+1)</f>
        <v>415.20182291666674</v>
      </c>
      <c r="BV32" s="8">
        <f>((AVERAGE(T27:T32)*('Summary Page'!$C$4+1))*('Summary Page'!$C$4+1))*('Summary Page'!$C$4+1)</f>
        <v>367.34399999999999</v>
      </c>
      <c r="BW32" s="16">
        <f t="shared" si="20"/>
        <v>6.4269662921348312</v>
      </c>
      <c r="BX32" s="16">
        <f t="shared" si="21"/>
        <v>6.8014981273408237</v>
      </c>
      <c r="BY32" s="7">
        <f t="shared" si="29"/>
        <v>8.1617977528089884</v>
      </c>
      <c r="BZ32" s="7">
        <f>((AVERAGE(BW27:BW32)*('Summary Page'!$C$2+1))*('Summary Page'!$C$2+1))*('Summary Page'!$C$2+1)</f>
        <v>9.9421865068664133</v>
      </c>
      <c r="CA32" s="7">
        <f>((AVERAGE(BW27:BW32)*('Summary Page'!$C$3+1))*('Summary Page'!$C$3+1))*('Summary Page'!$C$3+1)</f>
        <v>12.440504057428212</v>
      </c>
      <c r="CB32" s="7">
        <f>((AVERAGE(BW27:BW32)*('Summary Page'!$C$4+1))*('Summary Page'!$C$4+1))*('Summary Page'!$C$4+1)</f>
        <v>11.006561797752807</v>
      </c>
      <c r="CC32" s="11">
        <f t="shared" si="30"/>
        <v>7.4981273408239701</v>
      </c>
      <c r="CD32" s="11">
        <f t="shared" si="15"/>
        <v>7.9350811485642945</v>
      </c>
      <c r="CE32" s="11">
        <f t="shared" si="16"/>
        <v>9.5220973782771523</v>
      </c>
      <c r="CF32" s="11">
        <f t="shared" si="17"/>
        <v>11.599217591344148</v>
      </c>
      <c r="CG32" s="11">
        <f t="shared" si="18"/>
        <v>14.513921400332915</v>
      </c>
      <c r="CH32" s="11">
        <f t="shared" si="19"/>
        <v>12.840988764044942</v>
      </c>
    </row>
    <row r="33" spans="1:86" ht="15.75" x14ac:dyDescent="0.25">
      <c r="A33" s="10">
        <v>43894</v>
      </c>
      <c r="B33" s="7">
        <v>68</v>
      </c>
      <c r="C33" s="7">
        <v>48</v>
      </c>
      <c r="D33" s="7">
        <v>60</v>
      </c>
      <c r="E33" s="7">
        <v>34</v>
      </c>
      <c r="F33" s="7">
        <v>52</v>
      </c>
      <c r="G33" s="110">
        <v>72</v>
      </c>
      <c r="H33" s="7">
        <v>35</v>
      </c>
      <c r="I33" s="7">
        <v>54</v>
      </c>
      <c r="J33" s="7">
        <v>31</v>
      </c>
      <c r="K33" s="111">
        <v>40</v>
      </c>
      <c r="L33" s="7"/>
      <c r="M33" s="7"/>
      <c r="N33" s="7"/>
      <c r="O33" s="7"/>
      <c r="P33" s="7"/>
      <c r="Q33" s="7">
        <v>71</v>
      </c>
      <c r="R33" s="7">
        <v>65</v>
      </c>
      <c r="S33" s="7"/>
      <c r="T33" s="7">
        <v>155</v>
      </c>
      <c r="U33" s="7">
        <v>150</v>
      </c>
      <c r="V33" s="7"/>
      <c r="W33" s="7"/>
      <c r="X33" s="7"/>
      <c r="Y33" s="7"/>
      <c r="Z33" s="7"/>
      <c r="AA33" s="2">
        <f t="shared" si="2"/>
        <v>52.4</v>
      </c>
      <c r="AB33" s="2">
        <f t="shared" si="3"/>
        <v>46.4</v>
      </c>
      <c r="AC33" s="2">
        <f t="shared" si="4"/>
        <v>55.68</v>
      </c>
      <c r="AD33" s="7">
        <f>((AVERAGE(AA28:AA33)*('Summary Page'!$C$2+1))*('Summary Page'!$C$2+1))*('Summary Page'!$C$2+1)</f>
        <v>88.814982399999977</v>
      </c>
      <c r="AE33" s="7">
        <f>((AVERAGE(AA28:AA33)*('Summary Page'!$C$3+1))*('Summary Page'!$C$3+1))*('Summary Page'!$C$3+1)</f>
        <v>111.1328125</v>
      </c>
      <c r="AF33" s="7">
        <f>((AVERAGE(AA28:AA33)*('Summary Page'!$C$4+1))*('Summary Page'!$C$4+1))*('Summary Page'!$C$4+1)</f>
        <v>98.323199999999986</v>
      </c>
      <c r="AI33" s="7">
        <f t="shared" si="22"/>
        <v>86.399999999999991</v>
      </c>
      <c r="AJ33" s="7">
        <f>((AVERAGE(B28:B33)*('Summary Page'!$C$2+1))*('Summary Page'!$C$2+1))*('Summary Page'!$C$2+1)</f>
        <v>123.31078399999998</v>
      </c>
      <c r="AK33" s="7">
        <f>((AVERAGE(B28:B33)*('Summary Page'!$C$3+1))*('Summary Page'!$C$3+1))*('Summary Page'!$C$3+1)</f>
        <v>154.296875</v>
      </c>
      <c r="AL33" s="8">
        <f>((AVERAGE(B28:B33)*('Summary Page'!$C$4+1))*('Summary Page'!$C$4+1))*('Summary Page'!$C$4+1)</f>
        <v>136.51199999999997</v>
      </c>
      <c r="AO33" s="7">
        <f t="shared" si="23"/>
        <v>42</v>
      </c>
      <c r="AP33" s="7">
        <f>((AVERAGE(C28:C33)*('Summary Page'!$C$2+1))*('Summary Page'!$C$2+1))*('Summary Page'!$C$2+1)</f>
        <v>74.923007999999982</v>
      </c>
      <c r="AQ33" s="7">
        <f>((AVERAGE(C28:C33)*('Summary Page'!$C$3+1))*('Summary Page'!$C$3+1))*('Summary Page'!$C$3+1)</f>
        <v>93.75</v>
      </c>
      <c r="AR33" s="8">
        <f>((AVERAGE(C28:C33)*('Summary Page'!$C$4+1))*('Summary Page'!$C$4+1))*('Summary Page'!$C$4+1)</f>
        <v>82.943999999999988</v>
      </c>
      <c r="AU33" s="7">
        <f t="shared" si="24"/>
        <v>64.8</v>
      </c>
      <c r="AV33" s="7">
        <f>((AVERAGE(D28:D33)*('Summary Page'!$C$2+1))*('Summary Page'!$C$2+1))*('Summary Page'!$C$2+1)</f>
        <v>102.23868799999997</v>
      </c>
      <c r="AW33" s="7">
        <f>((AVERAGE(D28:D33)*('Summary Page'!$C$3+1))*('Summary Page'!$C$3+1))*('Summary Page'!$C$3+1)</f>
        <v>127.9296875</v>
      </c>
      <c r="AX33" s="7">
        <f>((AVERAGE(D28:D33)*('Summary Page'!$C$4+1))*('Summary Page'!$C$4+1))*('Summary Page'!$C$4+1)</f>
        <v>113.18399999999998</v>
      </c>
      <c r="BA33" s="7">
        <f t="shared" si="25"/>
        <v>37.199999999999996</v>
      </c>
      <c r="BB33" s="7">
        <f>((AVERAGE(E28:E33)*('Summary Page'!$C$2+1))*('Summary Page'!$C$2+1))*('Summary Page'!$C$2+1)</f>
        <v>59.834346666666661</v>
      </c>
      <c r="BC33" s="7">
        <f>((AVERAGE(E28:E33)*('Summary Page'!$C$3+1))*('Summary Page'!$C$3+1))*('Summary Page'!$C$3+1)</f>
        <v>74.869791666666686</v>
      </c>
      <c r="BD33" s="8">
        <f>((AVERAGE(E28:E33)*('Summary Page'!$C$4+1))*('Summary Page'!$C$4+1))*('Summary Page'!$C$4+1)</f>
        <v>66.239999999999995</v>
      </c>
      <c r="BG33" s="7">
        <f t="shared" si="26"/>
        <v>48</v>
      </c>
      <c r="BH33" s="7">
        <f>((AVERAGE(F28:F33)*('Summary Page'!$C$2+1))*('Summary Page'!$C$2+1))*('Summary Page'!$C$2+1)</f>
        <v>83.768085333333303</v>
      </c>
      <c r="BI33" s="7">
        <f>((AVERAGE(F28:F33)*('Summary Page'!$C$3+1))*('Summary Page'!$C$3+1))*('Summary Page'!$C$3+1)</f>
        <v>104.81770833333331</v>
      </c>
      <c r="BJ33" s="8">
        <f>((AVERAGE(F28:F33)*('Summary Page'!$C$4+1))*('Summary Page'!$C$4+1))*('Summary Page'!$C$4+1)</f>
        <v>92.735999999999976</v>
      </c>
      <c r="BM33" s="7">
        <f t="shared" si="27"/>
        <v>78</v>
      </c>
      <c r="BN33" s="7">
        <f>((AVERAGE(Q28:Q33)*('Summary Page'!$C$2+1))*('Summary Page'!$C$2+1))*('Summary Page'!$C$2+1)</f>
        <v>127.47317333333332</v>
      </c>
      <c r="BO33" s="7">
        <f>((AVERAGE(Q28:Q33)*('Summary Page'!$C$3+1))*('Summary Page'!$C$3+1))*('Summary Page'!$C$3+1)</f>
        <v>159.50520833333337</v>
      </c>
      <c r="BP33" s="8">
        <f>((AVERAGE(Q28:Q33)*('Summary Page'!$C$4+1))*('Summary Page'!$C$4+1))*('Summary Page'!$C$4+1)</f>
        <v>141.11999999999998</v>
      </c>
      <c r="BS33" s="7">
        <f t="shared" si="28"/>
        <v>180</v>
      </c>
      <c r="BT33" s="7">
        <f>((AVERAGE(T28:T33)*('Summary Page'!$C$2+1))*('Summary Page'!$C$2+1))*('Summary Page'!$C$2+1)</f>
        <v>312.04912533333328</v>
      </c>
      <c r="BU33" s="7">
        <f>((AVERAGE(T28:T33)*('Summary Page'!$C$3+1))*('Summary Page'!$C$3+1))*('Summary Page'!$C$3+1)</f>
        <v>390.46223958333326</v>
      </c>
      <c r="BV33" s="8">
        <f>((AVERAGE(T28:T33)*('Summary Page'!$C$4+1))*('Summary Page'!$C$4+1))*('Summary Page'!$C$4+1)</f>
        <v>345.4559999999999</v>
      </c>
      <c r="BW33" s="16">
        <f t="shared" si="20"/>
        <v>4.6441947565543078</v>
      </c>
      <c r="BX33" s="16">
        <f t="shared" si="21"/>
        <v>4.4943820224719095</v>
      </c>
      <c r="BY33" s="7">
        <f t="shared" si="29"/>
        <v>5.3932584269662911</v>
      </c>
      <c r="BZ33" s="7">
        <f>((AVERAGE(BW28:BW33)*('Summary Page'!$C$2+1))*('Summary Page'!$C$2+1))*('Summary Page'!$C$2+1)</f>
        <v>9.3497865268414433</v>
      </c>
      <c r="CA33" s="7">
        <f>((AVERAGE(BW28:BW33)*('Summary Page'!$C$3+1))*('Summary Page'!$C$3+1))*('Summary Page'!$C$3+1)</f>
        <v>11.699243133583019</v>
      </c>
      <c r="CB33" s="7">
        <f>((AVERAGE(BW28:BW33)*('Summary Page'!$C$4+1))*('Summary Page'!$C$4+1))*('Summary Page'!$C$4+1)</f>
        <v>10.350741573033707</v>
      </c>
      <c r="CC33" s="11">
        <f t="shared" si="30"/>
        <v>5.4182272159800258</v>
      </c>
      <c r="CD33" s="11">
        <f t="shared" si="15"/>
        <v>5.2434456928838946</v>
      </c>
      <c r="CE33" s="11">
        <f t="shared" si="16"/>
        <v>6.2921348314606727</v>
      </c>
      <c r="CF33" s="11">
        <f t="shared" si="17"/>
        <v>10.908084281315016</v>
      </c>
      <c r="CG33" s="11">
        <f t="shared" si="18"/>
        <v>13.64911698918019</v>
      </c>
      <c r="CH33" s="11">
        <f t="shared" si="19"/>
        <v>12.075865168539325</v>
      </c>
    </row>
    <row r="34" spans="1:86" ht="15.75" x14ac:dyDescent="0.25">
      <c r="A34" s="10">
        <v>43927</v>
      </c>
      <c r="B34" s="7">
        <v>75</v>
      </c>
      <c r="C34" s="7">
        <v>43</v>
      </c>
      <c r="D34" s="7">
        <v>61</v>
      </c>
      <c r="E34" s="7">
        <v>36</v>
      </c>
      <c r="F34" s="7">
        <v>50</v>
      </c>
      <c r="G34" s="110">
        <v>70</v>
      </c>
      <c r="H34" s="7">
        <v>40</v>
      </c>
      <c r="I34" s="7">
        <v>55</v>
      </c>
      <c r="J34" s="7">
        <v>32</v>
      </c>
      <c r="K34" s="111">
        <v>46</v>
      </c>
      <c r="L34" s="7"/>
      <c r="M34" s="7"/>
      <c r="N34" s="7"/>
      <c r="O34" s="7"/>
      <c r="P34" s="7"/>
      <c r="Q34" s="7">
        <v>86</v>
      </c>
      <c r="R34" s="7">
        <v>78</v>
      </c>
      <c r="S34" s="7"/>
      <c r="T34" s="7">
        <v>187</v>
      </c>
      <c r="U34" s="7">
        <v>198</v>
      </c>
      <c r="V34" s="7"/>
      <c r="W34" s="7"/>
      <c r="X34" s="7"/>
      <c r="Y34" s="7"/>
      <c r="Z34" s="7"/>
      <c r="AA34" s="2">
        <f t="shared" si="2"/>
        <v>53</v>
      </c>
      <c r="AB34" s="2">
        <f t="shared" si="3"/>
        <v>48.6</v>
      </c>
      <c r="AC34" s="2">
        <f t="shared" si="4"/>
        <v>58.32</v>
      </c>
      <c r="AD34" s="7">
        <f>((AVERAGE(AA29:AA34)*('Summary Page'!$C$2+1))*('Summary Page'!$C$2+1))*('Summary Page'!$C$2+1)</f>
        <v>88.450773333333302</v>
      </c>
      <c r="AE34" s="7">
        <f>((AVERAGE(AA29:AA34)*('Summary Page'!$C$3+1))*('Summary Page'!$C$3+1))*('Summary Page'!$C$3+1)</f>
        <v>110.67708333333331</v>
      </c>
      <c r="AF34" s="7">
        <f>((AVERAGE(AA29:AA34)*('Summary Page'!$C$4+1))*('Summary Page'!$C$4+1))*('Summary Page'!$C$4+1)</f>
        <v>97.919999999999987</v>
      </c>
      <c r="AI34" s="7">
        <f t="shared" si="22"/>
        <v>84</v>
      </c>
      <c r="AJ34" s="7">
        <f>((AVERAGE(B29:B34)*('Summary Page'!$C$2+1))*('Summary Page'!$C$2+1))*('Summary Page'!$C$2+1)</f>
        <v>122.79048533333332</v>
      </c>
      <c r="AK34" s="7">
        <f>((AVERAGE(B29:B34)*('Summary Page'!$C$3+1))*('Summary Page'!$C$3+1))*('Summary Page'!$C$3+1)</f>
        <v>153.64583333333337</v>
      </c>
      <c r="AL34" s="8">
        <f>((AVERAGE(B29:B34)*('Summary Page'!$C$4+1))*('Summary Page'!$C$4+1))*('Summary Page'!$C$4+1)</f>
        <v>135.93600000000001</v>
      </c>
      <c r="AO34" s="7">
        <f t="shared" si="23"/>
        <v>48</v>
      </c>
      <c r="AP34" s="7">
        <f>((AVERAGE(C29:C34)*('Summary Page'!$C$2+1))*('Summary Page'!$C$2+1))*('Summary Page'!$C$2+1)</f>
        <v>74.142559999999989</v>
      </c>
      <c r="AQ34" s="7">
        <f>((AVERAGE(C29:C34)*('Summary Page'!$C$3+1))*('Summary Page'!$C$3+1))*('Summary Page'!$C$3+1)</f>
        <v>92.7734375</v>
      </c>
      <c r="AR34" s="8">
        <f>((AVERAGE(C29:C34)*('Summary Page'!$C$4+1))*('Summary Page'!$C$4+1))*('Summary Page'!$C$4+1)</f>
        <v>82.079999999999984</v>
      </c>
      <c r="AU34" s="7">
        <f t="shared" si="24"/>
        <v>66</v>
      </c>
      <c r="AV34" s="7">
        <f>((AVERAGE(D29:D34)*('Summary Page'!$C$2+1))*('Summary Page'!$C$2+1))*('Summary Page'!$C$2+1)</f>
        <v>101.71838933333332</v>
      </c>
      <c r="AW34" s="7">
        <f>((AVERAGE(D29:D34)*('Summary Page'!$C$3+1))*('Summary Page'!$C$3+1))*('Summary Page'!$C$3+1)</f>
        <v>127.27864583333336</v>
      </c>
      <c r="AX34" s="7">
        <f>((AVERAGE(D29:D34)*('Summary Page'!$C$4+1))*('Summary Page'!$C$4+1))*('Summary Page'!$C$4+1)</f>
        <v>112.608</v>
      </c>
      <c r="BA34" s="7">
        <f t="shared" si="25"/>
        <v>38.4</v>
      </c>
      <c r="BB34" s="7">
        <f>((AVERAGE(E29:E34)*('Summary Page'!$C$2+1))*('Summary Page'!$C$2+1))*('Summary Page'!$C$2+1)</f>
        <v>59.574197333333316</v>
      </c>
      <c r="BC34" s="7">
        <f>((AVERAGE(E29:E34)*('Summary Page'!$C$3+1))*('Summary Page'!$C$3+1))*('Summary Page'!$C$3+1)</f>
        <v>74.544270833333314</v>
      </c>
      <c r="BD34" s="8">
        <f>((AVERAGE(E29:E34)*('Summary Page'!$C$4+1))*('Summary Page'!$C$4+1))*('Summary Page'!$C$4+1)</f>
        <v>65.951999999999984</v>
      </c>
      <c r="BG34" s="7">
        <f t="shared" si="26"/>
        <v>55.199999999999996</v>
      </c>
      <c r="BH34" s="7">
        <f>((AVERAGE(F29:F34)*('Summary Page'!$C$2+1))*('Summary Page'!$C$2+1))*('Summary Page'!$C$2+1)</f>
        <v>84.028234666666648</v>
      </c>
      <c r="BI34" s="7">
        <f>((AVERAGE(F29:F34)*('Summary Page'!$C$3+1))*('Summary Page'!$C$3+1))*('Summary Page'!$C$3+1)</f>
        <v>105.14322916666669</v>
      </c>
      <c r="BJ34" s="8">
        <f>((AVERAGE(F29:F34)*('Summary Page'!$C$4+1))*('Summary Page'!$C$4+1))*('Summary Page'!$C$4+1)</f>
        <v>93.023999999999987</v>
      </c>
      <c r="BM34" s="7">
        <f t="shared" si="27"/>
        <v>93.6</v>
      </c>
      <c r="BN34" s="7">
        <f>((AVERAGE(Q29:Q34)*('Summary Page'!$C$2+1))*('Summary Page'!$C$2+1))*('Summary Page'!$C$2+1)</f>
        <v>129.03406933333332</v>
      </c>
      <c r="BO34" s="7">
        <f>((AVERAGE(Q29:Q34)*('Summary Page'!$C$3+1))*('Summary Page'!$C$3+1))*('Summary Page'!$C$3+1)</f>
        <v>161.45833333333337</v>
      </c>
      <c r="BP34" s="8">
        <f>((AVERAGE(Q29:Q34)*('Summary Page'!$C$4+1))*('Summary Page'!$C$4+1))*('Summary Page'!$C$4+1)</f>
        <v>142.84799999999998</v>
      </c>
      <c r="BS34" s="7">
        <f t="shared" si="28"/>
        <v>237.6</v>
      </c>
      <c r="BT34" s="7">
        <f>((AVERAGE(T29:T34)*('Summary Page'!$C$2+1))*('Summary Page'!$C$2+1))*('Summary Page'!$C$2+1)</f>
        <v>302.6837493333332</v>
      </c>
      <c r="BU34" s="7">
        <f>((AVERAGE(T29:T34)*('Summary Page'!$C$3+1))*('Summary Page'!$C$3+1))*('Summary Page'!$C$3+1)</f>
        <v>378.74348958333326</v>
      </c>
      <c r="BV34" s="8">
        <f>((AVERAGE(T29:T34)*('Summary Page'!$C$4+1))*('Summary Page'!$C$4+1))*('Summary Page'!$C$4+1)</f>
        <v>335.08799999999991</v>
      </c>
      <c r="BW34" s="16">
        <f t="shared" si="20"/>
        <v>5.6029962546816474</v>
      </c>
      <c r="BX34" s="16">
        <f t="shared" si="21"/>
        <v>5.9325842696629207</v>
      </c>
      <c r="BY34" s="7">
        <f t="shared" si="29"/>
        <v>7.1191011235955051</v>
      </c>
      <c r="BZ34" s="7">
        <f>((AVERAGE(BW29:BW34)*('Summary Page'!$C$2+1))*('Summary Page'!$C$2+1))*('Summary Page'!$C$2+1)</f>
        <v>9.0691760099875136</v>
      </c>
      <c r="CA34" s="7">
        <f>((AVERAGE(BW29:BW34)*('Summary Page'!$C$3+1))*('Summary Page'!$C$3+1))*('Summary Page'!$C$3+1)</f>
        <v>11.348119538077404</v>
      </c>
      <c r="CB34" s="7">
        <f>((AVERAGE(BW29:BW34)*('Summary Page'!$C$4+1))*('Summary Page'!$C$4+1))*('Summary Page'!$C$4+1)</f>
        <v>10.04008988764045</v>
      </c>
      <c r="CC34" s="11">
        <f t="shared" si="30"/>
        <v>6.536828963795255</v>
      </c>
      <c r="CD34" s="11">
        <f t="shared" si="15"/>
        <v>6.9213483146067407</v>
      </c>
      <c r="CE34" s="11">
        <f t="shared" si="16"/>
        <v>8.3056179775280885</v>
      </c>
      <c r="CF34" s="11">
        <f t="shared" si="17"/>
        <v>10.580705344985432</v>
      </c>
      <c r="CG34" s="11">
        <f t="shared" si="18"/>
        <v>13.239472794423637</v>
      </c>
      <c r="CH34" s="11">
        <f t="shared" si="19"/>
        <v>11.713438202247191</v>
      </c>
    </row>
    <row r="35" spans="1:86" ht="15.75" x14ac:dyDescent="0.25">
      <c r="A35" s="10">
        <v>43955</v>
      </c>
      <c r="B35" s="7">
        <v>82</v>
      </c>
      <c r="C35" s="7">
        <v>42</v>
      </c>
      <c r="D35" s="7">
        <v>65</v>
      </c>
      <c r="E35" s="7">
        <v>41</v>
      </c>
      <c r="F35" s="7">
        <v>51</v>
      </c>
      <c r="G35" s="110">
        <v>83</v>
      </c>
      <c r="H35" s="7">
        <v>50</v>
      </c>
      <c r="I35" s="7">
        <v>64</v>
      </c>
      <c r="J35" s="7">
        <v>38</v>
      </c>
      <c r="K35" s="111">
        <v>54</v>
      </c>
      <c r="L35" s="7"/>
      <c r="M35" s="7"/>
      <c r="N35" s="7"/>
      <c r="O35" s="7"/>
      <c r="P35" s="7"/>
      <c r="Q35" s="7">
        <v>92</v>
      </c>
      <c r="R35" s="7">
        <v>93</v>
      </c>
      <c r="S35" s="7"/>
      <c r="T35" s="7">
        <v>195</v>
      </c>
      <c r="U35" s="7">
        <v>195</v>
      </c>
      <c r="V35" s="7"/>
      <c r="W35" s="7"/>
      <c r="X35" s="7"/>
      <c r="Y35" s="7"/>
      <c r="Z35" s="7"/>
      <c r="AA35" s="2">
        <f t="shared" si="2"/>
        <v>56.2</v>
      </c>
      <c r="AB35" s="2">
        <f t="shared" si="3"/>
        <v>57.8</v>
      </c>
      <c r="AC35" s="2">
        <f t="shared" si="4"/>
        <v>69.36</v>
      </c>
      <c r="AD35" s="7">
        <f>((AVERAGE(AA30:AA35)*('Summary Page'!$C$2+1))*('Summary Page'!$C$2+1))*('Summary Page'!$C$2+1)</f>
        <v>86.577698133333314</v>
      </c>
      <c r="AE35" s="7">
        <f>((AVERAGE(AA30:AA35)*('Summary Page'!$C$3+1))*('Summary Page'!$C$3+1))*('Summary Page'!$C$3+1)</f>
        <v>108.33333333333336</v>
      </c>
      <c r="AF35" s="7">
        <f>((AVERAGE(AA30:AA35)*('Summary Page'!$C$4+1))*('Summary Page'!$C$4+1))*('Summary Page'!$C$4+1)</f>
        <v>95.846400000000003</v>
      </c>
      <c r="AI35" s="7">
        <f t="shared" si="22"/>
        <v>99.6</v>
      </c>
      <c r="AJ35" s="7">
        <f>((AVERAGE(B30:B35)*('Summary Page'!$C$2+1))*('Summary Page'!$C$2+1))*('Summary Page'!$C$2+1)</f>
        <v>122.27018666666665</v>
      </c>
      <c r="AK35" s="7">
        <f>((AVERAGE(B30:B35)*('Summary Page'!$C$3+1))*('Summary Page'!$C$3+1))*('Summary Page'!$C$3+1)</f>
        <v>152.99479166666663</v>
      </c>
      <c r="AL35" s="8">
        <f>((AVERAGE(B30:B35)*('Summary Page'!$C$4+1))*('Summary Page'!$C$4+1))*('Summary Page'!$C$4+1)</f>
        <v>135.35999999999999</v>
      </c>
      <c r="AO35" s="7">
        <f t="shared" si="23"/>
        <v>60</v>
      </c>
      <c r="AP35" s="7">
        <f>((AVERAGE(C30:C35)*('Summary Page'!$C$2+1))*('Summary Page'!$C$2+1))*('Summary Page'!$C$2+1)</f>
        <v>70.760618666666659</v>
      </c>
      <c r="AQ35" s="7">
        <f>((AVERAGE(C30:C35)*('Summary Page'!$C$3+1))*('Summary Page'!$C$3+1))*('Summary Page'!$C$3+1)</f>
        <v>88.541666666666686</v>
      </c>
      <c r="AR35" s="8">
        <f>((AVERAGE(C30:C35)*('Summary Page'!$C$4+1))*('Summary Page'!$C$4+1))*('Summary Page'!$C$4+1)</f>
        <v>78.335999999999999</v>
      </c>
      <c r="AU35" s="7">
        <f t="shared" si="24"/>
        <v>76.8</v>
      </c>
      <c r="AV35" s="7">
        <f>((AVERAGE(D30:D35)*('Summary Page'!$C$2+1))*('Summary Page'!$C$2+1))*('Summary Page'!$C$2+1)</f>
        <v>99.89734399999999</v>
      </c>
      <c r="AW35" s="7">
        <f>((AVERAGE(D30:D35)*('Summary Page'!$C$3+1))*('Summary Page'!$C$3+1))*('Summary Page'!$C$3+1)</f>
        <v>125</v>
      </c>
      <c r="AX35" s="7">
        <f>((AVERAGE(D30:D35)*('Summary Page'!$C$4+1))*('Summary Page'!$C$4+1))*('Summary Page'!$C$4+1)</f>
        <v>110.592</v>
      </c>
      <c r="BA35" s="7">
        <f t="shared" si="25"/>
        <v>45.6</v>
      </c>
      <c r="BB35" s="7">
        <f>((AVERAGE(E30:E35)*('Summary Page'!$C$2+1))*('Summary Page'!$C$2+1))*('Summary Page'!$C$2+1)</f>
        <v>59.053898666666655</v>
      </c>
      <c r="BC35" s="7">
        <f>((AVERAGE(E30:E35)*('Summary Page'!$C$3+1))*('Summary Page'!$C$3+1))*('Summary Page'!$C$3+1)</f>
        <v>73.893229166666686</v>
      </c>
      <c r="BD35" s="8">
        <f>((AVERAGE(E30:E35)*('Summary Page'!$C$4+1))*('Summary Page'!$C$4+1))*('Summary Page'!$C$4+1)</f>
        <v>65.375999999999991</v>
      </c>
      <c r="BG35" s="7">
        <f t="shared" si="26"/>
        <v>64.8</v>
      </c>
      <c r="BH35" s="7">
        <f>((AVERAGE(F30:F35)*('Summary Page'!$C$2+1))*('Summary Page'!$C$2+1))*('Summary Page'!$C$2+1)</f>
        <v>80.906442666666663</v>
      </c>
      <c r="BI35" s="7">
        <f>((AVERAGE(F30:F35)*('Summary Page'!$C$3+1))*('Summary Page'!$C$3+1))*('Summary Page'!$C$3+1)</f>
        <v>101.23697916666669</v>
      </c>
      <c r="BJ35" s="8">
        <f>((AVERAGE(F30:F35)*('Summary Page'!$C$4+1))*('Summary Page'!$C$4+1))*('Summary Page'!$C$4+1)</f>
        <v>89.567999999999998</v>
      </c>
      <c r="BM35" s="7">
        <f t="shared" si="27"/>
        <v>111.6</v>
      </c>
      <c r="BN35" s="7">
        <f>((AVERAGE(Q30:Q35)*('Summary Page'!$C$2+1))*('Summary Page'!$C$2+1))*('Summary Page'!$C$2+1)</f>
        <v>129.03406933333332</v>
      </c>
      <c r="BO35" s="7">
        <f>((AVERAGE(Q30:Q35)*('Summary Page'!$C$3+1))*('Summary Page'!$C$3+1))*('Summary Page'!$C$3+1)</f>
        <v>161.45833333333337</v>
      </c>
      <c r="BP35" s="8">
        <f>((AVERAGE(Q30:Q35)*('Summary Page'!$C$4+1))*('Summary Page'!$C$4+1))*('Summary Page'!$C$4+1)</f>
        <v>142.84799999999998</v>
      </c>
      <c r="BS35" s="7">
        <f t="shared" si="28"/>
        <v>234</v>
      </c>
      <c r="BT35" s="7">
        <f>((AVERAGE(T30:T35)*('Summary Page'!$C$2+1))*('Summary Page'!$C$2+1))*('Summary Page'!$C$2+1)</f>
        <v>297.22061333333323</v>
      </c>
      <c r="BU35" s="7">
        <f>((AVERAGE(T30:T35)*('Summary Page'!$C$3+1))*('Summary Page'!$C$3+1))*('Summary Page'!$C$3+1)</f>
        <v>371.90755208333326</v>
      </c>
      <c r="BV35" s="8">
        <f>((AVERAGE(T30:T35)*('Summary Page'!$C$4+1))*('Summary Page'!$C$4+1))*('Summary Page'!$C$4+1)</f>
        <v>329.03999999999991</v>
      </c>
      <c r="BW35" s="16">
        <f t="shared" si="20"/>
        <v>5.8426966292134832</v>
      </c>
      <c r="BX35" s="16">
        <f t="shared" si="21"/>
        <v>5.8426966292134832</v>
      </c>
      <c r="BY35" s="7">
        <f t="shared" si="29"/>
        <v>7.01123595505618</v>
      </c>
      <c r="BZ35" s="7">
        <f>((AVERAGE(BW30:BW35)*('Summary Page'!$C$2+1))*('Summary Page'!$C$2+1))*('Summary Page'!$C$2+1)</f>
        <v>8.9054865418227198</v>
      </c>
      <c r="CA35" s="7">
        <f>((AVERAGE(BW30:BW35)*('Summary Page'!$C$3+1))*('Summary Page'!$C$3+1))*('Summary Page'!$C$3+1)</f>
        <v>11.143297440699127</v>
      </c>
      <c r="CB35" s="7">
        <f>((AVERAGE(BW30:BW35)*('Summary Page'!$C$4+1))*('Summary Page'!$C$4+1))*('Summary Page'!$C$4+1)</f>
        <v>9.8588764044943815</v>
      </c>
      <c r="CC35" s="11">
        <f t="shared" si="30"/>
        <v>6.8164794007490634</v>
      </c>
      <c r="CD35" s="11">
        <f t="shared" si="15"/>
        <v>6.8164794007490634</v>
      </c>
      <c r="CE35" s="11">
        <f t="shared" si="16"/>
        <v>8.1797752808988768</v>
      </c>
      <c r="CF35" s="11">
        <f t="shared" si="17"/>
        <v>10.389734298793172</v>
      </c>
      <c r="CG35" s="11">
        <f t="shared" si="18"/>
        <v>13.000513680815649</v>
      </c>
      <c r="CH35" s="11">
        <f t="shared" si="19"/>
        <v>11.502022471910111</v>
      </c>
    </row>
    <row r="36" spans="1:86" ht="15.75" x14ac:dyDescent="0.25">
      <c r="A36" s="10">
        <v>43984</v>
      </c>
      <c r="B36" s="7">
        <v>80</v>
      </c>
      <c r="C36" s="7">
        <v>51</v>
      </c>
      <c r="D36" s="7">
        <v>69</v>
      </c>
      <c r="E36" s="7">
        <v>41</v>
      </c>
      <c r="F36" s="7">
        <v>60</v>
      </c>
      <c r="G36" s="110">
        <v>96</v>
      </c>
      <c r="H36" s="7">
        <v>72</v>
      </c>
      <c r="I36" s="7">
        <v>82</v>
      </c>
      <c r="J36" s="7">
        <v>47</v>
      </c>
      <c r="K36" s="111">
        <v>72</v>
      </c>
      <c r="L36" s="7"/>
      <c r="M36" s="7"/>
      <c r="N36" s="7"/>
      <c r="O36" s="7"/>
      <c r="P36" s="7"/>
      <c r="Q36" s="7">
        <v>96</v>
      </c>
      <c r="R36" s="7">
        <v>116</v>
      </c>
      <c r="S36" s="7"/>
      <c r="T36" s="7">
        <v>197</v>
      </c>
      <c r="U36" s="7">
        <v>197</v>
      </c>
      <c r="V36" s="7"/>
      <c r="W36" s="7"/>
      <c r="X36" s="7"/>
      <c r="Y36" s="7"/>
      <c r="Z36" s="7"/>
      <c r="AA36" s="2">
        <f t="shared" si="2"/>
        <v>60.2</v>
      </c>
      <c r="AB36" s="2">
        <f t="shared" si="3"/>
        <v>73.8</v>
      </c>
      <c r="AC36" s="2">
        <f t="shared" si="4"/>
        <v>88.559999999999988</v>
      </c>
      <c r="AD36" s="7">
        <f>((AVERAGE(AA31:AA36)*('Summary Page'!$C$2+1))*('Summary Page'!$C$2+1))*('Summary Page'!$C$2+1)</f>
        <v>87.514235733333294</v>
      </c>
      <c r="AE36" s="7">
        <f>((AVERAGE(AA31:AA36)*('Summary Page'!$C$3+1))*('Summary Page'!$C$3+1))*('Summary Page'!$C$3+1)</f>
        <v>109.50520833333331</v>
      </c>
      <c r="AF36" s="7">
        <f>((AVERAGE(AA31:AA36)*('Summary Page'!$C$4+1))*('Summary Page'!$C$4+1))*('Summary Page'!$C$4+1)</f>
        <v>96.883199999999974</v>
      </c>
      <c r="AI36" s="7">
        <f t="shared" si="22"/>
        <v>115.19999999999999</v>
      </c>
      <c r="AJ36" s="7">
        <f>((AVERAGE(B31:B36)*('Summary Page'!$C$2+1))*('Summary Page'!$C$2+1))*('Summary Page'!$C$2+1)</f>
        <v>121.22958933333331</v>
      </c>
      <c r="AK36" s="7">
        <f>((AVERAGE(B31:B36)*('Summary Page'!$C$3+1))*('Summary Page'!$C$3+1))*('Summary Page'!$C$3+1)</f>
        <v>151.69270833333337</v>
      </c>
      <c r="AL36" s="8">
        <f>((AVERAGE(B31:B36)*('Summary Page'!$C$4+1))*('Summary Page'!$C$4+1))*('Summary Page'!$C$4+1)</f>
        <v>134.208</v>
      </c>
      <c r="AO36" s="7">
        <f t="shared" si="23"/>
        <v>86.399999999999991</v>
      </c>
      <c r="AP36" s="7">
        <f>((AVERAGE(C31:C36)*('Summary Page'!$C$2+1))*('Summary Page'!$C$2+1))*('Summary Page'!$C$2+1)</f>
        <v>72.321514666666658</v>
      </c>
      <c r="AQ36" s="7">
        <f>((AVERAGE(C31:C36)*('Summary Page'!$C$3+1))*('Summary Page'!$C$3+1))*('Summary Page'!$C$3+1)</f>
        <v>90.494791666666686</v>
      </c>
      <c r="AR36" s="8">
        <f>((AVERAGE(C31:C36)*('Summary Page'!$C$4+1))*('Summary Page'!$C$4+1))*('Summary Page'!$C$4+1)</f>
        <v>80.063999999999993</v>
      </c>
      <c r="AU36" s="7">
        <f t="shared" si="24"/>
        <v>98.399999999999991</v>
      </c>
      <c r="AV36" s="7">
        <f>((AVERAGE(D31:D36)*('Summary Page'!$C$2+1))*('Summary Page'!$C$2+1))*('Summary Page'!$C$2+1)</f>
        <v>101.45823999999998</v>
      </c>
      <c r="AW36" s="7">
        <f>((AVERAGE(D31:D36)*('Summary Page'!$C$3+1))*('Summary Page'!$C$3+1))*('Summary Page'!$C$3+1)</f>
        <v>126.953125</v>
      </c>
      <c r="AX36" s="7">
        <f>((AVERAGE(D31:D36)*('Summary Page'!$C$4+1))*('Summary Page'!$C$4+1))*('Summary Page'!$C$4+1)</f>
        <v>112.32</v>
      </c>
      <c r="BA36" s="7">
        <f t="shared" si="25"/>
        <v>56.4</v>
      </c>
      <c r="BB36" s="7">
        <f>((AVERAGE(E31:E36)*('Summary Page'!$C$2+1))*('Summary Page'!$C$2+1))*('Summary Page'!$C$2+1)</f>
        <v>59.574197333333316</v>
      </c>
      <c r="BC36" s="7">
        <f>((AVERAGE(E31:E36)*('Summary Page'!$C$3+1))*('Summary Page'!$C$3+1))*('Summary Page'!$C$3+1)</f>
        <v>74.544270833333314</v>
      </c>
      <c r="BD36" s="8">
        <f>((AVERAGE(E31:E36)*('Summary Page'!$C$4+1))*('Summary Page'!$C$4+1))*('Summary Page'!$C$4+1)</f>
        <v>65.951999999999984</v>
      </c>
      <c r="BG36" s="7">
        <f t="shared" si="26"/>
        <v>86.399999999999991</v>
      </c>
      <c r="BH36" s="7">
        <f>((AVERAGE(F31:F36)*('Summary Page'!$C$2+1))*('Summary Page'!$C$2+1))*('Summary Page'!$C$2+1)</f>
        <v>82.987637333333311</v>
      </c>
      <c r="BI36" s="7">
        <f>((AVERAGE(F31:F36)*('Summary Page'!$C$3+1))*('Summary Page'!$C$3+1))*('Summary Page'!$C$3+1)</f>
        <v>103.84114583333331</v>
      </c>
      <c r="BJ36" s="8">
        <f>((AVERAGE(F31:F36)*('Summary Page'!$C$4+1))*('Summary Page'!$C$4+1))*('Summary Page'!$C$4+1)</f>
        <v>91.871999999999986</v>
      </c>
      <c r="BM36" s="7">
        <f t="shared" si="27"/>
        <v>139.19999999999999</v>
      </c>
      <c r="BN36" s="7">
        <f>((AVERAGE(Q31:Q36)*('Summary Page'!$C$2+1))*('Summary Page'!$C$2+1))*('Summary Page'!$C$2+1)</f>
        <v>132.41601066666664</v>
      </c>
      <c r="BO36" s="7">
        <f>((AVERAGE(Q31:Q36)*('Summary Page'!$C$3+1))*('Summary Page'!$C$3+1))*('Summary Page'!$C$3+1)</f>
        <v>165.69010416666663</v>
      </c>
      <c r="BP36" s="8">
        <f>((AVERAGE(Q31:Q36)*('Summary Page'!$C$4+1))*('Summary Page'!$C$4+1))*('Summary Page'!$C$4+1)</f>
        <v>146.59199999999998</v>
      </c>
      <c r="BS36" s="7">
        <f t="shared" si="28"/>
        <v>236.39999999999998</v>
      </c>
      <c r="BT36" s="7">
        <f>((AVERAGE(T31:T36)*('Summary Page'!$C$2+1))*('Summary Page'!$C$2+1))*('Summary Page'!$C$2+1)</f>
        <v>301.64315199999999</v>
      </c>
      <c r="BU36" s="7">
        <f>((AVERAGE(T31:T36)*('Summary Page'!$C$3+1))*('Summary Page'!$C$3+1))*('Summary Page'!$C$3+1)</f>
        <v>377.44140625</v>
      </c>
      <c r="BV36" s="8">
        <f>((AVERAGE(T31:T36)*('Summary Page'!$C$4+1))*('Summary Page'!$C$4+1))*('Summary Page'!$C$4+1)</f>
        <v>333.93599999999998</v>
      </c>
      <c r="BW36" s="16">
        <f t="shared" si="20"/>
        <v>5.9026217228464422</v>
      </c>
      <c r="BX36" s="16">
        <f t="shared" si="21"/>
        <v>5.9026217228464422</v>
      </c>
      <c r="BY36" s="7">
        <f t="shared" si="29"/>
        <v>7.0831460674157301</v>
      </c>
      <c r="BZ36" s="7">
        <f>((AVERAGE(BW31:BW36)*('Summary Page'!$C$2+1))*('Summary Page'!$C$2+1))*('Summary Page'!$C$2+1)</f>
        <v>9.0379970636704119</v>
      </c>
      <c r="CA36" s="7">
        <f>((AVERAGE(BW31:BW36)*('Summary Page'!$C$3+1))*('Summary Page'!$C$3+1))*('Summary Page'!$C$3+1)</f>
        <v>11.309105805243448</v>
      </c>
      <c r="CB36" s="7">
        <f>((AVERAGE(BW31:BW36)*('Summary Page'!$C$4+1))*('Summary Page'!$C$4+1))*('Summary Page'!$C$4+1)</f>
        <v>10.005573033707863</v>
      </c>
      <c r="CC36" s="11">
        <f t="shared" si="30"/>
        <v>6.8863920099875156</v>
      </c>
      <c r="CD36" s="11">
        <f t="shared" si="15"/>
        <v>6.8863920099875156</v>
      </c>
      <c r="CE36" s="11">
        <f t="shared" si="16"/>
        <v>8.2636704119850179</v>
      </c>
      <c r="CF36" s="11">
        <f t="shared" si="17"/>
        <v>10.544329907615481</v>
      </c>
      <c r="CG36" s="11">
        <f t="shared" si="18"/>
        <v>13.193956772784022</v>
      </c>
      <c r="CH36" s="11">
        <f t="shared" si="19"/>
        <v>11.67316853932584</v>
      </c>
    </row>
    <row r="37" spans="1:86" ht="15.75" x14ac:dyDescent="0.25">
      <c r="A37" s="10">
        <v>44014</v>
      </c>
      <c r="B37" s="7">
        <v>88</v>
      </c>
      <c r="C37" s="7">
        <v>64</v>
      </c>
      <c r="D37" s="7">
        <v>77</v>
      </c>
      <c r="E37" s="7">
        <v>46</v>
      </c>
      <c r="F37" s="7">
        <v>72</v>
      </c>
      <c r="G37" s="110">
        <v>93</v>
      </c>
      <c r="H37" s="7">
        <v>61</v>
      </c>
      <c r="I37" s="7">
        <v>80</v>
      </c>
      <c r="J37" s="7">
        <v>47</v>
      </c>
      <c r="K37" s="111">
        <v>68</v>
      </c>
      <c r="L37" s="7"/>
      <c r="M37" s="7"/>
      <c r="N37" s="7"/>
      <c r="O37" s="7"/>
      <c r="P37" s="7"/>
      <c r="Q37" s="7">
        <v>109</v>
      </c>
      <c r="R37" s="7">
        <v>111</v>
      </c>
      <c r="S37" s="7"/>
      <c r="T37" s="7">
        <v>200.25</v>
      </c>
      <c r="U37" s="7">
        <v>173</v>
      </c>
      <c r="V37" s="7"/>
      <c r="W37" s="7"/>
      <c r="X37" s="7"/>
      <c r="Y37" s="7"/>
      <c r="Z37" s="7"/>
      <c r="AA37" s="2">
        <f t="shared" si="2"/>
        <v>69.400000000000006</v>
      </c>
      <c r="AB37" s="2">
        <f t="shared" si="3"/>
        <v>69.8</v>
      </c>
      <c r="AC37" s="2">
        <f t="shared" si="4"/>
        <v>83.759999999999991</v>
      </c>
      <c r="AD37" s="7">
        <f>((AVERAGE(AA32:AA37)*('Summary Page'!$C$2+1))*('Summary Page'!$C$2+1))*('Summary Page'!$C$2+1)</f>
        <v>90.375878399999962</v>
      </c>
      <c r="AE37" s="7">
        <f>((AVERAGE(AA32:AA37)*('Summary Page'!$C$3+1))*('Summary Page'!$C$3+1))*('Summary Page'!$C$3+1)</f>
        <v>113.0859375</v>
      </c>
      <c r="AF37" s="7">
        <f>((AVERAGE(AA32:AA37)*('Summary Page'!$C$4+1))*('Summary Page'!$C$4+1))*('Summary Page'!$C$4+1)</f>
        <v>100.05119999999998</v>
      </c>
      <c r="AI37" s="7">
        <f t="shared" si="22"/>
        <v>111.6</v>
      </c>
      <c r="AJ37" s="7">
        <f>((AVERAGE(B32:B37)*('Summary Page'!$C$2+1))*('Summary Page'!$C$2+1))*('Summary Page'!$C$2+1)</f>
        <v>122.79048533333332</v>
      </c>
      <c r="AK37" s="7">
        <f>((AVERAGE(B32:B37)*('Summary Page'!$C$3+1))*('Summary Page'!$C$3+1))*('Summary Page'!$C$3+1)</f>
        <v>153.64583333333337</v>
      </c>
      <c r="AL37" s="8">
        <f>((AVERAGE(B32:B37)*('Summary Page'!$C$4+1))*('Summary Page'!$C$4+1))*('Summary Page'!$C$4+1)</f>
        <v>135.93600000000001</v>
      </c>
      <c r="AO37" s="7">
        <f t="shared" si="23"/>
        <v>73.2</v>
      </c>
      <c r="AP37" s="7">
        <f>((AVERAGE(C32:C37)*('Summary Page'!$C$2+1))*('Summary Page'!$C$2+1))*('Summary Page'!$C$2+1)</f>
        <v>76.223754666666665</v>
      </c>
      <c r="AQ37" s="7">
        <f>((AVERAGE(C32:C37)*('Summary Page'!$C$3+1))*('Summary Page'!$C$3+1))*('Summary Page'!$C$3+1)</f>
        <v>95.377604166666686</v>
      </c>
      <c r="AR37" s="8">
        <f>((AVERAGE(C32:C37)*('Summary Page'!$C$4+1))*('Summary Page'!$C$4+1))*('Summary Page'!$C$4+1)</f>
        <v>84.383999999999986</v>
      </c>
      <c r="AU37" s="7">
        <f t="shared" si="24"/>
        <v>96</v>
      </c>
      <c r="AV37" s="7">
        <f>((AVERAGE(D32:D37)*('Summary Page'!$C$2+1))*('Summary Page'!$C$2+1))*('Summary Page'!$C$2+1)</f>
        <v>103.53943466666664</v>
      </c>
      <c r="AW37" s="7">
        <f>((AVERAGE(D32:D37)*('Summary Page'!$C$3+1))*('Summary Page'!$C$3+1))*('Summary Page'!$C$3+1)</f>
        <v>129.55729166666663</v>
      </c>
      <c r="AX37" s="7">
        <f>((AVERAGE(D32:D37)*('Summary Page'!$C$4+1))*('Summary Page'!$C$4+1))*('Summary Page'!$C$4+1)</f>
        <v>114.624</v>
      </c>
      <c r="BA37" s="7">
        <f t="shared" si="25"/>
        <v>56.4</v>
      </c>
      <c r="BB37" s="7">
        <f>((AVERAGE(E32:E37)*('Summary Page'!$C$2+1))*('Summary Page'!$C$2+1))*('Summary Page'!$C$2+1)</f>
        <v>61.395242666666661</v>
      </c>
      <c r="BC37" s="7">
        <f>((AVERAGE(E32:E37)*('Summary Page'!$C$3+1))*('Summary Page'!$C$3+1))*('Summary Page'!$C$3+1)</f>
        <v>76.822916666666686</v>
      </c>
      <c r="BD37" s="8">
        <f>((AVERAGE(E32:E37)*('Summary Page'!$C$4+1))*('Summary Page'!$C$4+1))*('Summary Page'!$C$4+1)</f>
        <v>67.968000000000004</v>
      </c>
      <c r="BG37" s="7">
        <f t="shared" si="26"/>
        <v>81.599999999999994</v>
      </c>
      <c r="BH37" s="7">
        <f>((AVERAGE(F32:F37)*('Summary Page'!$C$2+1))*('Summary Page'!$C$2+1))*('Summary Page'!$C$2+1)</f>
        <v>87.930474666666655</v>
      </c>
      <c r="BI37" s="7">
        <f>((AVERAGE(F32:F37)*('Summary Page'!$C$3+1))*('Summary Page'!$C$3+1))*('Summary Page'!$C$3+1)</f>
        <v>110.02604166666669</v>
      </c>
      <c r="BJ37" s="8">
        <f>((AVERAGE(F32:F37)*('Summary Page'!$C$4+1))*('Summary Page'!$C$4+1))*('Summary Page'!$C$4+1)</f>
        <v>97.34399999999998</v>
      </c>
      <c r="BM37" s="7">
        <f t="shared" si="27"/>
        <v>133.19999999999999</v>
      </c>
      <c r="BN37" s="7">
        <f>((AVERAGE(Q32:Q37)*('Summary Page'!$C$2+1))*('Summary Page'!$C$2+1))*('Summary Page'!$C$2+1)</f>
        <v>138.91974399999998</v>
      </c>
      <c r="BO37" s="7">
        <f>((AVERAGE(Q32:Q37)*('Summary Page'!$C$3+1))*('Summary Page'!$C$3+1))*('Summary Page'!$C$3+1)</f>
        <v>173.828125</v>
      </c>
      <c r="BP37" s="8">
        <f>((AVERAGE(Q32:Q37)*('Summary Page'!$C$4+1))*('Summary Page'!$C$4+1))*('Summary Page'!$C$4+1)</f>
        <v>153.792</v>
      </c>
      <c r="BS37" s="7">
        <f t="shared" si="28"/>
        <v>207.6</v>
      </c>
      <c r="BT37" s="7">
        <f>((AVERAGE(T32:T37)*('Summary Page'!$C$2+1))*('Summary Page'!$C$2+1))*('Summary Page'!$C$2+1)</f>
        <v>298.84654666666665</v>
      </c>
      <c r="BU37" s="7">
        <f>((AVERAGE(T32:T37)*('Summary Page'!$C$3+1))*('Summary Page'!$C$3+1))*('Summary Page'!$C$3+1)</f>
        <v>373.94205729166674</v>
      </c>
      <c r="BV37" s="8">
        <f>((AVERAGE(T32:T37)*('Summary Page'!$C$4+1))*('Summary Page'!$C$4+1))*('Summary Page'!$C$4+1)</f>
        <v>330.84</v>
      </c>
      <c r="BW37" s="16">
        <f t="shared" si="20"/>
        <v>6</v>
      </c>
      <c r="BX37" s="16">
        <f t="shared" si="21"/>
        <v>5.1835205992509357</v>
      </c>
      <c r="BY37" s="7">
        <f t="shared" si="29"/>
        <v>6.2202247191011226</v>
      </c>
      <c r="BZ37" s="7">
        <f>((AVERAGE(BW32:BW37)*('Summary Page'!$C$2+1))*('Summary Page'!$C$2+1))*('Summary Page'!$C$2+1)</f>
        <v>8.9542036454431937</v>
      </c>
      <c r="CA37" s="7">
        <f>((AVERAGE(BW32:BW37)*('Summary Page'!$C$3+1))*('Summary Page'!$C$3+1))*('Summary Page'!$C$3+1)</f>
        <v>11.204256398252184</v>
      </c>
      <c r="CB37" s="7">
        <f>((AVERAGE(BW32:BW37)*('Summary Page'!$C$4+1))*('Summary Page'!$C$4+1))*('Summary Page'!$C$4+1)</f>
        <v>9.9128089887640431</v>
      </c>
      <c r="CC37" s="11">
        <f t="shared" si="30"/>
        <v>7</v>
      </c>
      <c r="CD37" s="11">
        <f t="shared" si="15"/>
        <v>6.0474406991260921</v>
      </c>
      <c r="CE37" s="11">
        <f t="shared" si="16"/>
        <v>7.2569288389513096</v>
      </c>
      <c r="CF37" s="11">
        <f t="shared" si="17"/>
        <v>10.446570919683726</v>
      </c>
      <c r="CG37" s="11">
        <f t="shared" si="18"/>
        <v>13.071632464627548</v>
      </c>
      <c r="CH37" s="11">
        <f t="shared" si="19"/>
        <v>11.564943820224716</v>
      </c>
    </row>
    <row r="38" spans="1:86" ht="15.75" x14ac:dyDescent="0.25">
      <c r="A38" s="10">
        <v>44054</v>
      </c>
      <c r="B38" s="7">
        <v>117</v>
      </c>
      <c r="C38" s="7">
        <v>75</v>
      </c>
      <c r="D38" s="7">
        <v>96</v>
      </c>
      <c r="E38" s="7">
        <v>57</v>
      </c>
      <c r="F38" s="7">
        <v>79</v>
      </c>
      <c r="G38" s="110">
        <v>78</v>
      </c>
      <c r="H38" s="7">
        <v>66</v>
      </c>
      <c r="I38" s="7">
        <v>83</v>
      </c>
      <c r="J38" s="7">
        <v>48</v>
      </c>
      <c r="K38" s="111">
        <v>73</v>
      </c>
      <c r="L38" s="7"/>
      <c r="M38" s="7"/>
      <c r="N38" s="7"/>
      <c r="O38" s="7"/>
      <c r="P38" s="7"/>
      <c r="Q38" s="7">
        <v>102</v>
      </c>
      <c r="R38" s="7">
        <v>85</v>
      </c>
      <c r="S38" s="7"/>
      <c r="T38" s="7">
        <v>263</v>
      </c>
      <c r="U38" s="7">
        <v>248</v>
      </c>
      <c r="V38" s="7"/>
      <c r="W38" s="7"/>
      <c r="X38" s="7"/>
      <c r="Y38" s="7"/>
      <c r="Z38" s="7"/>
      <c r="AA38" s="2">
        <f t="shared" si="2"/>
        <v>84.8</v>
      </c>
      <c r="AB38" s="2">
        <f t="shared" si="3"/>
        <v>69.599999999999994</v>
      </c>
      <c r="AC38" s="2">
        <f t="shared" si="4"/>
        <v>83.52</v>
      </c>
      <c r="AD38" s="7">
        <f>((AVERAGE(AA33:AA38)*('Summary Page'!$C$2+1))*('Summary Page'!$C$2+1))*('Summary Page'!$C$2+1)</f>
        <v>97.816149333333328</v>
      </c>
      <c r="AE38" s="7">
        <f>((AVERAGE(AA33:AA38)*('Summary Page'!$C$3+1))*('Summary Page'!$C$3+1))*('Summary Page'!$C$3+1)</f>
        <v>122.39583333333336</v>
      </c>
      <c r="AF38" s="7">
        <f>((AVERAGE(AA33:AA38)*('Summary Page'!$C$4+1))*('Summary Page'!$C$4+1))*('Summary Page'!$C$4+1)</f>
        <v>108.28800000000003</v>
      </c>
      <c r="AI38" s="7">
        <f t="shared" si="22"/>
        <v>93.6</v>
      </c>
      <c r="AJ38" s="7">
        <f>((AVERAGE(B33:B38)*('Summary Page'!$C$2+1))*('Summary Page'!$C$2+1))*('Summary Page'!$C$2+1)</f>
        <v>132.67615999999998</v>
      </c>
      <c r="AK38" s="7">
        <f>((AVERAGE(B33:B38)*('Summary Page'!$C$3+1))*('Summary Page'!$C$3+1))*('Summary Page'!$C$3+1)</f>
        <v>166.015625</v>
      </c>
      <c r="AL38" s="8">
        <f>((AVERAGE(B33:B38)*('Summary Page'!$C$4+1))*('Summary Page'!$C$4+1))*('Summary Page'!$C$4+1)</f>
        <v>146.88</v>
      </c>
      <c r="AO38" s="7">
        <f t="shared" si="23"/>
        <v>79.2</v>
      </c>
      <c r="AP38" s="7">
        <f>((AVERAGE(C33:C38)*('Summary Page'!$C$2+1))*('Summary Page'!$C$2+1))*('Summary Page'!$C$2+1)</f>
        <v>84.028234666666648</v>
      </c>
      <c r="AQ38" s="7">
        <f>((AVERAGE(C33:C38)*('Summary Page'!$C$3+1))*('Summary Page'!$C$3+1))*('Summary Page'!$C$3+1)</f>
        <v>105.14322916666669</v>
      </c>
      <c r="AR38" s="8">
        <f>((AVERAGE(C33:C38)*('Summary Page'!$C$4+1))*('Summary Page'!$C$4+1))*('Summary Page'!$C$4+1)</f>
        <v>93.023999999999987</v>
      </c>
      <c r="AU38" s="7">
        <f t="shared" si="24"/>
        <v>99.6</v>
      </c>
      <c r="AV38" s="7">
        <f>((AVERAGE(D33:D38)*('Summary Page'!$C$2+1))*('Summary Page'!$C$2+1))*('Summary Page'!$C$2+1)</f>
        <v>111.34391466666663</v>
      </c>
      <c r="AW38" s="7">
        <f>((AVERAGE(D33:D38)*('Summary Page'!$C$3+1))*('Summary Page'!$C$3+1))*('Summary Page'!$C$3+1)</f>
        <v>139.32291666666663</v>
      </c>
      <c r="AX38" s="7">
        <f>((AVERAGE(D33:D38)*('Summary Page'!$C$4+1))*('Summary Page'!$C$4+1))*('Summary Page'!$C$4+1)</f>
        <v>123.26399999999998</v>
      </c>
      <c r="BA38" s="7">
        <f t="shared" si="25"/>
        <v>57.599999999999994</v>
      </c>
      <c r="BB38" s="7">
        <f>((AVERAGE(E33:E38)*('Summary Page'!$C$2+1))*('Summary Page'!$C$2+1))*('Summary Page'!$C$2+1)</f>
        <v>66.338079999999991</v>
      </c>
      <c r="BC38" s="7">
        <f>((AVERAGE(E33:E38)*('Summary Page'!$C$3+1))*('Summary Page'!$C$3+1))*('Summary Page'!$C$3+1)</f>
        <v>83.0078125</v>
      </c>
      <c r="BD38" s="8">
        <f>((AVERAGE(E33:E38)*('Summary Page'!$C$4+1))*('Summary Page'!$C$4+1))*('Summary Page'!$C$4+1)</f>
        <v>73.44</v>
      </c>
      <c r="BG38" s="7">
        <f t="shared" si="26"/>
        <v>87.6</v>
      </c>
      <c r="BH38" s="7">
        <f>((AVERAGE(F33:F38)*('Summary Page'!$C$2+1))*('Summary Page'!$C$2+1))*('Summary Page'!$C$2+1)</f>
        <v>94.694357333333315</v>
      </c>
      <c r="BI38" s="7">
        <f>((AVERAGE(F33:F38)*('Summary Page'!$C$3+1))*('Summary Page'!$C$3+1))*('Summary Page'!$C$3+1)</f>
        <v>118.48958333333331</v>
      </c>
      <c r="BJ38" s="8">
        <f>((AVERAGE(F33:F38)*('Summary Page'!$C$4+1))*('Summary Page'!$C$4+1))*('Summary Page'!$C$4+1)</f>
        <v>104.83199999999999</v>
      </c>
      <c r="BM38" s="7">
        <f t="shared" si="27"/>
        <v>102</v>
      </c>
      <c r="BN38" s="7">
        <f>((AVERAGE(Q33:Q38)*('Summary Page'!$C$2+1))*('Summary Page'!$C$2+1))*('Summary Page'!$C$2+1)</f>
        <v>144.64302933333332</v>
      </c>
      <c r="BO38" s="7">
        <f>((AVERAGE(Q33:Q38)*('Summary Page'!$C$3+1))*('Summary Page'!$C$3+1))*('Summary Page'!$C$3+1)</f>
        <v>180.98958333333337</v>
      </c>
      <c r="BP38" s="8">
        <f>((AVERAGE(Q33:Q38)*('Summary Page'!$C$4+1))*('Summary Page'!$C$4+1))*('Summary Page'!$C$4+1)</f>
        <v>160.12799999999999</v>
      </c>
      <c r="BS38" s="7">
        <f t="shared" si="28"/>
        <v>297.59999999999997</v>
      </c>
      <c r="BT38" s="7">
        <f>((AVERAGE(T33:T38)*('Summary Page'!$C$2+1))*('Summary Page'!$C$2+1))*('Summary Page'!$C$2+1)</f>
        <v>311.46378933333324</v>
      </c>
      <c r="BU38" s="7">
        <f>((AVERAGE(T33:T38)*('Summary Page'!$C$3+1))*('Summary Page'!$C$3+1))*('Summary Page'!$C$3+1)</f>
        <v>389.72981770833326</v>
      </c>
      <c r="BV38" s="8">
        <f>((AVERAGE(T33:T38)*('Summary Page'!$C$4+1))*('Summary Page'!$C$4+1))*('Summary Page'!$C$4+1)</f>
        <v>344.80799999999994</v>
      </c>
      <c r="BW38" s="16">
        <f t="shared" si="20"/>
        <v>7.8801498127340839</v>
      </c>
      <c r="BX38" s="16">
        <f t="shared" si="21"/>
        <v>7.4307116104868927</v>
      </c>
      <c r="BY38" s="7">
        <f t="shared" si="29"/>
        <v>8.9168539325842708</v>
      </c>
      <c r="BZ38" s="7">
        <f>((AVERAGE(BW33:BW38)*('Summary Page'!$C$2+1))*('Summary Page'!$C$2+1))*('Summary Page'!$C$2+1)</f>
        <v>9.3322483695380765</v>
      </c>
      <c r="CA38" s="7">
        <f>((AVERAGE(BW33:BW38)*('Summary Page'!$C$3+1))*('Summary Page'!$C$3+1))*('Summary Page'!$C$3+1)</f>
        <v>11.67729790886392</v>
      </c>
      <c r="CB38" s="7">
        <f>((AVERAGE(BW33:BW38)*('Summary Page'!$C$4+1))*('Summary Page'!$C$4+1))*('Summary Page'!$C$4+1)</f>
        <v>10.331325842696629</v>
      </c>
      <c r="CC38" s="11">
        <f t="shared" si="30"/>
        <v>9.1935081148564315</v>
      </c>
      <c r="CD38" s="11">
        <f t="shared" si="15"/>
        <v>8.6691635455680416</v>
      </c>
      <c r="CE38" s="11">
        <f t="shared" si="16"/>
        <v>10.40299625468165</v>
      </c>
      <c r="CF38" s="11">
        <f t="shared" si="17"/>
        <v>10.887623097794423</v>
      </c>
      <c r="CG38" s="11">
        <f t="shared" si="18"/>
        <v>13.623514227007908</v>
      </c>
      <c r="CH38" s="11">
        <f t="shared" si="19"/>
        <v>12.053213483146067</v>
      </c>
    </row>
    <row r="39" spans="1:86" ht="15.75" x14ac:dyDescent="0.25">
      <c r="A39" s="10">
        <v>44078</v>
      </c>
      <c r="B39" s="7">
        <v>154</v>
      </c>
      <c r="C39" s="7">
        <v>106</v>
      </c>
      <c r="D39" s="7">
        <v>137</v>
      </c>
      <c r="E39" s="7">
        <v>79</v>
      </c>
      <c r="F39" s="7">
        <v>112</v>
      </c>
      <c r="G39" s="110">
        <v>73</v>
      </c>
      <c r="H39" s="7">
        <v>45</v>
      </c>
      <c r="I39" s="7">
        <v>58</v>
      </c>
      <c r="J39" s="7">
        <v>35</v>
      </c>
      <c r="K39" s="111">
        <v>51</v>
      </c>
      <c r="L39" s="7"/>
      <c r="M39" s="7"/>
      <c r="N39" s="7"/>
      <c r="O39" s="7"/>
      <c r="P39" s="7"/>
      <c r="Q39" s="7">
        <v>129</v>
      </c>
      <c r="R39" s="7">
        <v>57</v>
      </c>
      <c r="S39" s="7"/>
      <c r="T39" s="7">
        <v>296</v>
      </c>
      <c r="U39" s="7">
        <v>275</v>
      </c>
      <c r="V39" s="7"/>
      <c r="W39" s="7"/>
      <c r="X39" s="7"/>
      <c r="Y39" s="7"/>
      <c r="Z39" s="7"/>
      <c r="AA39" s="2">
        <f t="shared" si="2"/>
        <v>117.6</v>
      </c>
      <c r="AB39" s="2">
        <f t="shared" si="3"/>
        <v>52.4</v>
      </c>
      <c r="AC39" s="2">
        <f t="shared" si="4"/>
        <v>62.879999999999995</v>
      </c>
      <c r="AD39" s="7">
        <f>((AVERAGE(AA34:AA39)*('Summary Page'!$C$2+1))*('Summary Page'!$C$2+1))*('Summary Page'!$C$2+1)</f>
        <v>114.77788586666667</v>
      </c>
      <c r="AE39" s="7">
        <f>((AVERAGE(AA34:AA39)*('Summary Page'!$C$3+1))*('Summary Page'!$C$3+1))*('Summary Page'!$C$3+1)</f>
        <v>143.61979166666669</v>
      </c>
      <c r="AF39" s="7">
        <f>((AVERAGE(AA34:AA39)*('Summary Page'!$C$4+1))*('Summary Page'!$C$4+1))*('Summary Page'!$C$4+1)</f>
        <v>127.0656</v>
      </c>
      <c r="AI39" s="7">
        <f t="shared" si="22"/>
        <v>87.6</v>
      </c>
      <c r="AJ39" s="7">
        <f>((AVERAGE(B34:B39)*('Summary Page'!$C$2+1))*('Summary Page'!$C$2+1))*('Summary Page'!$C$2+1)</f>
        <v>155.04900266666664</v>
      </c>
      <c r="AK39" s="7">
        <f>((AVERAGE(B34:B39)*('Summary Page'!$C$3+1))*('Summary Page'!$C$3+1))*('Summary Page'!$C$3+1)</f>
        <v>194.01041666666663</v>
      </c>
      <c r="AL39" s="8">
        <f>((AVERAGE(B34:B39)*('Summary Page'!$C$4+1))*('Summary Page'!$C$4+1))*('Summary Page'!$C$4+1)</f>
        <v>171.648</v>
      </c>
      <c r="AO39" s="7">
        <f t="shared" si="23"/>
        <v>54</v>
      </c>
      <c r="AP39" s="7">
        <f>((AVERAGE(C34:C39)*('Summary Page'!$C$2+1))*('Summary Page'!$C$2+1))*('Summary Page'!$C$2+1)</f>
        <v>99.116895999999969</v>
      </c>
      <c r="AQ39" s="7">
        <f>((AVERAGE(C34:C39)*('Summary Page'!$C$3+1))*('Summary Page'!$C$3+1))*('Summary Page'!$C$3+1)</f>
        <v>124.0234375</v>
      </c>
      <c r="AR39" s="8">
        <f>((AVERAGE(C34:C39)*('Summary Page'!$C$4+1))*('Summary Page'!$C$4+1))*('Summary Page'!$C$4+1)</f>
        <v>109.72799999999999</v>
      </c>
      <c r="AU39" s="7">
        <f t="shared" si="24"/>
        <v>69.599999999999994</v>
      </c>
      <c r="AV39" s="7">
        <f>((AVERAGE(D34:D39)*('Summary Page'!$C$2+1))*('Summary Page'!$C$2+1))*('Summary Page'!$C$2+1)</f>
        <v>131.37541333333331</v>
      </c>
      <c r="AW39" s="7">
        <f>((AVERAGE(D34:D39)*('Summary Page'!$C$3+1))*('Summary Page'!$C$3+1))*('Summary Page'!$C$3+1)</f>
        <v>164.38802083333337</v>
      </c>
      <c r="AX39" s="7">
        <f>((AVERAGE(D34:D39)*('Summary Page'!$C$4+1))*('Summary Page'!$C$4+1))*('Summary Page'!$C$4+1)</f>
        <v>145.43999999999997</v>
      </c>
      <c r="BA39" s="7">
        <f t="shared" si="25"/>
        <v>42</v>
      </c>
      <c r="BB39" s="7">
        <f>((AVERAGE(E34:E39)*('Summary Page'!$C$2+1))*('Summary Page'!$C$2+1))*('Summary Page'!$C$2+1)</f>
        <v>78.044799999999981</v>
      </c>
      <c r="BC39" s="7">
        <f>((AVERAGE(E34:E39)*('Summary Page'!$C$3+1))*('Summary Page'!$C$3+1))*('Summary Page'!$C$3+1)</f>
        <v>97.65625</v>
      </c>
      <c r="BD39" s="8">
        <f>((AVERAGE(E34:E39)*('Summary Page'!$C$4+1))*('Summary Page'!$C$4+1))*('Summary Page'!$C$4+1)</f>
        <v>86.399999999999991</v>
      </c>
      <c r="BG39" s="7">
        <f t="shared" si="26"/>
        <v>61.199999999999996</v>
      </c>
      <c r="BH39" s="7">
        <f>((AVERAGE(F34:F39)*('Summary Page'!$C$2+1))*('Summary Page'!$C$2+1))*('Summary Page'!$C$2+1)</f>
        <v>110.30331733333331</v>
      </c>
      <c r="BI39" s="7">
        <f>((AVERAGE(F34:F39)*('Summary Page'!$C$3+1))*('Summary Page'!$C$3+1))*('Summary Page'!$C$3+1)</f>
        <v>138.02083333333337</v>
      </c>
      <c r="BJ39" s="8">
        <f>((AVERAGE(F34:F39)*('Summary Page'!$C$4+1))*('Summary Page'!$C$4+1))*('Summary Page'!$C$4+1)</f>
        <v>122.11199999999998</v>
      </c>
      <c r="BM39" s="7">
        <f t="shared" si="27"/>
        <v>68.399999999999991</v>
      </c>
      <c r="BN39" s="7">
        <f>((AVERAGE(Q34:Q39)*('Summary Page'!$C$2+1))*('Summary Page'!$C$2+1))*('Summary Page'!$C$2+1)</f>
        <v>159.73169066666662</v>
      </c>
      <c r="BO39" s="7">
        <f>((AVERAGE(Q34:Q39)*('Summary Page'!$C$3+1))*('Summary Page'!$C$3+1))*('Summary Page'!$C$3+1)</f>
        <v>199.86979166666663</v>
      </c>
      <c r="BP39" s="8">
        <f>((AVERAGE(Q34:Q39)*('Summary Page'!$C$4+1))*('Summary Page'!$C$4+1))*('Summary Page'!$C$4+1)</f>
        <v>176.83199999999997</v>
      </c>
      <c r="BS39" s="7">
        <f t="shared" si="28"/>
        <v>330</v>
      </c>
      <c r="BT39" s="7">
        <f>((AVERAGE(T34:T39)*('Summary Page'!$C$2+1))*('Summary Page'!$C$2+1))*('Summary Page'!$C$2+1)</f>
        <v>348.14484533333325</v>
      </c>
      <c r="BU39" s="7">
        <f>((AVERAGE(T34:T39)*('Summary Page'!$C$3+1))*('Summary Page'!$C$3+1))*('Summary Page'!$C$3+1)</f>
        <v>435.62825520833326</v>
      </c>
      <c r="BV39" s="8">
        <f>((AVERAGE(T34:T39)*('Summary Page'!$C$4+1))*('Summary Page'!$C$4+1))*('Summary Page'!$C$4+1)</f>
        <v>385.41599999999994</v>
      </c>
      <c r="BW39" s="16">
        <f t="shared" si="20"/>
        <v>8.868913857677903</v>
      </c>
      <c r="BX39" s="16">
        <f t="shared" si="21"/>
        <v>8.239700374531834</v>
      </c>
      <c r="BY39" s="7">
        <f t="shared" si="29"/>
        <v>9.8876404494381998</v>
      </c>
      <c r="BZ39" s="7">
        <f>((AVERAGE(BW34:BW39)*('Summary Page'!$C$2+1))*('Summary Page'!$C$2+1))*('Summary Page'!$C$2+1)</f>
        <v>10.431306227215977</v>
      </c>
      <c r="CA39" s="7">
        <f>((AVERAGE(BW34:BW39)*('Summary Page'!$C$3+1))*('Summary Page'!$C$3+1))*('Summary Page'!$C$3+1)</f>
        <v>13.052531991260924</v>
      </c>
      <c r="CB39" s="7">
        <f>((AVERAGE(BW34:BW39)*('Summary Page'!$C$4+1))*('Summary Page'!$C$4+1))*('Summary Page'!$C$4+1)</f>
        <v>11.548044943820225</v>
      </c>
      <c r="CC39" s="11">
        <f t="shared" si="30"/>
        <v>10.347066167290887</v>
      </c>
      <c r="CD39" s="11">
        <f t="shared" si="15"/>
        <v>9.6129837702871406</v>
      </c>
      <c r="CE39" s="11">
        <f t="shared" si="16"/>
        <v>11.535580524344567</v>
      </c>
      <c r="CF39" s="11">
        <f t="shared" si="17"/>
        <v>12.169857265085307</v>
      </c>
      <c r="CG39" s="11">
        <f t="shared" si="18"/>
        <v>15.227953989804412</v>
      </c>
      <c r="CH39" s="11">
        <f t="shared" si="19"/>
        <v>13.472719101123594</v>
      </c>
    </row>
    <row r="40" spans="1:86" ht="15.75" x14ac:dyDescent="0.25">
      <c r="A40" s="10">
        <v>44105</v>
      </c>
      <c r="B40" s="7">
        <v>140</v>
      </c>
      <c r="C40" s="7">
        <v>99</v>
      </c>
      <c r="D40" s="7">
        <v>129</v>
      </c>
      <c r="E40" s="7">
        <v>74</v>
      </c>
      <c r="F40" s="7">
        <v>108</v>
      </c>
      <c r="G40" s="110">
        <v>90</v>
      </c>
      <c r="H40" s="7">
        <v>50</v>
      </c>
      <c r="I40" s="7">
        <v>68</v>
      </c>
      <c r="J40" s="7">
        <v>39</v>
      </c>
      <c r="K40" s="111">
        <v>52</v>
      </c>
      <c r="L40" s="7"/>
      <c r="M40" s="7"/>
      <c r="N40" s="7"/>
      <c r="O40" s="7"/>
      <c r="P40" s="7"/>
      <c r="Q40" s="7">
        <v>119</v>
      </c>
      <c r="R40" s="7">
        <v>65</v>
      </c>
      <c r="S40" s="7"/>
      <c r="T40" s="7">
        <v>277</v>
      </c>
      <c r="U40" s="7">
        <v>282</v>
      </c>
      <c r="V40" s="7"/>
      <c r="W40" s="7"/>
      <c r="X40" s="7"/>
      <c r="Y40" s="7"/>
      <c r="Z40" s="7"/>
      <c r="AA40" s="2">
        <f t="shared" si="2"/>
        <v>110</v>
      </c>
      <c r="AB40" s="2">
        <f t="shared" si="3"/>
        <v>59.8</v>
      </c>
      <c r="AC40" s="2">
        <f t="shared" si="4"/>
        <v>71.759999999999991</v>
      </c>
      <c r="AD40" s="7">
        <f>((AVERAGE(AA35:AA40)*('Summary Page'!$C$2+1))*('Summary Page'!$C$2+1))*('Summary Page'!$C$2+1)</f>
        <v>129.60639786666667</v>
      </c>
      <c r="AE40" s="7">
        <f>((AVERAGE(AA35:AA40)*('Summary Page'!$C$3+1))*('Summary Page'!$C$3+1))*('Summary Page'!$C$3+1)</f>
        <v>162.17447916666671</v>
      </c>
      <c r="AF40" s="7">
        <f>((AVERAGE(AA35:AA40)*('Summary Page'!$C$4+1))*('Summary Page'!$C$4+1))*('Summary Page'!$C$4+1)</f>
        <v>143.48160000000001</v>
      </c>
      <c r="AI40" s="7">
        <f t="shared" si="22"/>
        <v>108</v>
      </c>
      <c r="AJ40" s="7">
        <f>((AVERAGE(B35:B40)*('Summary Page'!$C$2+1))*('Summary Page'!$C$2+1))*('Summary Page'!$C$2+1)</f>
        <v>171.9587093333333</v>
      </c>
      <c r="AK40" s="7">
        <f>((AVERAGE(B35:B40)*('Summary Page'!$C$3+1))*('Summary Page'!$C$3+1))*('Summary Page'!$C$3+1)</f>
        <v>215.16927083333337</v>
      </c>
      <c r="AL40" s="8">
        <f>((AVERAGE(B35:B40)*('Summary Page'!$C$4+1))*('Summary Page'!$C$4+1))*('Summary Page'!$C$4+1)</f>
        <v>190.36799999999997</v>
      </c>
      <c r="AO40" s="7">
        <f t="shared" si="23"/>
        <v>60</v>
      </c>
      <c r="AP40" s="7">
        <f>((AVERAGE(C35:C40)*('Summary Page'!$C$2+1))*('Summary Page'!$C$2+1))*('Summary Page'!$C$2+1)</f>
        <v>113.68525866666664</v>
      </c>
      <c r="AQ40" s="7">
        <f>((AVERAGE(C35:C40)*('Summary Page'!$C$3+1))*('Summary Page'!$C$3+1))*('Summary Page'!$C$3+1)</f>
        <v>142.25260416666663</v>
      </c>
      <c r="AR40" s="8">
        <f>((AVERAGE(C35:C40)*('Summary Page'!$C$4+1))*('Summary Page'!$C$4+1))*('Summary Page'!$C$4+1)</f>
        <v>125.85599999999997</v>
      </c>
      <c r="AU40" s="7">
        <f t="shared" si="24"/>
        <v>81.599999999999994</v>
      </c>
      <c r="AV40" s="7">
        <f>((AVERAGE(D35:D40)*('Summary Page'!$C$2+1))*('Summary Page'!$C$2+1))*('Summary Page'!$C$2+1)</f>
        <v>149.06556799999998</v>
      </c>
      <c r="AW40" s="7">
        <f>((AVERAGE(D35:D40)*('Summary Page'!$C$3+1))*('Summary Page'!$C$3+1))*('Summary Page'!$C$3+1)</f>
        <v>186.5234375</v>
      </c>
      <c r="AX40" s="7">
        <f>((AVERAGE(D35:D40)*('Summary Page'!$C$4+1))*('Summary Page'!$C$4+1))*('Summary Page'!$C$4+1)</f>
        <v>165.02399999999997</v>
      </c>
      <c r="BA40" s="7">
        <f t="shared" si="25"/>
        <v>46.8</v>
      </c>
      <c r="BB40" s="7">
        <f>((AVERAGE(E35:E40)*('Summary Page'!$C$2+1))*('Summary Page'!$C$2+1))*('Summary Page'!$C$2+1)</f>
        <v>87.930474666666655</v>
      </c>
      <c r="BC40" s="7">
        <f>((AVERAGE(E35:E40)*('Summary Page'!$C$3+1))*('Summary Page'!$C$3+1))*('Summary Page'!$C$3+1)</f>
        <v>110.02604166666669</v>
      </c>
      <c r="BD40" s="8">
        <f>((AVERAGE(E35:E40)*('Summary Page'!$C$4+1))*('Summary Page'!$C$4+1))*('Summary Page'!$C$4+1)</f>
        <v>97.34399999999998</v>
      </c>
      <c r="BG40" s="7">
        <f t="shared" si="26"/>
        <v>62.4</v>
      </c>
      <c r="BH40" s="7">
        <f>((AVERAGE(F35:F40)*('Summary Page'!$C$2+1))*('Summary Page'!$C$2+1))*('Summary Page'!$C$2+1)</f>
        <v>125.39197866666663</v>
      </c>
      <c r="BI40" s="7">
        <f>((AVERAGE(F35:F40)*('Summary Page'!$C$3+1))*('Summary Page'!$C$3+1))*('Summary Page'!$C$3+1)</f>
        <v>156.90104166666663</v>
      </c>
      <c r="BJ40" s="8">
        <f>((AVERAGE(F35:F40)*('Summary Page'!$C$4+1))*('Summary Page'!$C$4+1))*('Summary Page'!$C$4+1)</f>
        <v>138.81599999999997</v>
      </c>
      <c r="BM40" s="7">
        <f t="shared" si="27"/>
        <v>78</v>
      </c>
      <c r="BN40" s="7">
        <f>((AVERAGE(Q35:Q40)*('Summary Page'!$C$2+1))*('Summary Page'!$C$2+1))*('Summary Page'!$C$2+1)</f>
        <v>168.31661866666664</v>
      </c>
      <c r="BO40" s="7">
        <f>((AVERAGE(Q35:Q40)*('Summary Page'!$C$3+1))*('Summary Page'!$C$3+1))*('Summary Page'!$C$3+1)</f>
        <v>210.61197916666663</v>
      </c>
      <c r="BP40" s="8">
        <f>((AVERAGE(Q35:Q40)*('Summary Page'!$C$4+1))*('Summary Page'!$C$4+1))*('Summary Page'!$C$4+1)</f>
        <v>186.33599999999996</v>
      </c>
      <c r="BS40" s="7">
        <f t="shared" si="28"/>
        <v>338.4</v>
      </c>
      <c r="BT40" s="7">
        <f>((AVERAGE(T35:T40)*('Summary Page'!$C$2+1))*('Summary Page'!$C$2+1))*('Summary Page'!$C$2+1)</f>
        <v>371.55828533333329</v>
      </c>
      <c r="BU40" s="7">
        <f>((AVERAGE(T35:T40)*('Summary Page'!$C$3+1))*('Summary Page'!$C$3+1))*('Summary Page'!$C$3+1)</f>
        <v>464.92513020833326</v>
      </c>
      <c r="BV40" s="8">
        <f>((AVERAGE(T35:T40)*('Summary Page'!$C$4+1))*('Summary Page'!$C$4+1))*('Summary Page'!$C$4+1)</f>
        <v>411.33599999999996</v>
      </c>
      <c r="BW40" s="16">
        <f t="shared" si="20"/>
        <v>8.299625468164793</v>
      </c>
      <c r="BX40" s="16">
        <f t="shared" si="21"/>
        <v>8.4494382022471903</v>
      </c>
      <c r="BY40" s="7">
        <f t="shared" si="29"/>
        <v>10.139325842696628</v>
      </c>
      <c r="BZ40" s="7">
        <f>((AVERAGE(BW35:BW40)*('Summary Page'!$C$2+1))*('Summary Page'!$C$2+1))*('Summary Page'!$C$2+1)</f>
        <v>11.132832519350808</v>
      </c>
      <c r="CA40" s="7">
        <f>((AVERAGE(BW35:BW40)*('Summary Page'!$C$3+1))*('Summary Page'!$C$3+1))*('Summary Page'!$C$3+1)</f>
        <v>13.930340980024969</v>
      </c>
      <c r="CB40" s="7">
        <f>((AVERAGE(BW35:BW40)*('Summary Page'!$C$4+1))*('Summary Page'!$C$4+1))*('Summary Page'!$C$4+1)</f>
        <v>12.32467415730337</v>
      </c>
      <c r="CC40" s="11">
        <f t="shared" si="30"/>
        <v>9.6828963795255909</v>
      </c>
      <c r="CD40" s="11">
        <f t="shared" si="15"/>
        <v>9.8576779026217221</v>
      </c>
      <c r="CE40" s="11">
        <f t="shared" si="16"/>
        <v>11.829213483146066</v>
      </c>
      <c r="CF40" s="11">
        <f t="shared" si="17"/>
        <v>12.988304605909276</v>
      </c>
      <c r="CG40" s="11">
        <f t="shared" si="18"/>
        <v>16.252064476695796</v>
      </c>
      <c r="CH40" s="11">
        <f t="shared" si="19"/>
        <v>14.378786516853932</v>
      </c>
    </row>
    <row r="41" spans="1:86" ht="15.75" x14ac:dyDescent="0.25">
      <c r="A41" s="10">
        <v>44138</v>
      </c>
      <c r="B41" s="7">
        <v>136</v>
      </c>
      <c r="C41" s="7">
        <v>93</v>
      </c>
      <c r="D41" s="7">
        <v>126</v>
      </c>
      <c r="E41" s="7">
        <v>73</v>
      </c>
      <c r="F41" s="7">
        <v>107</v>
      </c>
      <c r="G41" s="110">
        <v>53</v>
      </c>
      <c r="H41" s="7">
        <v>37</v>
      </c>
      <c r="I41" s="7">
        <v>48</v>
      </c>
      <c r="J41" s="7">
        <v>28</v>
      </c>
      <c r="K41" s="111">
        <v>41</v>
      </c>
      <c r="L41" s="7"/>
      <c r="M41" s="7"/>
      <c r="N41" s="7"/>
      <c r="O41" s="7"/>
      <c r="P41" s="7"/>
      <c r="Q41" s="7">
        <v>96</v>
      </c>
      <c r="R41" s="7">
        <v>37</v>
      </c>
      <c r="S41" s="7"/>
      <c r="T41" s="7">
        <v>334</v>
      </c>
      <c r="U41" s="7">
        <v>345</v>
      </c>
      <c r="V41" s="7"/>
      <c r="W41" s="7"/>
      <c r="X41" s="7"/>
      <c r="Y41" s="7"/>
      <c r="Z41" s="7"/>
      <c r="AA41" s="2">
        <f t="shared" si="2"/>
        <v>107</v>
      </c>
      <c r="AB41" s="2">
        <f t="shared" ref="AB41:AB48" si="31">AVERAGE(G41,H41,I41,J41,K41)</f>
        <v>41.4</v>
      </c>
      <c r="AC41" s="2">
        <f t="shared" ref="AC41:AC48" si="32">AB41*1.2</f>
        <v>49.68</v>
      </c>
      <c r="AD41" s="7">
        <f>((AVERAGE(AA36:AA41)*('Summary Page'!$C$2+1))*('Summary Page'!$C$2+1))*('Summary Page'!$C$2+1)</f>
        <v>142.82198399999996</v>
      </c>
      <c r="AE41" s="7">
        <f>((AVERAGE(AA36:AA41)*('Summary Page'!$C$3+1))*('Summary Page'!$C$3+1))*('Summary Page'!$C$3+1)</f>
        <v>178.7109375</v>
      </c>
      <c r="AF41" s="7">
        <f>((AVERAGE(AA36:AA41)*('Summary Page'!$C$4+1))*('Summary Page'!$C$4+1))*('Summary Page'!$C$4+1)</f>
        <v>158.11199999999999</v>
      </c>
      <c r="AI41" s="7">
        <f t="shared" si="22"/>
        <v>63.599999999999994</v>
      </c>
      <c r="AJ41" s="7">
        <f>((AVERAGE(B36:B41)*('Summary Page'!$C$2+1))*('Summary Page'!$C$2+1))*('Summary Page'!$C$2+1)</f>
        <v>186.00677333333329</v>
      </c>
      <c r="AK41" s="7">
        <f>((AVERAGE(B36:B41)*('Summary Page'!$C$3+1))*('Summary Page'!$C$3+1))*('Summary Page'!$C$3+1)</f>
        <v>232.74739583333337</v>
      </c>
      <c r="AL41" s="8">
        <f>((AVERAGE(B36:B41)*('Summary Page'!$C$4+1))*('Summary Page'!$C$4+1))*('Summary Page'!$C$4+1)</f>
        <v>205.92</v>
      </c>
      <c r="AO41" s="7">
        <f t="shared" si="23"/>
        <v>44.4</v>
      </c>
      <c r="AP41" s="7">
        <f>((AVERAGE(C36:C41)*('Summary Page'!$C$2+1))*('Summary Page'!$C$2+1))*('Summary Page'!$C$2+1)</f>
        <v>126.95287466666662</v>
      </c>
      <c r="AQ41" s="7">
        <f>((AVERAGE(C36:C41)*('Summary Page'!$C$3+1))*('Summary Page'!$C$3+1))*('Summary Page'!$C$3+1)</f>
        <v>158.85416666666663</v>
      </c>
      <c r="AR41" s="8">
        <f>((AVERAGE(C36:C41)*('Summary Page'!$C$4+1))*('Summary Page'!$C$4+1))*('Summary Page'!$C$4+1)</f>
        <v>140.54399999999998</v>
      </c>
      <c r="AU41" s="7">
        <f t="shared" si="24"/>
        <v>57.599999999999994</v>
      </c>
      <c r="AV41" s="7">
        <f>((AVERAGE(D36:D41)*('Summary Page'!$C$2+1))*('Summary Page'!$C$2+1))*('Summary Page'!$C$2+1)</f>
        <v>164.9346773333333</v>
      </c>
      <c r="AW41" s="7">
        <f>((AVERAGE(D36:D41)*('Summary Page'!$C$3+1))*('Summary Page'!$C$3+1))*('Summary Page'!$C$3+1)</f>
        <v>206.38020833333337</v>
      </c>
      <c r="AX41" s="7">
        <f>((AVERAGE(D36:D41)*('Summary Page'!$C$4+1))*('Summary Page'!$C$4+1))*('Summary Page'!$C$4+1)</f>
        <v>182.59199999999998</v>
      </c>
      <c r="BA41" s="7">
        <f t="shared" si="25"/>
        <v>33.6</v>
      </c>
      <c r="BB41" s="7">
        <f>((AVERAGE(E36:E41)*('Summary Page'!$C$2+1))*('Summary Page'!$C$2+1))*('Summary Page'!$C$2+1)</f>
        <v>96.255253333333314</v>
      </c>
      <c r="BC41" s="7">
        <f>((AVERAGE(E36:E41)*('Summary Page'!$C$3+1))*('Summary Page'!$C$3+1))*('Summary Page'!$C$3+1)</f>
        <v>120.44270833333331</v>
      </c>
      <c r="BD41" s="8">
        <f>((AVERAGE(E36:E41)*('Summary Page'!$C$4+1))*('Summary Page'!$C$4+1))*('Summary Page'!$C$4+1)</f>
        <v>106.55999999999999</v>
      </c>
      <c r="BG41" s="7">
        <f t="shared" si="26"/>
        <v>49.199999999999996</v>
      </c>
      <c r="BH41" s="7">
        <f>((AVERAGE(F36:F41)*('Summary Page'!$C$2+1))*('Summary Page'!$C$2+1))*('Summary Page'!$C$2+1)</f>
        <v>139.9603413333333</v>
      </c>
      <c r="BI41" s="7">
        <f>((AVERAGE(F36:F41)*('Summary Page'!$C$3+1))*('Summary Page'!$C$3+1))*('Summary Page'!$C$3+1)</f>
        <v>175.13020833333337</v>
      </c>
      <c r="BJ41" s="8">
        <f>((AVERAGE(F36:F41)*('Summary Page'!$C$4+1))*('Summary Page'!$C$4+1))*('Summary Page'!$C$4+1)</f>
        <v>154.94399999999999</v>
      </c>
      <c r="BM41" s="7">
        <f t="shared" si="27"/>
        <v>44.4</v>
      </c>
      <c r="BN41" s="7">
        <f>((AVERAGE(Q36:Q41)*('Summary Page'!$C$2+1))*('Summary Page'!$C$2+1))*('Summary Page'!$C$2+1)</f>
        <v>169.35721599999997</v>
      </c>
      <c r="BO41" s="7">
        <f>((AVERAGE(Q36:Q41)*('Summary Page'!$C$3+1))*('Summary Page'!$C$3+1))*('Summary Page'!$C$3+1)</f>
        <v>211.9140625</v>
      </c>
      <c r="BP41" s="8">
        <f>((AVERAGE(Q36:Q41)*('Summary Page'!$C$4+1))*('Summary Page'!$C$4+1))*('Summary Page'!$C$4+1)</f>
        <v>187.48799999999997</v>
      </c>
      <c r="BS41" s="7">
        <f t="shared" si="28"/>
        <v>414</v>
      </c>
      <c r="BT41" s="7">
        <f>((AVERAGE(T36:T41)*('Summary Page'!$C$2+1))*('Summary Page'!$C$2+1))*('Summary Page'!$C$2+1)</f>
        <v>407.71904266666655</v>
      </c>
      <c r="BU41" s="7">
        <f>((AVERAGE(T36:T41)*('Summary Page'!$C$3+1))*('Summary Page'!$C$3+1))*('Summary Page'!$C$3+1)</f>
        <v>510.17252604166657</v>
      </c>
      <c r="BV41" s="8">
        <f>((AVERAGE(T36:T41)*('Summary Page'!$C$4+1))*('Summary Page'!$C$4+1))*('Summary Page'!$C$4+1)</f>
        <v>451.36799999999999</v>
      </c>
      <c r="BW41" s="16">
        <f t="shared" si="20"/>
        <v>10.007490636704119</v>
      </c>
      <c r="BX41" s="16">
        <f t="shared" si="21"/>
        <v>10.337078651685392</v>
      </c>
      <c r="BY41" s="7">
        <f t="shared" si="29"/>
        <v>12.40449438202247</v>
      </c>
      <c r="BZ41" s="7">
        <f>((AVERAGE(BW36:BW41)*('Summary Page'!$C$2+1))*('Summary Page'!$C$2+1))*('Summary Page'!$C$2+1)</f>
        <v>12.216300903870161</v>
      </c>
      <c r="CA41" s="7">
        <f>((AVERAGE(BW36:BW41)*('Summary Page'!$C$3+1))*('Summary Page'!$C$3+1))*('Summary Page'!$C$3+1)</f>
        <v>15.286068196004996</v>
      </c>
      <c r="CB41" s="7">
        <f>((AVERAGE(BW36:BW41)*('Summary Page'!$C$4+1))*('Summary Page'!$C$4+1))*('Summary Page'!$C$4+1)</f>
        <v>13.524134831460675</v>
      </c>
      <c r="CC41" s="11">
        <f t="shared" si="30"/>
        <v>11.675405742821473</v>
      </c>
      <c r="CD41" s="11">
        <f t="shared" si="15"/>
        <v>12.059925093632957</v>
      </c>
      <c r="CE41" s="11">
        <f t="shared" si="16"/>
        <v>14.471910112359549</v>
      </c>
      <c r="CF41" s="11">
        <f t="shared" si="17"/>
        <v>14.252351054515188</v>
      </c>
      <c r="CG41" s="11">
        <f t="shared" si="18"/>
        <v>17.833746228672496</v>
      </c>
      <c r="CH41" s="11">
        <f t="shared" si="19"/>
        <v>15.778157303370786</v>
      </c>
    </row>
    <row r="42" spans="1:86" ht="15.75" x14ac:dyDescent="0.25">
      <c r="A42" s="10">
        <v>44166</v>
      </c>
      <c r="B42" s="7">
        <v>132</v>
      </c>
      <c r="C42" s="7">
        <v>76</v>
      </c>
      <c r="D42" s="7">
        <v>96</v>
      </c>
      <c r="E42" s="7">
        <v>58</v>
      </c>
      <c r="F42" s="7">
        <v>79</v>
      </c>
      <c r="G42" s="110">
        <v>60</v>
      </c>
      <c r="H42" s="7">
        <v>44</v>
      </c>
      <c r="I42" s="7">
        <v>57</v>
      </c>
      <c r="J42" s="7">
        <v>33</v>
      </c>
      <c r="K42" s="111">
        <v>47</v>
      </c>
      <c r="L42" s="7"/>
      <c r="M42" s="7"/>
      <c r="N42" s="7"/>
      <c r="O42" s="7"/>
      <c r="P42" s="7"/>
      <c r="Q42" s="7">
        <v>88</v>
      </c>
      <c r="R42" s="7">
        <v>47</v>
      </c>
      <c r="S42" s="7"/>
      <c r="T42" s="7">
        <v>304</v>
      </c>
      <c r="U42" s="7">
        <v>318</v>
      </c>
      <c r="V42" s="7"/>
      <c r="W42" s="7"/>
      <c r="X42" s="7"/>
      <c r="Y42" s="7"/>
      <c r="Z42" s="7"/>
      <c r="AA42" s="2">
        <f t="shared" si="2"/>
        <v>88.2</v>
      </c>
      <c r="AB42" s="2">
        <f t="shared" si="31"/>
        <v>48.2</v>
      </c>
      <c r="AC42" s="2">
        <f t="shared" si="32"/>
        <v>57.84</v>
      </c>
      <c r="AD42" s="7">
        <f>((AVERAGE(AA37:AA42)*('Summary Page'!$C$2+1))*('Summary Page'!$C$2+1))*('Summary Page'!$C$2+1)</f>
        <v>150.10616533333331</v>
      </c>
      <c r="AE42" s="7">
        <f>((AVERAGE(AA37:AA42)*('Summary Page'!$C$3+1))*('Summary Page'!$C$3+1))*('Summary Page'!$C$3+1)</f>
        <v>187.82552083333337</v>
      </c>
      <c r="AF42" s="7">
        <f>((AVERAGE(AA37:AA42)*('Summary Page'!$C$4+1))*('Summary Page'!$C$4+1))*('Summary Page'!$C$4+1)</f>
        <v>166.17599999999999</v>
      </c>
      <c r="AI42" s="7">
        <f t="shared" si="22"/>
        <v>72</v>
      </c>
      <c r="AJ42" s="7">
        <f>((AVERAGE(B37:B42)*('Summary Page'!$C$2+1))*('Summary Page'!$C$2+1))*('Summary Page'!$C$2+1)</f>
        <v>199.53453866666663</v>
      </c>
      <c r="AK42" s="7">
        <f>((AVERAGE(B37:B42)*('Summary Page'!$C$3+1))*('Summary Page'!$C$3+1))*('Summary Page'!$C$3+1)</f>
        <v>249.67447916666663</v>
      </c>
      <c r="AL42" s="8">
        <f>((AVERAGE(B37:B42)*('Summary Page'!$C$4+1))*('Summary Page'!$C$4+1))*('Summary Page'!$C$4+1)</f>
        <v>220.89599999999993</v>
      </c>
      <c r="AO42" s="7">
        <f t="shared" si="23"/>
        <v>52.8</v>
      </c>
      <c r="AP42" s="7">
        <f>((AVERAGE(C37:C42)*('Summary Page'!$C$2+1))*('Summary Page'!$C$2+1))*('Summary Page'!$C$2+1)</f>
        <v>133.45660799999996</v>
      </c>
      <c r="AQ42" s="7">
        <f>((AVERAGE(C37:C42)*('Summary Page'!$C$3+1))*('Summary Page'!$C$3+1))*('Summary Page'!$C$3+1)</f>
        <v>166.9921875</v>
      </c>
      <c r="AR42" s="8">
        <f>((AVERAGE(C37:C42)*('Summary Page'!$C$4+1))*('Summary Page'!$C$4+1))*('Summary Page'!$C$4+1)</f>
        <v>147.74399999999997</v>
      </c>
      <c r="AU42" s="7">
        <f t="shared" si="24"/>
        <v>68.399999999999991</v>
      </c>
      <c r="AV42" s="7">
        <f>((AVERAGE(D37:D42)*('Summary Page'!$C$2+1))*('Summary Page'!$C$2+1))*('Summary Page'!$C$2+1)</f>
        <v>171.9587093333333</v>
      </c>
      <c r="AW42" s="7">
        <f>((AVERAGE(D37:D42)*('Summary Page'!$C$3+1))*('Summary Page'!$C$3+1))*('Summary Page'!$C$3+1)</f>
        <v>215.16927083333337</v>
      </c>
      <c r="AX42" s="7">
        <f>((AVERAGE(D37:D42)*('Summary Page'!$C$4+1))*('Summary Page'!$C$4+1))*('Summary Page'!$C$4+1)</f>
        <v>190.36799999999997</v>
      </c>
      <c r="BA42" s="7">
        <f t="shared" si="25"/>
        <v>39.6</v>
      </c>
      <c r="BB42" s="7">
        <f>((AVERAGE(E37:E42)*('Summary Page'!$C$2+1))*('Summary Page'!$C$2+1))*('Summary Page'!$C$2+1)</f>
        <v>100.67779199999998</v>
      </c>
      <c r="BC42" s="7">
        <f>((AVERAGE(E37:E42)*('Summary Page'!$C$3+1))*('Summary Page'!$C$3+1))*('Summary Page'!$C$3+1)</f>
        <v>125.9765625</v>
      </c>
      <c r="BD42" s="8">
        <f>((AVERAGE(E37:E42)*('Summary Page'!$C$4+1))*('Summary Page'!$C$4+1))*('Summary Page'!$C$4+1)</f>
        <v>111.45599999999997</v>
      </c>
      <c r="BG42" s="7">
        <f t="shared" si="26"/>
        <v>56.4</v>
      </c>
      <c r="BH42" s="7">
        <f>((AVERAGE(F37:F42)*('Summary Page'!$C$2+1))*('Summary Page'!$C$2+1))*('Summary Page'!$C$2+1)</f>
        <v>144.90317866666663</v>
      </c>
      <c r="BI42" s="7">
        <f>((AVERAGE(F37:F42)*('Summary Page'!$C$3+1))*('Summary Page'!$C$3+1))*('Summary Page'!$C$3+1)</f>
        <v>181.31510416666663</v>
      </c>
      <c r="BJ42" s="8">
        <f>((AVERAGE(F37:F42)*('Summary Page'!$C$4+1))*('Summary Page'!$C$4+1))*('Summary Page'!$C$4+1)</f>
        <v>160.41599999999997</v>
      </c>
      <c r="BM42" s="7">
        <f t="shared" si="27"/>
        <v>56.4</v>
      </c>
      <c r="BN42" s="7">
        <f>((AVERAGE(Q37:Q42)*('Summary Page'!$C$2+1))*('Summary Page'!$C$2+1))*('Summary Page'!$C$2+1)</f>
        <v>167.27602133333332</v>
      </c>
      <c r="BO42" s="7">
        <f>((AVERAGE(Q37:Q42)*('Summary Page'!$C$3+1))*('Summary Page'!$C$3+1))*('Summary Page'!$C$3+1)</f>
        <v>209.30989583333337</v>
      </c>
      <c r="BP42" s="8">
        <f>((AVERAGE(Q37:Q42)*('Summary Page'!$C$4+1))*('Summary Page'!$C$4+1))*('Summary Page'!$C$4+1)</f>
        <v>185.184</v>
      </c>
      <c r="BS42" s="7">
        <f t="shared" si="28"/>
        <v>381.59999999999997</v>
      </c>
      <c r="BT42" s="7">
        <f>((AVERAGE(T37:T42)*('Summary Page'!$C$2+1))*('Summary Page'!$C$2+1))*('Summary Page'!$C$2+1)</f>
        <v>435.55502133333329</v>
      </c>
      <c r="BU42" s="7">
        <f>((AVERAGE(T37:T42)*('Summary Page'!$C$3+1))*('Summary Page'!$C$3+1))*('Summary Page'!$C$3+1)</f>
        <v>545.00325520833348</v>
      </c>
      <c r="BV42" s="8">
        <f>((AVERAGE(T37:T42)*('Summary Page'!$C$4+1))*('Summary Page'!$C$4+1))*('Summary Page'!$C$4+1)</f>
        <v>482.18399999999997</v>
      </c>
      <c r="BW42" s="16">
        <f t="shared" si="20"/>
        <v>9.108614232209737</v>
      </c>
      <c r="BX42" s="16">
        <f t="shared" si="21"/>
        <v>9.5280898876404496</v>
      </c>
      <c r="BY42" s="7">
        <f t="shared" si="29"/>
        <v>11.43370786516854</v>
      </c>
      <c r="BZ42" s="7">
        <f>((AVERAGE(BW37:BW42)*('Summary Page'!$C$2+1))*('Summary Page'!$C$2+1))*('Summary Page'!$C$2+1)</f>
        <v>13.050337717852681</v>
      </c>
      <c r="CA42" s="7">
        <f>((AVERAGE(BW37:BW42)*('Summary Page'!$C$3+1))*('Summary Page'!$C$3+1))*('Summary Page'!$C$3+1)</f>
        <v>16.329685549313357</v>
      </c>
      <c r="CB42" s="7">
        <f>((AVERAGE(BW37:BW42)*('Summary Page'!$C$4+1))*('Summary Page'!$C$4+1))*('Summary Page'!$C$4+1)</f>
        <v>14.447460674157302</v>
      </c>
      <c r="CC42" s="11">
        <f t="shared" si="30"/>
        <v>10.626716604244693</v>
      </c>
      <c r="CD42" s="11">
        <f t="shared" si="15"/>
        <v>11.116104868913858</v>
      </c>
      <c r="CE42" s="11">
        <f t="shared" si="16"/>
        <v>13.339325842696629</v>
      </c>
      <c r="CF42" s="11">
        <f t="shared" si="17"/>
        <v>15.225394004161462</v>
      </c>
      <c r="CG42" s="11">
        <f t="shared" si="18"/>
        <v>19.051299807532249</v>
      </c>
      <c r="CH42" s="11">
        <f t="shared" si="19"/>
        <v>16.855370786516851</v>
      </c>
    </row>
    <row r="43" spans="1:86" ht="15.75" x14ac:dyDescent="0.25">
      <c r="A43" s="10">
        <v>44230</v>
      </c>
      <c r="B43" s="7">
        <v>83</v>
      </c>
      <c r="C43" s="7">
        <v>67</v>
      </c>
      <c r="D43" s="7">
        <v>89</v>
      </c>
      <c r="E43" s="7">
        <v>54</v>
      </c>
      <c r="F43" s="7">
        <v>72</v>
      </c>
      <c r="G43" s="110">
        <v>43</v>
      </c>
      <c r="H43" s="7">
        <v>37</v>
      </c>
      <c r="I43" s="7">
        <v>56</v>
      </c>
      <c r="J43" s="7">
        <v>33</v>
      </c>
      <c r="K43" s="111">
        <v>42</v>
      </c>
      <c r="L43" s="7"/>
      <c r="M43" s="7"/>
      <c r="N43" s="7"/>
      <c r="O43" s="7"/>
      <c r="P43" s="7"/>
      <c r="Q43" s="7">
        <v>96</v>
      </c>
      <c r="R43" s="7">
        <v>56</v>
      </c>
      <c r="S43" s="7"/>
      <c r="T43" s="7">
        <v>252</v>
      </c>
      <c r="U43" s="7">
        <v>263</v>
      </c>
      <c r="V43" s="7"/>
      <c r="W43" s="7"/>
      <c r="X43" s="7"/>
      <c r="Y43" s="7"/>
      <c r="Z43" s="7"/>
      <c r="AA43" s="2">
        <f t="shared" si="2"/>
        <v>73</v>
      </c>
      <c r="AB43" s="2">
        <f t="shared" si="31"/>
        <v>42.2</v>
      </c>
      <c r="AC43" s="2">
        <f t="shared" si="32"/>
        <v>50.64</v>
      </c>
      <c r="AD43" s="7">
        <f>((AVERAGE(AA38:AA43)*('Summary Page'!$C$2+1))*('Summary Page'!$C$2+1))*('Summary Page'!$C$2+1)</f>
        <v>151.04270293333329</v>
      </c>
      <c r="AE43" s="7">
        <f>((AVERAGE(AA38:AA43)*('Summary Page'!$C$3+1))*('Summary Page'!$C$3+1))*('Summary Page'!$C$3+1)</f>
        <v>188.99739583333329</v>
      </c>
      <c r="AF43" s="7">
        <f>((AVERAGE(AA38:AA43)*('Summary Page'!$C$4+1))*('Summary Page'!$C$4+1))*('Summary Page'!$C$4+1)</f>
        <v>167.21279999999996</v>
      </c>
      <c r="AI43" s="7">
        <f t="shared" si="22"/>
        <v>51.6</v>
      </c>
      <c r="AJ43" s="7">
        <f>((AVERAGE(B38:B43)*('Summary Page'!$C$2+1))*('Summary Page'!$C$2+1))*('Summary Page'!$C$2+1)</f>
        <v>198.23379199999994</v>
      </c>
      <c r="AK43" s="7">
        <f>((AVERAGE(B38:B43)*('Summary Page'!$C$3+1))*('Summary Page'!$C$3+1))*('Summary Page'!$C$3+1)</f>
        <v>248.046875</v>
      </c>
      <c r="AL43" s="8">
        <f>((AVERAGE(B38:B43)*('Summary Page'!$C$4+1))*('Summary Page'!$C$4+1))*('Summary Page'!$C$4+1)</f>
        <v>219.45599999999999</v>
      </c>
      <c r="AO43" s="7">
        <f t="shared" si="23"/>
        <v>44.4</v>
      </c>
      <c r="AP43" s="7">
        <f>((AVERAGE(C38:C43)*('Summary Page'!$C$2+1))*('Summary Page'!$C$2+1))*('Summary Page'!$C$2+1)</f>
        <v>134.23705599999997</v>
      </c>
      <c r="AQ43" s="7">
        <f>((AVERAGE(C38:C43)*('Summary Page'!$C$3+1))*('Summary Page'!$C$3+1))*('Summary Page'!$C$3+1)</f>
        <v>167.96875</v>
      </c>
      <c r="AR43" s="8">
        <f>((AVERAGE(C38:C43)*('Summary Page'!$C$4+1))*('Summary Page'!$C$4+1))*('Summary Page'!$C$4+1)</f>
        <v>148.608</v>
      </c>
      <c r="AU43" s="7">
        <f t="shared" si="24"/>
        <v>67.2</v>
      </c>
      <c r="AV43" s="7">
        <f>((AVERAGE(D38:D43)*('Summary Page'!$C$2+1))*('Summary Page'!$C$2+1))*('Summary Page'!$C$2+1)</f>
        <v>175.08050133333333</v>
      </c>
      <c r="AW43" s="7">
        <f>((AVERAGE(D38:D43)*('Summary Page'!$C$3+1))*('Summary Page'!$C$3+1))*('Summary Page'!$C$3+1)</f>
        <v>219.07552083333337</v>
      </c>
      <c r="AX43" s="7">
        <f>((AVERAGE(D38:D43)*('Summary Page'!$C$4+1))*('Summary Page'!$C$4+1))*('Summary Page'!$C$4+1)</f>
        <v>193.82399999999998</v>
      </c>
      <c r="BA43" s="7">
        <f t="shared" si="25"/>
        <v>39.6</v>
      </c>
      <c r="BB43" s="7">
        <f>((AVERAGE(E38:E43)*('Summary Page'!$C$2+1))*('Summary Page'!$C$2+1))*('Summary Page'!$C$2+1)</f>
        <v>102.75898666666664</v>
      </c>
      <c r="BC43" s="7">
        <f>((AVERAGE(E38:E43)*('Summary Page'!$C$3+1))*('Summary Page'!$C$3+1))*('Summary Page'!$C$3+1)</f>
        <v>128.58072916666663</v>
      </c>
      <c r="BD43" s="8">
        <f>((AVERAGE(E38:E43)*('Summary Page'!$C$4+1))*('Summary Page'!$C$4+1))*('Summary Page'!$C$4+1)</f>
        <v>113.75999999999998</v>
      </c>
      <c r="BG43" s="7">
        <f t="shared" si="26"/>
        <v>50.4</v>
      </c>
      <c r="BH43" s="7">
        <f>((AVERAGE(F38:F43)*('Summary Page'!$C$2+1))*('Summary Page'!$C$2+1))*('Summary Page'!$C$2+1)</f>
        <v>144.90317866666663</v>
      </c>
      <c r="BI43" s="7">
        <f>((AVERAGE(F38:F43)*('Summary Page'!$C$3+1))*('Summary Page'!$C$3+1))*('Summary Page'!$C$3+1)</f>
        <v>181.31510416666663</v>
      </c>
      <c r="BJ43" s="8">
        <f>((AVERAGE(F38:F43)*('Summary Page'!$C$4+1))*('Summary Page'!$C$4+1))*('Summary Page'!$C$4+1)</f>
        <v>160.41599999999997</v>
      </c>
      <c r="BM43" s="7">
        <f t="shared" si="27"/>
        <v>67.2</v>
      </c>
      <c r="BN43" s="7">
        <f>((AVERAGE(Q38:Q43)*('Summary Page'!$C$2+1))*('Summary Page'!$C$2+1))*('Summary Page'!$C$2+1)</f>
        <v>163.89407999999997</v>
      </c>
      <c r="BO43" s="7">
        <f>((AVERAGE(Q38:Q43)*('Summary Page'!$C$3+1))*('Summary Page'!$C$3+1))*('Summary Page'!$C$3+1)</f>
        <v>205.078125</v>
      </c>
      <c r="BP43" s="8">
        <f>((AVERAGE(Q38:Q43)*('Summary Page'!$C$4+1))*('Summary Page'!$C$4+1))*('Summary Page'!$C$4+1)</f>
        <v>181.43999999999997</v>
      </c>
      <c r="BS43" s="7">
        <f t="shared" si="28"/>
        <v>315.59999999999997</v>
      </c>
      <c r="BT43" s="7">
        <f>((AVERAGE(T38:T43)*('Summary Page'!$C$2+1))*('Summary Page'!$C$2+1))*('Summary Page'!$C$2+1)</f>
        <v>449.01774933333326</v>
      </c>
      <c r="BU43" s="7">
        <f>((AVERAGE(T38:T43)*('Summary Page'!$C$3+1))*('Summary Page'!$C$3+1))*('Summary Page'!$C$3+1)</f>
        <v>561.84895833333348</v>
      </c>
      <c r="BV43" s="8">
        <f>((AVERAGE(T38:T43)*('Summary Page'!$C$4+1))*('Summary Page'!$C$4+1))*('Summary Page'!$C$4+1)</f>
        <v>497.08799999999991</v>
      </c>
      <c r="BW43" s="16">
        <f t="shared" si="20"/>
        <v>7.5505617977528088</v>
      </c>
      <c r="BX43" s="16">
        <f t="shared" si="21"/>
        <v>7.8801498127340839</v>
      </c>
      <c r="BY43" s="7">
        <f t="shared" si="29"/>
        <v>9.4561797752808996</v>
      </c>
      <c r="BZ43" s="7">
        <f>((AVERAGE(BW38:BW43)*('Summary Page'!$C$2+1))*('Summary Page'!$C$2+1))*('Summary Page'!$C$2+1)</f>
        <v>13.453715335830209</v>
      </c>
      <c r="CA43" s="7">
        <f>((AVERAGE(BW38:BW43)*('Summary Page'!$C$3+1))*('Summary Page'!$C$3+1))*('Summary Page'!$C$3+1)</f>
        <v>16.834425717852682</v>
      </c>
      <c r="CB43" s="7">
        <f>((AVERAGE(BW38:BW43)*('Summary Page'!$C$4+1))*('Summary Page'!$C$4+1))*('Summary Page'!$C$4+1)</f>
        <v>14.894022471910112</v>
      </c>
      <c r="CC43" s="11">
        <f t="shared" si="30"/>
        <v>8.808988764044944</v>
      </c>
      <c r="CD43" s="11">
        <f t="shared" si="15"/>
        <v>9.1935081148564315</v>
      </c>
      <c r="CE43" s="11">
        <f t="shared" si="16"/>
        <v>11.032209737827717</v>
      </c>
      <c r="CF43" s="11">
        <f t="shared" si="17"/>
        <v>15.696001225135245</v>
      </c>
      <c r="CG43" s="11">
        <f t="shared" si="18"/>
        <v>19.640163337494794</v>
      </c>
      <c r="CH43" s="11">
        <f t="shared" si="19"/>
        <v>17.376359550561798</v>
      </c>
    </row>
    <row r="44" spans="1:86" ht="15.75" x14ac:dyDescent="0.25">
      <c r="A44" s="10">
        <v>44292</v>
      </c>
      <c r="B44" s="7">
        <v>86</v>
      </c>
      <c r="C44" s="7">
        <v>63</v>
      </c>
      <c r="D44" s="7">
        <v>96</v>
      </c>
      <c r="E44" s="7">
        <v>57</v>
      </c>
      <c r="F44" s="7">
        <v>75</v>
      </c>
      <c r="H44" s="7">
        <v>49</v>
      </c>
      <c r="I44" s="7">
        <v>80</v>
      </c>
      <c r="J44" s="7">
        <v>48</v>
      </c>
      <c r="K44" s="111">
        <v>55</v>
      </c>
      <c r="L44" s="7"/>
      <c r="M44" s="7"/>
      <c r="N44" s="7"/>
      <c r="O44" s="7"/>
      <c r="P44" s="7"/>
      <c r="Q44" s="7">
        <v>100</v>
      </c>
      <c r="R44" s="7">
        <v>85</v>
      </c>
      <c r="S44" s="7"/>
      <c r="T44" s="7">
        <v>259</v>
      </c>
      <c r="U44" s="7">
        <v>267</v>
      </c>
      <c r="V44" s="7"/>
      <c r="W44" s="7"/>
      <c r="X44" s="7"/>
      <c r="Y44" s="7"/>
      <c r="Z44" s="7"/>
      <c r="AA44" s="2">
        <f t="shared" si="2"/>
        <v>75.400000000000006</v>
      </c>
      <c r="AB44" s="2">
        <f t="shared" si="31"/>
        <v>58</v>
      </c>
      <c r="AC44" s="2">
        <f t="shared" si="32"/>
        <v>69.599999999999994</v>
      </c>
      <c r="AD44" s="7">
        <f>((AVERAGE(AA39:AA44)*('Summary Page'!$C$2+1))*('Summary Page'!$C$2+1))*('Summary Page'!$C$2+1)</f>
        <v>148.59729919999998</v>
      </c>
      <c r="AE44" s="7">
        <f>((AVERAGE(AA39:AA44)*('Summary Page'!$C$3+1))*('Summary Page'!$C$3+1))*('Summary Page'!$C$3+1)</f>
        <v>185.9375</v>
      </c>
      <c r="AF44" s="7">
        <f>((AVERAGE(AA39:AA44)*('Summary Page'!$C$4+1))*('Summary Page'!$C$4+1))*('Summary Page'!$C$4+1)</f>
        <v>164.50559999999999</v>
      </c>
      <c r="AI44" s="7">
        <f t="shared" si="22"/>
        <v>0</v>
      </c>
      <c r="AJ44" s="7">
        <f>((AVERAGE(B39:B44)*('Summary Page'!$C$2+1))*('Summary Page'!$C$2+1))*('Summary Page'!$C$2+1)</f>
        <v>190.16916266666661</v>
      </c>
      <c r="AK44" s="7">
        <f>((AVERAGE(B39:B44)*('Summary Page'!$C$3+1))*('Summary Page'!$C$3+1))*('Summary Page'!$C$3+1)</f>
        <v>237.95572916666663</v>
      </c>
      <c r="AL44" s="8">
        <f>((AVERAGE(B39:B44)*('Summary Page'!$C$4+1))*('Summary Page'!$C$4+1))*('Summary Page'!$C$4+1)</f>
        <v>210.52799999999996</v>
      </c>
      <c r="AO44" s="7">
        <f t="shared" si="23"/>
        <v>58.8</v>
      </c>
      <c r="AP44" s="7">
        <f>((AVERAGE(C39:C44)*('Summary Page'!$C$2+1))*('Summary Page'!$C$2+1))*('Summary Page'!$C$2+1)</f>
        <v>131.11526399999997</v>
      </c>
      <c r="AQ44" s="7">
        <f>((AVERAGE(C39:C44)*('Summary Page'!$C$3+1))*('Summary Page'!$C$3+1))*('Summary Page'!$C$3+1)</f>
        <v>164.0625</v>
      </c>
      <c r="AR44" s="8">
        <f>((AVERAGE(C39:C44)*('Summary Page'!$C$4+1))*('Summary Page'!$C$4+1))*('Summary Page'!$C$4+1)</f>
        <v>145.15199999999999</v>
      </c>
      <c r="AU44" s="7">
        <f t="shared" si="24"/>
        <v>96</v>
      </c>
      <c r="AV44" s="7">
        <f>((AVERAGE(D39:D44)*('Summary Page'!$C$2+1))*('Summary Page'!$C$2+1))*('Summary Page'!$C$2+1)</f>
        <v>175.08050133333333</v>
      </c>
      <c r="AW44" s="7">
        <f>((AVERAGE(D39:D44)*('Summary Page'!$C$3+1))*('Summary Page'!$C$3+1))*('Summary Page'!$C$3+1)</f>
        <v>219.07552083333337</v>
      </c>
      <c r="AX44" s="7">
        <f>((AVERAGE(D39:D44)*('Summary Page'!$C$4+1))*('Summary Page'!$C$4+1))*('Summary Page'!$C$4+1)</f>
        <v>193.82399999999998</v>
      </c>
      <c r="BA44" s="7">
        <f t="shared" si="25"/>
        <v>57.599999999999994</v>
      </c>
      <c r="BB44" s="7">
        <f>((AVERAGE(E39:E44)*('Summary Page'!$C$2+1))*('Summary Page'!$C$2+1))*('Summary Page'!$C$2+1)</f>
        <v>102.75898666666664</v>
      </c>
      <c r="BC44" s="7">
        <f>((AVERAGE(E39:E44)*('Summary Page'!$C$3+1))*('Summary Page'!$C$3+1))*('Summary Page'!$C$3+1)</f>
        <v>128.58072916666663</v>
      </c>
      <c r="BD44" s="8">
        <f>((AVERAGE(E39:E44)*('Summary Page'!$C$4+1))*('Summary Page'!$C$4+1))*('Summary Page'!$C$4+1)</f>
        <v>113.75999999999998</v>
      </c>
      <c r="BG44" s="7">
        <f t="shared" si="26"/>
        <v>66</v>
      </c>
      <c r="BH44" s="7">
        <f>((AVERAGE(F39:F44)*('Summary Page'!$C$2+1))*('Summary Page'!$C$2+1))*('Summary Page'!$C$2+1)</f>
        <v>143.86258133333331</v>
      </c>
      <c r="BI44" s="7">
        <f>((AVERAGE(F39:F44)*('Summary Page'!$C$3+1))*('Summary Page'!$C$3+1))*('Summary Page'!$C$3+1)</f>
        <v>180.01302083333337</v>
      </c>
      <c r="BJ44" s="8">
        <f>((AVERAGE(F39:F44)*('Summary Page'!$C$4+1))*('Summary Page'!$C$4+1))*('Summary Page'!$C$4+1)</f>
        <v>159.26399999999998</v>
      </c>
      <c r="BM44" s="7">
        <f t="shared" si="27"/>
        <v>102</v>
      </c>
      <c r="BN44" s="7">
        <f>((AVERAGE(Q39:Q44)*('Summary Page'!$C$2+1))*('Summary Page'!$C$2+1))*('Summary Page'!$C$2+1)</f>
        <v>163.37378133333331</v>
      </c>
      <c r="BO44" s="7">
        <f>((AVERAGE(Q39:Q44)*('Summary Page'!$C$3+1))*('Summary Page'!$C$3+1))*('Summary Page'!$C$3+1)</f>
        <v>204.42708333333337</v>
      </c>
      <c r="BP44" s="8">
        <f>((AVERAGE(Q39:Q44)*('Summary Page'!$C$4+1))*('Summary Page'!$C$4+1))*('Summary Page'!$C$4+1)</f>
        <v>180.864</v>
      </c>
      <c r="BS44" s="7">
        <f t="shared" si="28"/>
        <v>320.39999999999998</v>
      </c>
      <c r="BT44" s="7">
        <f>((AVERAGE(T39:T44)*('Summary Page'!$C$2+1))*('Summary Page'!$C$2+1))*('Summary Page'!$C$2+1)</f>
        <v>447.97715199999988</v>
      </c>
      <c r="BU44" s="7">
        <f>((AVERAGE(T39:T44)*('Summary Page'!$C$3+1))*('Summary Page'!$C$3+1))*('Summary Page'!$C$3+1)</f>
        <v>560.546875</v>
      </c>
      <c r="BV44" s="8">
        <f>((AVERAGE(T39:T44)*('Summary Page'!$C$4+1))*('Summary Page'!$C$4+1))*('Summary Page'!$C$4+1)</f>
        <v>495.93599999999992</v>
      </c>
      <c r="BW44" s="16">
        <f t="shared" si="20"/>
        <v>7.7602996254681642</v>
      </c>
      <c r="BX44" s="16">
        <f t="shared" si="21"/>
        <v>8</v>
      </c>
      <c r="BY44" s="7">
        <f t="shared" si="29"/>
        <v>9.6</v>
      </c>
      <c r="BZ44" s="7">
        <f>((AVERAGE(BW39:BW44)*('Summary Page'!$C$2+1))*('Summary Page'!$C$2+1))*('Summary Page'!$C$2+1)</f>
        <v>13.422536389513105</v>
      </c>
      <c r="CA44" s="7">
        <f>((AVERAGE(BW39:BW44)*('Summary Page'!$C$3+1))*('Summary Page'!$C$3+1))*('Summary Page'!$C$3+1)</f>
        <v>16.795411985018728</v>
      </c>
      <c r="CB44" s="7">
        <f>((AVERAGE(BW39:BW44)*('Summary Page'!$C$4+1))*('Summary Page'!$C$4+1))*('Summary Page'!$C$4+1)</f>
        <v>14.859505617977526</v>
      </c>
      <c r="CC44" s="11">
        <f t="shared" si="30"/>
        <v>9.0536828963795255</v>
      </c>
      <c r="CD44" s="11">
        <f t="shared" si="15"/>
        <v>9.3333333333333339</v>
      </c>
      <c r="CE44" s="11">
        <f t="shared" si="16"/>
        <v>11.2</v>
      </c>
      <c r="CF44" s="11">
        <f t="shared" si="17"/>
        <v>15.65962578776529</v>
      </c>
      <c r="CG44" s="11">
        <f t="shared" si="18"/>
        <v>19.594647315855184</v>
      </c>
      <c r="CH44" s="11">
        <f t="shared" si="19"/>
        <v>17.336089887640448</v>
      </c>
    </row>
    <row r="45" spans="1:86" ht="15.75" x14ac:dyDescent="0.25">
      <c r="A45" s="10">
        <v>44363</v>
      </c>
      <c r="B45" s="7">
        <v>127</v>
      </c>
      <c r="C45" s="7">
        <v>64</v>
      </c>
      <c r="D45" s="7">
        <v>102</v>
      </c>
      <c r="E45" s="7">
        <v>63</v>
      </c>
      <c r="F45" s="7">
        <v>79</v>
      </c>
      <c r="G45" s="110">
        <v>157</v>
      </c>
      <c r="H45" s="7">
        <v>107</v>
      </c>
      <c r="I45" s="7">
        <v>143</v>
      </c>
      <c r="J45" s="7">
        <v>78</v>
      </c>
      <c r="K45" s="111">
        <v>115</v>
      </c>
      <c r="L45" s="7"/>
      <c r="M45" s="7"/>
      <c r="N45" s="7"/>
      <c r="O45" s="7"/>
      <c r="P45" s="7"/>
      <c r="Q45" s="7">
        <v>109</v>
      </c>
      <c r="R45" s="7">
        <v>129</v>
      </c>
      <c r="S45" s="7"/>
      <c r="T45" s="7">
        <v>272</v>
      </c>
      <c r="U45" s="7">
        <v>296</v>
      </c>
      <c r="V45" s="7"/>
      <c r="W45" s="7"/>
      <c r="X45" s="7"/>
      <c r="Y45" s="7"/>
      <c r="Z45" s="7"/>
      <c r="AA45" s="2">
        <f t="shared" si="2"/>
        <v>87</v>
      </c>
      <c r="AB45" s="2">
        <f t="shared" si="31"/>
        <v>120</v>
      </c>
      <c r="AC45" s="2">
        <f t="shared" si="32"/>
        <v>144</v>
      </c>
      <c r="AD45" s="7">
        <f>((AVERAGE(AA40:AA45)*('Summary Page'!$C$2+1))*('Summary Page'!$C$2+1))*('Summary Page'!$C$2+1)</f>
        <v>140.6367296</v>
      </c>
      <c r="AE45" s="7">
        <f>((AVERAGE(AA40:AA45)*('Summary Page'!$C$3+1))*('Summary Page'!$C$3+1))*('Summary Page'!$C$3+1)</f>
        <v>175.97656250000003</v>
      </c>
      <c r="AF45" s="7">
        <f>((AVERAGE(AA40:AA45)*('Summary Page'!$C$4+1))*('Summary Page'!$C$4+1))*('Summary Page'!$C$4+1)</f>
        <v>155.69280000000001</v>
      </c>
      <c r="AI45" s="7">
        <f t="shared" si="22"/>
        <v>188.4</v>
      </c>
      <c r="AJ45" s="7">
        <f>((AVERAGE(B40:B45)*('Summary Page'!$C$2+1))*('Summary Page'!$C$2+1))*('Summary Page'!$C$2+1)</f>
        <v>183.14513066666663</v>
      </c>
      <c r="AK45" s="7">
        <f>((AVERAGE(B40:B45)*('Summary Page'!$C$3+1))*('Summary Page'!$C$3+1))*('Summary Page'!$C$3+1)</f>
        <v>229.16666666666663</v>
      </c>
      <c r="AL45" s="8">
        <f>((AVERAGE(B40:B45)*('Summary Page'!$C$4+1))*('Summary Page'!$C$4+1))*('Summary Page'!$C$4+1)</f>
        <v>202.75199999999998</v>
      </c>
      <c r="AO45" s="7">
        <f t="shared" si="23"/>
        <v>128.4</v>
      </c>
      <c r="AP45" s="7">
        <f>((AVERAGE(C40:C45)*('Summary Page'!$C$2+1))*('Summary Page'!$C$2+1))*('Summary Page'!$C$2+1)</f>
        <v>120.18899199999997</v>
      </c>
      <c r="AQ45" s="7">
        <f>((AVERAGE(C40:C45)*('Summary Page'!$C$3+1))*('Summary Page'!$C$3+1))*('Summary Page'!$C$3+1)</f>
        <v>150.390625</v>
      </c>
      <c r="AR45" s="8">
        <f>((AVERAGE(C40:C45)*('Summary Page'!$C$4+1))*('Summary Page'!$C$4+1))*('Summary Page'!$C$4+1)</f>
        <v>133.05599999999998</v>
      </c>
      <c r="AU45" s="7">
        <f t="shared" si="24"/>
        <v>171.6</v>
      </c>
      <c r="AV45" s="7">
        <f>((AVERAGE(D40:D45)*('Summary Page'!$C$2+1))*('Summary Page'!$C$2+1))*('Summary Page'!$C$2+1)</f>
        <v>165.97527466666662</v>
      </c>
      <c r="AW45" s="7">
        <f>((AVERAGE(D40:D45)*('Summary Page'!$C$3+1))*('Summary Page'!$C$3+1))*('Summary Page'!$C$3+1)</f>
        <v>207.68229166666663</v>
      </c>
      <c r="AX45" s="7">
        <f>((AVERAGE(D40:D45)*('Summary Page'!$C$4+1))*('Summary Page'!$C$4+1))*('Summary Page'!$C$4+1)</f>
        <v>183.74399999999997</v>
      </c>
      <c r="BA45" s="7">
        <f t="shared" si="25"/>
        <v>93.6</v>
      </c>
      <c r="BB45" s="7">
        <f>((AVERAGE(E40:E45)*('Summary Page'!$C$2+1))*('Summary Page'!$C$2+1))*('Summary Page'!$C$2+1)</f>
        <v>98.596597333333307</v>
      </c>
      <c r="BC45" s="7">
        <f>((AVERAGE(E40:E45)*('Summary Page'!$C$3+1))*('Summary Page'!$C$3+1))*('Summary Page'!$C$3+1)</f>
        <v>123.37239583333331</v>
      </c>
      <c r="BD45" s="8">
        <f>((AVERAGE(E40:E45)*('Summary Page'!$C$4+1))*('Summary Page'!$C$4+1))*('Summary Page'!$C$4+1)</f>
        <v>109.15199999999999</v>
      </c>
      <c r="BG45" s="7">
        <f t="shared" si="26"/>
        <v>138</v>
      </c>
      <c r="BH45" s="7">
        <f>((AVERAGE(F40:F45)*('Summary Page'!$C$2+1))*('Summary Page'!$C$2+1))*('Summary Page'!$C$2+1)</f>
        <v>135.27765333333332</v>
      </c>
      <c r="BI45" s="7">
        <f>((AVERAGE(F40:F45)*('Summary Page'!$C$3+1))*('Summary Page'!$C$3+1))*('Summary Page'!$C$3+1)</f>
        <v>169.27083333333337</v>
      </c>
      <c r="BJ45" s="8">
        <f>((AVERAGE(F40:F45)*('Summary Page'!$C$4+1))*('Summary Page'!$C$4+1))*('Summary Page'!$C$4+1)</f>
        <v>149.76</v>
      </c>
      <c r="BM45" s="7">
        <f t="shared" si="27"/>
        <v>154.79999999999998</v>
      </c>
      <c r="BN45" s="7">
        <f>((AVERAGE(Q40:Q45)*('Summary Page'!$C$2+1))*('Summary Page'!$C$2+1))*('Summary Page'!$C$2+1)</f>
        <v>158.17079466666661</v>
      </c>
      <c r="BO45" s="7">
        <f>((AVERAGE(Q40:Q45)*('Summary Page'!$C$3+1))*('Summary Page'!$C$3+1))*('Summary Page'!$C$3+1)</f>
        <v>197.91666666666663</v>
      </c>
      <c r="BP45" s="8">
        <f>((AVERAGE(Q40:Q45)*('Summary Page'!$C$4+1))*('Summary Page'!$C$4+1))*('Summary Page'!$C$4+1)</f>
        <v>175.10399999999998</v>
      </c>
      <c r="BS45" s="7">
        <f t="shared" si="28"/>
        <v>355.2</v>
      </c>
      <c r="BT45" s="7">
        <f>((AVERAGE(T40:T45)*('Summary Page'!$C$2+1))*('Summary Page'!$C$2+1))*('Summary Page'!$C$2+1)</f>
        <v>441.73356799999988</v>
      </c>
      <c r="BU45" s="7">
        <f>((AVERAGE(T40:T45)*('Summary Page'!$C$3+1))*('Summary Page'!$C$3+1))*('Summary Page'!$C$3+1)</f>
        <v>552.734375</v>
      </c>
      <c r="BV45" s="8">
        <f>((AVERAGE(T40:T45)*('Summary Page'!$C$4+1))*('Summary Page'!$C$4+1))*('Summary Page'!$C$4+1)</f>
        <v>489.02399999999989</v>
      </c>
      <c r="BW45" s="16">
        <f t="shared" si="20"/>
        <v>8.1498127340823974</v>
      </c>
      <c r="BX45" s="16">
        <f t="shared" si="21"/>
        <v>8.868913857677903</v>
      </c>
      <c r="BY45" s="7">
        <f t="shared" si="29"/>
        <v>10.642696629213484</v>
      </c>
      <c r="BZ45" s="7">
        <f>((AVERAGE(BW40:BW45)*('Summary Page'!$C$2+1))*('Summary Page'!$C$2+1))*('Summary Page'!$C$2+1)</f>
        <v>13.235462711610484</v>
      </c>
      <c r="CA45" s="7">
        <f>((AVERAGE(BW40:BW45)*('Summary Page'!$C$3+1))*('Summary Page'!$C$3+1))*('Summary Page'!$C$3+1)</f>
        <v>16.561329588014981</v>
      </c>
      <c r="CB45" s="7">
        <f>((AVERAGE(BW40:BW45)*('Summary Page'!$C$4+1))*('Summary Page'!$C$4+1))*('Summary Page'!$C$4+1)</f>
        <v>14.652404494382019</v>
      </c>
      <c r="CC45" s="11">
        <f t="shared" si="30"/>
        <v>9.5081148564294633</v>
      </c>
      <c r="CD45" s="11">
        <f t="shared" si="15"/>
        <v>10.347066167290887</v>
      </c>
      <c r="CE45" s="11">
        <f t="shared" si="16"/>
        <v>12.416479400749065</v>
      </c>
      <c r="CF45" s="11">
        <f t="shared" si="17"/>
        <v>15.441373163545565</v>
      </c>
      <c r="CG45" s="11">
        <f t="shared" si="18"/>
        <v>19.32155118601748</v>
      </c>
      <c r="CH45" s="11">
        <f t="shared" si="19"/>
        <v>17.094471910112354</v>
      </c>
    </row>
    <row r="46" spans="1:86" ht="15.75" x14ac:dyDescent="0.25">
      <c r="A46" s="10">
        <v>44419</v>
      </c>
      <c r="B46" s="7">
        <v>91</v>
      </c>
      <c r="C46" s="7">
        <v>88</v>
      </c>
      <c r="D46" s="7">
        <v>110</v>
      </c>
      <c r="E46" s="7">
        <v>73</v>
      </c>
      <c r="F46" s="7">
        <v>99</v>
      </c>
      <c r="G46" s="110">
        <v>61</v>
      </c>
      <c r="H46" s="7">
        <v>67</v>
      </c>
      <c r="I46" s="7">
        <v>80</v>
      </c>
      <c r="J46" s="7">
        <v>53</v>
      </c>
      <c r="K46" s="111">
        <v>78</v>
      </c>
      <c r="L46" s="7"/>
      <c r="M46" s="7"/>
      <c r="N46" s="7"/>
      <c r="O46" s="7"/>
      <c r="P46" s="7"/>
      <c r="Q46" s="7">
        <v>98</v>
      </c>
      <c r="R46" s="7">
        <v>66</v>
      </c>
      <c r="S46" s="7"/>
      <c r="T46" s="7">
        <v>351</v>
      </c>
      <c r="U46" s="7">
        <v>354</v>
      </c>
      <c r="V46" s="7"/>
      <c r="W46" s="7"/>
      <c r="X46" s="7"/>
      <c r="Y46" s="7"/>
      <c r="Z46" s="7"/>
      <c r="AA46" s="2">
        <f t="shared" si="2"/>
        <v>92.2</v>
      </c>
      <c r="AB46" s="2">
        <f t="shared" si="31"/>
        <v>67.8</v>
      </c>
      <c r="AC46" s="2">
        <f t="shared" si="32"/>
        <v>81.36</v>
      </c>
      <c r="AD46" s="7">
        <f>((AVERAGE(AA41:AA46)*('Summary Page'!$C$2+1))*('Summary Page'!$C$2+1))*('Summary Page'!$C$2+1)</f>
        <v>136.00607146666664</v>
      </c>
      <c r="AE46" s="7">
        <f>((AVERAGE(AA41:AA46)*('Summary Page'!$C$3+1))*('Summary Page'!$C$3+1))*('Summary Page'!$C$3+1)</f>
        <v>170.18229166666669</v>
      </c>
      <c r="AF46" s="7">
        <f>((AVERAGE(AA41:AA46)*('Summary Page'!$C$4+1))*('Summary Page'!$C$4+1))*('Summary Page'!$C$4+1)</f>
        <v>150.56639999999999</v>
      </c>
      <c r="AI46" s="7">
        <f t="shared" si="22"/>
        <v>73.2</v>
      </c>
      <c r="AJ46" s="7">
        <f>((AVERAGE(B41:B46)*('Summary Page'!$C$2+1))*('Summary Page'!$C$2+1))*('Summary Page'!$C$2+1)</f>
        <v>170.39781333333329</v>
      </c>
      <c r="AK46" s="7">
        <f>((AVERAGE(B41:B46)*('Summary Page'!$C$3+1))*('Summary Page'!$C$3+1))*('Summary Page'!$C$3+1)</f>
        <v>213.21614583333337</v>
      </c>
      <c r="AL46" s="8">
        <f>((AVERAGE(B41:B46)*('Summary Page'!$C$4+1))*('Summary Page'!$C$4+1))*('Summary Page'!$C$4+1)</f>
        <v>188.64</v>
      </c>
      <c r="AO46" s="7">
        <f t="shared" si="23"/>
        <v>80.399999999999991</v>
      </c>
      <c r="AP46" s="7">
        <f>((AVERAGE(C41:C46)*('Summary Page'!$C$2+1))*('Summary Page'!$C$2+1))*('Summary Page'!$C$2+1)</f>
        <v>117.3273493333333</v>
      </c>
      <c r="AQ46" s="7">
        <f>((AVERAGE(C41:C46)*('Summary Page'!$C$3+1))*('Summary Page'!$C$3+1))*('Summary Page'!$C$3+1)</f>
        <v>146.80989583333337</v>
      </c>
      <c r="AR46" s="8">
        <f>((AVERAGE(C41:C46)*('Summary Page'!$C$4+1))*('Summary Page'!$C$4+1))*('Summary Page'!$C$4+1)</f>
        <v>129.88799999999998</v>
      </c>
      <c r="AU46" s="7">
        <f t="shared" si="24"/>
        <v>96</v>
      </c>
      <c r="AV46" s="7">
        <f>((AVERAGE(D41:D46)*('Summary Page'!$C$2+1))*('Summary Page'!$C$2+1))*('Summary Page'!$C$2+1)</f>
        <v>161.03243733333332</v>
      </c>
      <c r="AW46" s="7">
        <f>((AVERAGE(D41:D46)*('Summary Page'!$C$3+1))*('Summary Page'!$C$3+1))*('Summary Page'!$C$3+1)</f>
        <v>201.49739583333337</v>
      </c>
      <c r="AX46" s="7">
        <f>((AVERAGE(D41:D46)*('Summary Page'!$C$4+1))*('Summary Page'!$C$4+1))*('Summary Page'!$C$4+1)</f>
        <v>178.27199999999999</v>
      </c>
      <c r="BA46" s="7">
        <f t="shared" si="25"/>
        <v>63.599999999999994</v>
      </c>
      <c r="BB46" s="7">
        <f>((AVERAGE(E41:E46)*('Summary Page'!$C$2+1))*('Summary Page'!$C$2+1))*('Summary Page'!$C$2+1)</f>
        <v>98.336447999999976</v>
      </c>
      <c r="BC46" s="7">
        <f>((AVERAGE(E41:E46)*('Summary Page'!$C$3+1))*('Summary Page'!$C$3+1))*('Summary Page'!$C$3+1)</f>
        <v>123.046875</v>
      </c>
      <c r="BD46" s="8">
        <f>((AVERAGE(E41:E46)*('Summary Page'!$C$4+1))*('Summary Page'!$C$4+1))*('Summary Page'!$C$4+1)</f>
        <v>108.86399999999998</v>
      </c>
      <c r="BG46" s="7">
        <f t="shared" si="26"/>
        <v>93.6</v>
      </c>
      <c r="BH46" s="7">
        <f>((AVERAGE(F41:F46)*('Summary Page'!$C$2+1))*('Summary Page'!$C$2+1))*('Summary Page'!$C$2+1)</f>
        <v>132.9363093333333</v>
      </c>
      <c r="BI46" s="7">
        <f>((AVERAGE(F41:F46)*('Summary Page'!$C$3+1))*('Summary Page'!$C$3+1))*('Summary Page'!$C$3+1)</f>
        <v>166.34114583333337</v>
      </c>
      <c r="BJ46" s="8">
        <f>((AVERAGE(F41:F46)*('Summary Page'!$C$4+1))*('Summary Page'!$C$4+1))*('Summary Page'!$C$4+1)</f>
        <v>147.16800000000001</v>
      </c>
      <c r="BM46" s="7">
        <f t="shared" si="27"/>
        <v>79.2</v>
      </c>
      <c r="BN46" s="7">
        <f>((AVERAGE(Q41:Q46)*('Summary Page'!$C$2+1))*('Summary Page'!$C$2+1))*('Summary Page'!$C$2+1)</f>
        <v>152.70765866666662</v>
      </c>
      <c r="BO46" s="7">
        <f>((AVERAGE(Q41:Q46)*('Summary Page'!$C$3+1))*('Summary Page'!$C$3+1))*('Summary Page'!$C$3+1)</f>
        <v>191.08072916666663</v>
      </c>
      <c r="BP46" s="8">
        <f>((AVERAGE(Q41:Q46)*('Summary Page'!$C$4+1))*('Summary Page'!$C$4+1))*('Summary Page'!$C$4+1)</f>
        <v>169.05599999999998</v>
      </c>
      <c r="BS46" s="7">
        <f t="shared" si="28"/>
        <v>424.8</v>
      </c>
      <c r="BT46" s="7">
        <f>((AVERAGE(T41:T46)*('Summary Page'!$C$2+1))*('Summary Page'!$C$2+1))*('Summary Page'!$C$2+1)</f>
        <v>460.98461866666656</v>
      </c>
      <c r="BU46" s="7">
        <f>((AVERAGE(T41:T46)*('Summary Page'!$C$3+1))*('Summary Page'!$C$3+1))*('Summary Page'!$C$3+1)</f>
        <v>576.82291666666652</v>
      </c>
      <c r="BV46" s="8">
        <f>((AVERAGE(T41:T46)*('Summary Page'!$C$4+1))*('Summary Page'!$C$4+1))*('Summary Page'!$C$4+1)</f>
        <v>510.33599999999996</v>
      </c>
      <c r="BW46" s="16">
        <f t="shared" si="20"/>
        <v>10.516853932584269</v>
      </c>
      <c r="BX46" s="16">
        <f t="shared" si="21"/>
        <v>10.606741573033709</v>
      </c>
      <c r="BY46" s="7">
        <f t="shared" si="29"/>
        <v>12.728089887640451</v>
      </c>
      <c r="BZ46" s="7">
        <f>((AVERAGE(BW41:BW46)*('Summary Page'!$C$2+1))*('Summary Page'!$C$2+1))*('Summary Page'!$C$2+1)</f>
        <v>13.812273218476902</v>
      </c>
      <c r="CA46" s="7">
        <f>((AVERAGE(BW41:BW46)*('Summary Page'!$C$3+1))*('Summary Page'!$C$3+1))*('Summary Page'!$C$3+1)</f>
        <v>17.283083645443199</v>
      </c>
      <c r="CB46" s="7">
        <f>((AVERAGE(BW41:BW46)*('Summary Page'!$C$4+1))*('Summary Page'!$C$4+1))*('Summary Page'!$C$4+1)</f>
        <v>15.290966292134829</v>
      </c>
      <c r="CC46" s="11">
        <f t="shared" si="30"/>
        <v>12.269662921348313</v>
      </c>
      <c r="CD46" s="11">
        <f t="shared" si="15"/>
        <v>12.374531835205994</v>
      </c>
      <c r="CE46" s="11">
        <f t="shared" si="16"/>
        <v>14.849438202247192</v>
      </c>
      <c r="CF46" s="11">
        <f t="shared" si="17"/>
        <v>16.11431875488972</v>
      </c>
      <c r="CG46" s="11">
        <f t="shared" si="18"/>
        <v>20.163597586350399</v>
      </c>
      <c r="CH46" s="11">
        <f t="shared" si="19"/>
        <v>17.839460674157301</v>
      </c>
    </row>
    <row r="47" spans="1:86" ht="15.75" x14ac:dyDescent="0.25">
      <c r="A47" s="10">
        <v>44447</v>
      </c>
      <c r="B47" s="7">
        <v>62</v>
      </c>
      <c r="C47" s="7">
        <v>92</v>
      </c>
      <c r="D47" s="7">
        <v>56</v>
      </c>
      <c r="E47" s="7">
        <v>65</v>
      </c>
      <c r="F47" s="7">
        <v>102</v>
      </c>
      <c r="G47" s="110">
        <v>40</v>
      </c>
      <c r="H47" s="7">
        <v>54</v>
      </c>
      <c r="I47" s="7">
        <v>36</v>
      </c>
      <c r="J47" s="7">
        <v>42</v>
      </c>
      <c r="K47" s="111">
        <v>58</v>
      </c>
      <c r="L47" s="7"/>
      <c r="M47" s="7"/>
      <c r="N47" s="7"/>
      <c r="O47" s="7"/>
      <c r="P47" s="7"/>
      <c r="Q47" s="7">
        <v>107</v>
      </c>
      <c r="R47" s="7">
        <v>64</v>
      </c>
      <c r="S47" s="7"/>
      <c r="T47" s="7">
        <v>296</v>
      </c>
      <c r="U47" s="7">
        <v>317</v>
      </c>
      <c r="V47" s="7"/>
      <c r="W47" s="7"/>
      <c r="X47" s="7"/>
      <c r="Y47" s="7"/>
      <c r="Z47" s="7"/>
      <c r="AA47" s="2">
        <f t="shared" si="2"/>
        <v>75.400000000000006</v>
      </c>
      <c r="AB47" s="2">
        <f t="shared" si="31"/>
        <v>46</v>
      </c>
      <c r="AC47" s="2">
        <f t="shared" si="32"/>
        <v>55.199999999999996</v>
      </c>
      <c r="AD47" s="7">
        <f>((AVERAGE(AA42:AA47)*('Summary Page'!$C$2+1))*('Summary Page'!$C$2+1))*('Summary Page'!$C$2+1)</f>
        <v>127.78535253333332</v>
      </c>
      <c r="AE47" s="7">
        <f>((AVERAGE(AA42:AA47)*('Summary Page'!$C$3+1))*('Summary Page'!$C$3+1))*('Summary Page'!$C$3+1)</f>
        <v>159.89583333333337</v>
      </c>
      <c r="AF47" s="7">
        <f>((AVERAGE(AA42:AA47)*('Summary Page'!$C$4+1))*('Summary Page'!$C$4+1))*('Summary Page'!$C$4+1)</f>
        <v>141.46559999999999</v>
      </c>
      <c r="AI47" s="7">
        <f t="shared" si="22"/>
        <v>48</v>
      </c>
      <c r="AJ47" s="7">
        <f>((AVERAGE(B42:B47)*('Summary Page'!$C$2+1))*('Summary Page'!$C$2+1))*('Summary Page'!$C$2+1)</f>
        <v>151.14676266666663</v>
      </c>
      <c r="AK47" s="7">
        <f>((AVERAGE(B42:B47)*('Summary Page'!$C$3+1))*('Summary Page'!$C$3+1))*('Summary Page'!$C$3+1)</f>
        <v>189.12760416666663</v>
      </c>
      <c r="AL47" s="8">
        <f>((AVERAGE(B42:B47)*('Summary Page'!$C$4+1))*('Summary Page'!$C$4+1))*('Summary Page'!$C$4+1)</f>
        <v>167.32799999999995</v>
      </c>
      <c r="AO47" s="7">
        <f t="shared" si="23"/>
        <v>64.8</v>
      </c>
      <c r="AP47" s="7">
        <f>((AVERAGE(C42:C47)*('Summary Page'!$C$2+1))*('Summary Page'!$C$2+1))*('Summary Page'!$C$2+1)</f>
        <v>117.06719999999997</v>
      </c>
      <c r="AQ47" s="7">
        <f>((AVERAGE(C42:C47)*('Summary Page'!$C$3+1))*('Summary Page'!$C$3+1))*('Summary Page'!$C$3+1)</f>
        <v>146.484375</v>
      </c>
      <c r="AR47" s="8">
        <f>((AVERAGE(C42:C47)*('Summary Page'!$C$4+1))*('Summary Page'!$C$4+1))*('Summary Page'!$C$4+1)</f>
        <v>129.6</v>
      </c>
      <c r="AU47" s="7">
        <f t="shared" si="24"/>
        <v>43.199999999999996</v>
      </c>
      <c r="AV47" s="7">
        <f>((AVERAGE(D42:D47)*('Summary Page'!$C$2+1))*('Summary Page'!$C$2+1))*('Summary Page'!$C$2+1)</f>
        <v>142.82198399999996</v>
      </c>
      <c r="AW47" s="7">
        <f>((AVERAGE(D42:D47)*('Summary Page'!$C$3+1))*('Summary Page'!$C$3+1))*('Summary Page'!$C$3+1)</f>
        <v>178.7109375</v>
      </c>
      <c r="AX47" s="7">
        <f>((AVERAGE(D42:D47)*('Summary Page'!$C$4+1))*('Summary Page'!$C$4+1))*('Summary Page'!$C$4+1)</f>
        <v>158.11199999999999</v>
      </c>
      <c r="BA47" s="7">
        <f t="shared" si="25"/>
        <v>50.4</v>
      </c>
      <c r="BB47" s="7">
        <f>((AVERAGE(E42:E47)*('Summary Page'!$C$2+1))*('Summary Page'!$C$2+1))*('Summary Page'!$C$2+1)</f>
        <v>96.255253333333314</v>
      </c>
      <c r="BC47" s="7">
        <f>((AVERAGE(E42:E47)*('Summary Page'!$C$3+1))*('Summary Page'!$C$3+1))*('Summary Page'!$C$3+1)</f>
        <v>120.44270833333331</v>
      </c>
      <c r="BD47" s="8">
        <f>((AVERAGE(E42:E47)*('Summary Page'!$C$4+1))*('Summary Page'!$C$4+1))*('Summary Page'!$C$4+1)</f>
        <v>106.55999999999999</v>
      </c>
      <c r="BG47" s="7">
        <f t="shared" si="26"/>
        <v>69.599999999999994</v>
      </c>
      <c r="BH47" s="7">
        <f>((AVERAGE(F42:F47)*('Summary Page'!$C$2+1))*('Summary Page'!$C$2+1))*('Summary Page'!$C$2+1)</f>
        <v>131.63556266666663</v>
      </c>
      <c r="BI47" s="7">
        <f>((AVERAGE(F42:F47)*('Summary Page'!$C$3+1))*('Summary Page'!$C$3+1))*('Summary Page'!$C$3+1)</f>
        <v>164.71354166666663</v>
      </c>
      <c r="BJ47" s="8">
        <f>((AVERAGE(F42:F47)*('Summary Page'!$C$4+1))*('Summary Page'!$C$4+1))*('Summary Page'!$C$4+1)</f>
        <v>145.72799999999998</v>
      </c>
      <c r="BM47" s="7">
        <f t="shared" si="27"/>
        <v>76.8</v>
      </c>
      <c r="BN47" s="7">
        <f>((AVERAGE(Q42:Q47)*('Summary Page'!$C$2+1))*('Summary Page'!$C$2+1))*('Summary Page'!$C$2+1)</f>
        <v>155.5693013333333</v>
      </c>
      <c r="BO47" s="7">
        <f>((AVERAGE(Q42:Q47)*('Summary Page'!$C$3+1))*('Summary Page'!$C$3+1))*('Summary Page'!$C$3+1)</f>
        <v>194.66145833333337</v>
      </c>
      <c r="BP47" s="8">
        <f>((AVERAGE(Q42:Q47)*('Summary Page'!$C$4+1))*('Summary Page'!$C$4+1))*('Summary Page'!$C$4+1)</f>
        <v>172.22399999999996</v>
      </c>
      <c r="BS47" s="7">
        <f t="shared" si="28"/>
        <v>380.4</v>
      </c>
      <c r="BT47" s="7">
        <f>((AVERAGE(T42:T47)*('Summary Page'!$C$2+1))*('Summary Page'!$C$2+1))*('Summary Page'!$C$2+1)</f>
        <v>451.0989439999999</v>
      </c>
      <c r="BU47" s="7">
        <f>((AVERAGE(T42:T47)*('Summary Page'!$C$3+1))*('Summary Page'!$C$3+1))*('Summary Page'!$C$3+1)</f>
        <v>564.453125</v>
      </c>
      <c r="BV47" s="8">
        <f>((AVERAGE(T42:T47)*('Summary Page'!$C$4+1))*('Summary Page'!$C$4+1))*('Summary Page'!$C$4+1)</f>
        <v>499.392</v>
      </c>
      <c r="BW47" s="16">
        <f t="shared" si="20"/>
        <v>8.868913857677903</v>
      </c>
      <c r="BX47" s="16">
        <f t="shared" si="21"/>
        <v>9.4981273408239701</v>
      </c>
      <c r="BY47" s="7">
        <f t="shared" si="29"/>
        <v>11.397752808988765</v>
      </c>
      <c r="BZ47" s="7">
        <f>((AVERAGE(BW42:BW47)*('Summary Page'!$C$2+1))*('Summary Page'!$C$2+1))*('Summary Page'!$C$2+1)</f>
        <v>13.516073228464416</v>
      </c>
      <c r="CA47" s="7">
        <f>((AVERAGE(BW42:BW47)*('Summary Page'!$C$3+1))*('Summary Page'!$C$3+1))*('Summary Page'!$C$3+1)</f>
        <v>16.912453183520597</v>
      </c>
      <c r="CB47" s="7">
        <f>((AVERAGE(BW42:BW47)*('Summary Page'!$C$4+1))*('Summary Page'!$C$4+1))*('Summary Page'!$C$4+1)</f>
        <v>14.963056179775277</v>
      </c>
      <c r="CC47" s="11">
        <f t="shared" si="30"/>
        <v>10.347066167290887</v>
      </c>
      <c r="CD47" s="11">
        <f t="shared" si="15"/>
        <v>11.081148564294631</v>
      </c>
      <c r="CE47" s="11">
        <f t="shared" si="16"/>
        <v>13.297378277153559</v>
      </c>
      <c r="CF47" s="11">
        <f t="shared" si="17"/>
        <v>15.768752099875151</v>
      </c>
      <c r="CG47" s="11">
        <f t="shared" si="18"/>
        <v>19.731195380774029</v>
      </c>
      <c r="CH47" s="11">
        <f t="shared" si="19"/>
        <v>17.456898876404491</v>
      </c>
    </row>
    <row r="48" spans="1:86" ht="15.75" x14ac:dyDescent="0.25">
      <c r="A48" s="10">
        <v>44475</v>
      </c>
      <c r="B48" s="7">
        <v>71</v>
      </c>
      <c r="C48" s="7">
        <v>92</v>
      </c>
      <c r="D48" s="7">
        <v>49</v>
      </c>
      <c r="E48" s="7">
        <v>71</v>
      </c>
      <c r="F48" s="7">
        <v>106</v>
      </c>
      <c r="G48" s="99">
        <v>40</v>
      </c>
      <c r="H48" s="7">
        <v>64</v>
      </c>
      <c r="I48" s="7">
        <v>35</v>
      </c>
      <c r="J48" s="7">
        <v>51</v>
      </c>
      <c r="K48" s="94">
        <v>77</v>
      </c>
      <c r="L48" s="40"/>
      <c r="M48" s="40"/>
      <c r="N48" s="40"/>
      <c r="O48" s="40"/>
      <c r="P48" s="40"/>
      <c r="Q48" s="7">
        <v>117</v>
      </c>
      <c r="R48" s="7">
        <v>77</v>
      </c>
      <c r="S48" s="7"/>
      <c r="T48" s="7">
        <v>333</v>
      </c>
      <c r="U48" s="7">
        <v>224</v>
      </c>
      <c r="V48" s="7"/>
      <c r="W48" s="7"/>
      <c r="X48" s="7"/>
      <c r="Y48" s="7"/>
      <c r="Z48" s="7"/>
      <c r="AA48" s="2">
        <f t="shared" si="2"/>
        <v>77.8</v>
      </c>
      <c r="AB48" s="2">
        <f t="shared" si="31"/>
        <v>53.4</v>
      </c>
      <c r="AC48" s="2">
        <f t="shared" si="32"/>
        <v>64.08</v>
      </c>
      <c r="AD48" s="7">
        <f>((AVERAGE(AA43:AA48)*('Summary Page'!$C$2+1))*('Summary Page'!$C$2+1))*('Summary Page'!$C$2+1)</f>
        <v>125.07979946666664</v>
      </c>
      <c r="AE48" s="7">
        <f>((AVERAGE(AA43:AA48)*('Summary Page'!$C$3+1))*('Summary Page'!$C$3+1))*('Summary Page'!$C$3+1)</f>
        <v>156.51041666666669</v>
      </c>
      <c r="AF48" s="7">
        <f>((AVERAGE(AA43:AA48)*('Summary Page'!$C$4+1))*('Summary Page'!$C$4+1))*('Summary Page'!$C$4+1)</f>
        <v>138.47040000000001</v>
      </c>
      <c r="AI48" s="7">
        <f t="shared" si="22"/>
        <v>48</v>
      </c>
      <c r="AJ48" s="7">
        <f>((AVERAGE(B43:B48)*('Summary Page'!$C$2+1))*('Summary Page'!$C$2+1))*('Summary Page'!$C$2+1)</f>
        <v>135.27765333333332</v>
      </c>
      <c r="AK48" s="7">
        <f>((AVERAGE(B43:B48)*('Summary Page'!$C$3+1))*('Summary Page'!$C$3+1))*('Summary Page'!$C$3+1)</f>
        <v>169.27083333333337</v>
      </c>
      <c r="AL48" s="8">
        <f>((AVERAGE(B43:B48)*('Summary Page'!$C$4+1))*('Summary Page'!$C$4+1))*('Summary Page'!$C$4+1)</f>
        <v>149.76</v>
      </c>
      <c r="AO48" s="7">
        <f t="shared" si="23"/>
        <v>76.8</v>
      </c>
      <c r="AP48" s="7">
        <f>((AVERAGE(C43:C48)*('Summary Page'!$C$2+1))*('Summary Page'!$C$2+1))*('Summary Page'!$C$2+1)</f>
        <v>121.22958933333331</v>
      </c>
      <c r="AQ48" s="7">
        <f>((AVERAGE(C43:C48)*('Summary Page'!$C$3+1))*('Summary Page'!$C$3+1))*('Summary Page'!$C$3+1)</f>
        <v>151.69270833333337</v>
      </c>
      <c r="AR48" s="8">
        <f>((AVERAGE(C43:C48)*('Summary Page'!$C$4+1))*('Summary Page'!$C$4+1))*('Summary Page'!$C$4+1)</f>
        <v>134.208</v>
      </c>
      <c r="AU48" s="7">
        <f t="shared" si="24"/>
        <v>42</v>
      </c>
      <c r="AV48" s="7">
        <f>((AVERAGE(D43:D48)*('Summary Page'!$C$2+1))*('Summary Page'!$C$2+1))*('Summary Page'!$C$2+1)</f>
        <v>130.59496533333331</v>
      </c>
      <c r="AW48" s="7">
        <f>((AVERAGE(D43:D48)*('Summary Page'!$C$3+1))*('Summary Page'!$C$3+1))*('Summary Page'!$C$3+1)</f>
        <v>163.41145833333337</v>
      </c>
      <c r="AX48" s="7">
        <f>((AVERAGE(D43:D48)*('Summary Page'!$C$4+1))*('Summary Page'!$C$4+1))*('Summary Page'!$C$4+1)</f>
        <v>144.57599999999999</v>
      </c>
      <c r="BA48" s="7">
        <f t="shared" si="25"/>
        <v>61.199999999999996</v>
      </c>
      <c r="BB48" s="7">
        <f>((AVERAGE(E43:E48)*('Summary Page'!$C$2+1))*('Summary Page'!$C$2+1))*('Summary Page'!$C$2+1)</f>
        <v>99.637194666666659</v>
      </c>
      <c r="BC48" s="7">
        <f>((AVERAGE(E43:E48)*('Summary Page'!$C$3+1))*('Summary Page'!$C$3+1))*('Summary Page'!$C$3+1)</f>
        <v>124.67447916666669</v>
      </c>
      <c r="BD48" s="8">
        <f>((AVERAGE(E43:E48)*('Summary Page'!$C$4+1))*('Summary Page'!$C$4+1))*('Summary Page'!$C$4+1)</f>
        <v>110.30399999999999</v>
      </c>
      <c r="BG48" s="7">
        <f t="shared" si="26"/>
        <v>92.399999999999991</v>
      </c>
      <c r="BH48" s="7">
        <f>((AVERAGE(F43:F48)*('Summary Page'!$C$2+1))*('Summary Page'!$C$2+1))*('Summary Page'!$C$2+1)</f>
        <v>138.65959466666664</v>
      </c>
      <c r="BI48" s="7">
        <f>((AVERAGE(F43:F48)*('Summary Page'!$C$3+1))*('Summary Page'!$C$3+1))*('Summary Page'!$C$3+1)</f>
        <v>173.50260416666663</v>
      </c>
      <c r="BJ48" s="8">
        <f>((AVERAGE(F43:F48)*('Summary Page'!$C$4+1))*('Summary Page'!$C$4+1))*('Summary Page'!$C$4+1)</f>
        <v>153.50399999999999</v>
      </c>
      <c r="BM48" s="7">
        <f t="shared" si="27"/>
        <v>92.399999999999991</v>
      </c>
      <c r="BN48" s="7">
        <f>((AVERAGE(Q43:Q48)*('Summary Page'!$C$2+1))*('Summary Page'!$C$2+1))*('Summary Page'!$C$2+1)</f>
        <v>163.11363199999994</v>
      </c>
      <c r="BO48" s="7">
        <f>((AVERAGE(Q43:Q48)*('Summary Page'!$C$3+1))*('Summary Page'!$C$3+1))*('Summary Page'!$C$3+1)</f>
        <v>204.1015625</v>
      </c>
      <c r="BP48" s="8">
        <f>((AVERAGE(Q43:Q48)*('Summary Page'!$C$4+1))*('Summary Page'!$C$4+1))*('Summary Page'!$C$4+1)</f>
        <v>180.57599999999999</v>
      </c>
      <c r="BS48" s="7">
        <f t="shared" si="28"/>
        <v>268.8</v>
      </c>
      <c r="BT48" s="7">
        <f>((AVERAGE(T43:T48)*('Summary Page'!$C$2+1))*('Summary Page'!$C$2+1))*('Summary Page'!$C$2+1)</f>
        <v>458.64327466666657</v>
      </c>
      <c r="BU48" s="7">
        <f>((AVERAGE(T43:T48)*('Summary Page'!$C$3+1))*('Summary Page'!$C$3+1))*('Summary Page'!$C$3+1)</f>
        <v>573.89322916666652</v>
      </c>
      <c r="BV48" s="8">
        <f>((AVERAGE(T43:T48)*('Summary Page'!$C$4+1))*('Summary Page'!$C$4+1))*('Summary Page'!$C$4+1)</f>
        <v>507.74399999999991</v>
      </c>
      <c r="BW48" s="16">
        <f t="shared" si="20"/>
        <v>9.97752808988764</v>
      </c>
      <c r="BX48" s="16">
        <f t="shared" si="21"/>
        <v>6.7116104868913853</v>
      </c>
      <c r="BY48" s="7">
        <f t="shared" si="29"/>
        <v>8.0539325842696616</v>
      </c>
      <c r="BZ48" s="7">
        <f>((AVERAGE(BW43:BW48)*('Summary Page'!$C$2+1))*('Summary Page'!$C$2+1))*('Summary Page'!$C$2+1)</f>
        <v>13.74212058926342</v>
      </c>
      <c r="CA48" s="7">
        <f>((AVERAGE(BW43:BW48)*('Summary Page'!$C$3+1))*('Summary Page'!$C$3+1))*('Summary Page'!$C$3+1)</f>
        <v>17.195302746566796</v>
      </c>
      <c r="CB48" s="7">
        <f>((AVERAGE(BW43:BW48)*('Summary Page'!$C$4+1))*('Summary Page'!$C$4+1))*('Summary Page'!$C$4+1)</f>
        <v>15.213303370786518</v>
      </c>
      <c r="CC48" s="11">
        <f t="shared" si="30"/>
        <v>11.640449438202246</v>
      </c>
      <c r="CD48" s="11">
        <f t="shared" si="15"/>
        <v>7.8302122347066163</v>
      </c>
      <c r="CE48" s="11">
        <f t="shared" si="16"/>
        <v>9.3962546816479389</v>
      </c>
      <c r="CF48" s="11">
        <f t="shared" si="17"/>
        <v>16.032474020807324</v>
      </c>
      <c r="CG48" s="11">
        <f t="shared" si="18"/>
        <v>20.061186537661261</v>
      </c>
      <c r="CH48" s="11">
        <f t="shared" si="19"/>
        <v>17.748853932584272</v>
      </c>
    </row>
    <row r="49" spans="1:83" ht="15.75" x14ac:dyDescent="0.25">
      <c r="A49" s="10">
        <v>44501</v>
      </c>
      <c r="B49" s="7">
        <v>72</v>
      </c>
      <c r="C49" s="7">
        <v>82</v>
      </c>
      <c r="D49" s="7">
        <v>42</v>
      </c>
      <c r="E49" s="7">
        <v>59</v>
      </c>
      <c r="F49" s="7">
        <v>90</v>
      </c>
      <c r="G49" s="99">
        <v>47</v>
      </c>
      <c r="H49" s="7">
        <v>61</v>
      </c>
      <c r="I49" s="7">
        <v>35</v>
      </c>
      <c r="J49" s="7">
        <v>52</v>
      </c>
      <c r="K49" s="94">
        <v>69</v>
      </c>
      <c r="L49" s="40"/>
      <c r="M49" s="40"/>
      <c r="N49" s="40"/>
      <c r="O49" s="40"/>
      <c r="P49" s="40"/>
      <c r="Q49" s="7">
        <v>93</v>
      </c>
      <c r="R49" s="7">
        <v>71</v>
      </c>
      <c r="S49" s="7"/>
      <c r="T49" s="7">
        <v>294</v>
      </c>
      <c r="U49" s="7">
        <v>224</v>
      </c>
      <c r="V49" s="7"/>
      <c r="W49" s="7"/>
      <c r="X49" s="7"/>
      <c r="Y49" s="7"/>
      <c r="Z49" s="7"/>
      <c r="AA49" s="2">
        <f t="shared" si="2"/>
        <v>69</v>
      </c>
      <c r="AO49" s="7">
        <f t="shared" si="23"/>
        <v>73.2</v>
      </c>
      <c r="AU49" s="7">
        <f t="shared" si="24"/>
        <v>42</v>
      </c>
      <c r="BA49" s="7">
        <f t="shared" si="25"/>
        <v>62.4</v>
      </c>
      <c r="BG49" s="7">
        <f t="shared" si="26"/>
        <v>82.8</v>
      </c>
      <c r="BM49" s="7">
        <f t="shared" si="27"/>
        <v>85.2</v>
      </c>
      <c r="BS49" s="7">
        <f t="shared" si="28"/>
        <v>268.8</v>
      </c>
      <c r="BW49" s="16">
        <f t="shared" si="20"/>
        <v>8.808988764044944</v>
      </c>
      <c r="BX49" s="16">
        <f t="shared" si="21"/>
        <v>6.7116104868913853</v>
      </c>
      <c r="BY49" s="7">
        <f t="shared" si="29"/>
        <v>8.0539325842696616</v>
      </c>
      <c r="CC49" s="11">
        <f t="shared" si="30"/>
        <v>10.277153558052435</v>
      </c>
      <c r="CD49" s="11">
        <f>(BX49/6)+BX49</f>
        <v>7.8302122347066163</v>
      </c>
      <c r="CE49" s="11">
        <f>(BY49/6)+BY49</f>
        <v>9.3962546816479389</v>
      </c>
    </row>
    <row r="50" spans="1:83" ht="15.75" x14ac:dyDescent="0.25">
      <c r="A50" s="10">
        <v>44531</v>
      </c>
      <c r="B50" s="7">
        <v>59</v>
      </c>
      <c r="C50" s="7">
        <v>81</v>
      </c>
      <c r="D50" s="7">
        <v>45</v>
      </c>
      <c r="E50" s="7">
        <v>63</v>
      </c>
      <c r="F50" s="7">
        <v>88</v>
      </c>
      <c r="G50" s="104">
        <v>46</v>
      </c>
      <c r="H50" s="7">
        <v>73</v>
      </c>
      <c r="I50" s="7">
        <v>43</v>
      </c>
      <c r="J50" s="7">
        <v>62</v>
      </c>
      <c r="K50" s="94">
        <v>84</v>
      </c>
      <c r="L50" s="40"/>
      <c r="M50" s="40"/>
      <c r="N50" s="40"/>
      <c r="O50" s="40"/>
      <c r="P50" s="40"/>
      <c r="Q50" s="7">
        <v>109</v>
      </c>
      <c r="R50" s="7">
        <v>101</v>
      </c>
      <c r="S50" s="7"/>
      <c r="T50" s="7">
        <v>250</v>
      </c>
      <c r="U50" s="7">
        <v>293</v>
      </c>
      <c r="V50" s="7"/>
      <c r="W50" s="7"/>
      <c r="X50" s="7"/>
      <c r="Y50" s="7"/>
      <c r="Z50" s="7"/>
      <c r="AA50" s="2">
        <f t="shared" si="2"/>
        <v>67.2</v>
      </c>
      <c r="AO50" s="7">
        <f t="shared" si="23"/>
        <v>87.6</v>
      </c>
      <c r="AU50" s="7">
        <f t="shared" si="24"/>
        <v>51.6</v>
      </c>
      <c r="BA50" s="7">
        <f t="shared" si="25"/>
        <v>74.399999999999991</v>
      </c>
      <c r="BM50" s="7">
        <f t="shared" si="27"/>
        <v>121.19999999999999</v>
      </c>
      <c r="BS50" s="7">
        <f t="shared" si="28"/>
        <v>351.59999999999997</v>
      </c>
      <c r="BW50" s="16">
        <f t="shared" si="20"/>
        <v>7.4906367041198507</v>
      </c>
      <c r="BX50" s="16">
        <f t="shared" si="21"/>
        <v>8.7790262172284663</v>
      </c>
      <c r="BY50" s="7">
        <f t="shared" si="29"/>
        <v>10.534831460674159</v>
      </c>
      <c r="CC50" s="11">
        <f t="shared" si="30"/>
        <v>8.7390761548064919</v>
      </c>
      <c r="CD50" s="11">
        <f>(BX50/6)+BX50</f>
        <v>10.242197253433211</v>
      </c>
      <c r="CE50" s="11">
        <f>(BY50/6)+BY50</f>
        <v>12.290636704119851</v>
      </c>
    </row>
    <row r="51" spans="1:83" ht="15.75" x14ac:dyDescent="0.25">
      <c r="A51" s="10">
        <v>44581</v>
      </c>
      <c r="B51" s="7">
        <v>74</v>
      </c>
      <c r="C51" s="7">
        <v>54</v>
      </c>
      <c r="D51" s="7">
        <v>71</v>
      </c>
      <c r="E51" s="7">
        <v>43</v>
      </c>
      <c r="F51" s="7">
        <v>62</v>
      </c>
      <c r="G51" s="99">
        <v>62</v>
      </c>
      <c r="H51" s="7">
        <v>20</v>
      </c>
      <c r="I51" s="7">
        <v>38</v>
      </c>
      <c r="J51" s="7">
        <v>25</v>
      </c>
      <c r="K51" s="94">
        <v>22</v>
      </c>
      <c r="AA51" s="2">
        <f t="shared" si="2"/>
        <v>60.8</v>
      </c>
      <c r="AO51" s="7">
        <f t="shared" si="23"/>
        <v>24</v>
      </c>
      <c r="AU51" s="7">
        <f t="shared" si="24"/>
        <v>45.6</v>
      </c>
      <c r="BA51" s="7">
        <f t="shared" si="25"/>
        <v>30</v>
      </c>
    </row>
    <row r="52" spans="1:83" ht="15.75" x14ac:dyDescent="0.25">
      <c r="A52" s="10">
        <v>44593</v>
      </c>
      <c r="B52" s="7">
        <v>71</v>
      </c>
      <c r="C52" s="7">
        <v>41</v>
      </c>
      <c r="D52" s="7">
        <v>59</v>
      </c>
      <c r="E52" s="7">
        <v>36</v>
      </c>
      <c r="F52" s="7">
        <v>48</v>
      </c>
      <c r="G52" s="104">
        <v>64</v>
      </c>
      <c r="H52" s="7">
        <v>27</v>
      </c>
      <c r="I52" s="7">
        <v>43</v>
      </c>
      <c r="J52" s="7">
        <v>28</v>
      </c>
      <c r="K52" s="4">
        <v>30</v>
      </c>
      <c r="L52" s="7">
        <v>73</v>
      </c>
      <c r="M52" s="7">
        <v>46</v>
      </c>
      <c r="N52" s="7">
        <v>62</v>
      </c>
      <c r="O52" s="7">
        <v>38</v>
      </c>
      <c r="P52" s="7">
        <v>51</v>
      </c>
      <c r="Q52" s="7">
        <v>103</v>
      </c>
      <c r="R52" s="7">
        <v>76</v>
      </c>
      <c r="S52" s="7">
        <v>104</v>
      </c>
      <c r="T52" s="7">
        <v>308</v>
      </c>
      <c r="U52" s="7">
        <v>333</v>
      </c>
      <c r="V52" s="7">
        <v>307</v>
      </c>
      <c r="W52" s="16">
        <f t="shared" ref="W52:Y63" si="33">((T52/37.5)/0.83)*(Q52/100)</f>
        <v>10.192449799196789</v>
      </c>
      <c r="X52" s="11">
        <f t="shared" si="33"/>
        <v>8.1310843373493995</v>
      </c>
      <c r="Y52" s="519">
        <f t="shared" si="33"/>
        <v>10.257991967871488</v>
      </c>
      <c r="Z52" s="7"/>
      <c r="AA52" s="2">
        <f t="shared" si="2"/>
        <v>51</v>
      </c>
      <c r="AO52" s="7">
        <f t="shared" si="23"/>
        <v>32.4</v>
      </c>
      <c r="AU52" s="7">
        <f t="shared" si="24"/>
        <v>51.6</v>
      </c>
      <c r="BA52" s="7">
        <f t="shared" si="25"/>
        <v>33.6</v>
      </c>
    </row>
    <row r="53" spans="1:83" ht="15.75" x14ac:dyDescent="0.25">
      <c r="A53" s="10">
        <v>44617</v>
      </c>
      <c r="B53" s="7">
        <v>73</v>
      </c>
      <c r="C53" s="7">
        <v>38</v>
      </c>
      <c r="D53" s="7">
        <v>57</v>
      </c>
      <c r="E53" s="7">
        <v>36</v>
      </c>
      <c r="F53" s="7">
        <v>43</v>
      </c>
      <c r="G53" s="7">
        <v>36</v>
      </c>
      <c r="H53" s="7">
        <v>24</v>
      </c>
      <c r="I53" s="7">
        <v>29</v>
      </c>
      <c r="J53" s="7">
        <v>17</v>
      </c>
      <c r="K53" s="7">
        <v>26</v>
      </c>
      <c r="L53" s="7">
        <v>40</v>
      </c>
      <c r="M53" s="7">
        <v>37</v>
      </c>
      <c r="N53" s="7">
        <v>39</v>
      </c>
      <c r="O53" s="7">
        <v>22</v>
      </c>
      <c r="P53" s="7">
        <v>39</v>
      </c>
      <c r="Q53" s="7">
        <v>94</v>
      </c>
      <c r="R53" s="7">
        <v>49</v>
      </c>
      <c r="S53" s="7">
        <v>65</v>
      </c>
      <c r="T53" s="7">
        <v>333</v>
      </c>
      <c r="U53" s="7">
        <v>333</v>
      </c>
      <c r="V53" s="7">
        <v>304</v>
      </c>
      <c r="W53" s="16">
        <f t="shared" si="33"/>
        <v>10.056867469879519</v>
      </c>
      <c r="X53" s="11">
        <f t="shared" si="33"/>
        <v>5.2424096385542178</v>
      </c>
      <c r="Y53" s="519">
        <f t="shared" si="33"/>
        <v>6.3485943775100404</v>
      </c>
      <c r="Z53" s="7"/>
      <c r="AA53" s="2">
        <f t="shared" si="2"/>
        <v>49.4</v>
      </c>
      <c r="AO53" s="7">
        <f t="shared" si="23"/>
        <v>28.799999999999997</v>
      </c>
      <c r="AU53" s="7">
        <f t="shared" si="24"/>
        <v>34.799999999999997</v>
      </c>
      <c r="BA53" s="7">
        <f t="shared" si="25"/>
        <v>20.399999999999999</v>
      </c>
    </row>
    <row r="54" spans="1:83" ht="15.75" x14ac:dyDescent="0.25">
      <c r="A54" s="10">
        <v>44650</v>
      </c>
      <c r="B54" s="7">
        <v>67</v>
      </c>
      <c r="C54" s="7">
        <v>29</v>
      </c>
      <c r="D54" s="7">
        <v>52</v>
      </c>
      <c r="E54" s="7">
        <v>33</v>
      </c>
      <c r="F54" s="7">
        <v>37</v>
      </c>
      <c r="G54" s="7">
        <v>70</v>
      </c>
      <c r="H54" s="7">
        <v>28</v>
      </c>
      <c r="I54" s="7">
        <v>48</v>
      </c>
      <c r="J54" s="7">
        <v>32</v>
      </c>
      <c r="K54" s="7">
        <v>33</v>
      </c>
      <c r="L54" s="7">
        <v>73</v>
      </c>
      <c r="M54" s="7">
        <v>42</v>
      </c>
      <c r="N54" s="7">
        <v>59</v>
      </c>
      <c r="O54" s="7">
        <v>37</v>
      </c>
      <c r="P54" s="7">
        <v>48</v>
      </c>
      <c r="Q54" s="7">
        <v>92</v>
      </c>
      <c r="R54" s="7">
        <v>64</v>
      </c>
      <c r="S54" s="7">
        <v>77</v>
      </c>
      <c r="T54" s="7">
        <v>294</v>
      </c>
      <c r="U54" s="7">
        <v>338</v>
      </c>
      <c r="V54" s="7">
        <v>304</v>
      </c>
      <c r="W54" s="16">
        <f t="shared" si="33"/>
        <v>8.6901204819277122</v>
      </c>
      <c r="X54" s="11">
        <f t="shared" si="33"/>
        <v>6.9500401606425708</v>
      </c>
      <c r="Y54" s="519">
        <f t="shared" si="33"/>
        <v>7.520642570281125</v>
      </c>
      <c r="Z54" s="7"/>
      <c r="AA54" s="2">
        <f t="shared" si="2"/>
        <v>43.6</v>
      </c>
      <c r="AO54" s="7">
        <f t="shared" si="23"/>
        <v>33.6</v>
      </c>
      <c r="AU54" s="7">
        <f t="shared" si="24"/>
        <v>57.599999999999994</v>
      </c>
      <c r="BA54" s="7">
        <f t="shared" si="25"/>
        <v>38.4</v>
      </c>
    </row>
    <row r="55" spans="1:83" ht="15.75" x14ac:dyDescent="0.25">
      <c r="A55" s="10">
        <v>44691</v>
      </c>
      <c r="B55" s="7">
        <v>65</v>
      </c>
      <c r="C55" s="7">
        <v>26</v>
      </c>
      <c r="D55" s="7">
        <v>49</v>
      </c>
      <c r="E55" s="7">
        <v>32</v>
      </c>
      <c r="F55" s="7">
        <v>33</v>
      </c>
      <c r="G55" s="7">
        <v>63</v>
      </c>
      <c r="H55" s="7">
        <v>32</v>
      </c>
      <c r="I55" s="7">
        <v>53</v>
      </c>
      <c r="J55" s="7">
        <v>34</v>
      </c>
      <c r="K55" s="7">
        <v>38</v>
      </c>
      <c r="L55" s="7">
        <v>55</v>
      </c>
      <c r="M55" s="7">
        <v>31</v>
      </c>
      <c r="N55" s="7">
        <v>49</v>
      </c>
      <c r="O55" s="7">
        <v>29</v>
      </c>
      <c r="P55" s="7">
        <v>37</v>
      </c>
      <c r="Q55" s="7">
        <v>98</v>
      </c>
      <c r="R55" s="7">
        <v>95</v>
      </c>
      <c r="S55" s="7">
        <v>86</v>
      </c>
      <c r="T55" s="7">
        <v>277</v>
      </c>
      <c r="U55" s="7">
        <v>303</v>
      </c>
      <c r="V55" s="7">
        <v>272</v>
      </c>
      <c r="W55" s="16">
        <f t="shared" si="33"/>
        <v>8.7216064257028112</v>
      </c>
      <c r="X55" s="11">
        <f t="shared" si="33"/>
        <v>9.2481927710843372</v>
      </c>
      <c r="Y55" s="519">
        <f t="shared" si="33"/>
        <v>7.5155020080321284</v>
      </c>
      <c r="Z55" s="7"/>
      <c r="AA55" s="2">
        <f t="shared" si="2"/>
        <v>41</v>
      </c>
      <c r="AO55" s="7">
        <f t="shared" si="23"/>
        <v>38.4</v>
      </c>
      <c r="AU55" s="7">
        <f t="shared" si="24"/>
        <v>63.599999999999994</v>
      </c>
      <c r="BA55" s="7">
        <f t="shared" si="25"/>
        <v>40.799999999999997</v>
      </c>
    </row>
    <row r="56" spans="1:83" ht="15.75" x14ac:dyDescent="0.25">
      <c r="A56" s="10">
        <v>44714</v>
      </c>
      <c r="B56" s="7">
        <v>61</v>
      </c>
      <c r="C56" s="7">
        <v>24</v>
      </c>
      <c r="D56" s="7">
        <v>45</v>
      </c>
      <c r="E56" s="7">
        <v>29</v>
      </c>
      <c r="F56" s="7">
        <v>32</v>
      </c>
      <c r="G56" s="7">
        <v>53</v>
      </c>
      <c r="H56" s="7">
        <v>31</v>
      </c>
      <c r="I56" s="7">
        <v>47</v>
      </c>
      <c r="J56" s="7">
        <v>30</v>
      </c>
      <c r="K56" s="7">
        <v>35</v>
      </c>
      <c r="L56" s="7">
        <v>53</v>
      </c>
      <c r="M56" s="7">
        <v>26</v>
      </c>
      <c r="N56" s="7">
        <v>38</v>
      </c>
      <c r="O56" s="7">
        <v>25</v>
      </c>
      <c r="P56" s="7">
        <v>31</v>
      </c>
      <c r="Q56" s="7">
        <v>90</v>
      </c>
      <c r="R56" s="7">
        <v>85</v>
      </c>
      <c r="S56" s="7">
        <v>74</v>
      </c>
      <c r="T56" s="7">
        <v>281</v>
      </c>
      <c r="U56" s="7">
        <v>303</v>
      </c>
      <c r="V56" s="7">
        <v>272</v>
      </c>
      <c r="W56" s="16">
        <f t="shared" si="33"/>
        <v>8.1253012048192783</v>
      </c>
      <c r="X56" s="11">
        <f t="shared" si="33"/>
        <v>8.274698795180722</v>
      </c>
      <c r="Y56" s="519">
        <f t="shared" si="33"/>
        <v>6.4668273092369484</v>
      </c>
      <c r="Z56" s="7"/>
      <c r="AA56" s="2">
        <f t="shared" si="2"/>
        <v>38.200000000000003</v>
      </c>
      <c r="AO56" s="7">
        <f t="shared" si="23"/>
        <v>37.199999999999996</v>
      </c>
      <c r="AU56" s="7">
        <f t="shared" si="24"/>
        <v>56.4</v>
      </c>
      <c r="BA56" s="7">
        <f t="shared" si="25"/>
        <v>36</v>
      </c>
    </row>
    <row r="57" spans="1:83" ht="15.75" x14ac:dyDescent="0.25">
      <c r="A57" s="10">
        <v>44753</v>
      </c>
      <c r="B57" s="7">
        <v>51</v>
      </c>
      <c r="C57" s="7">
        <v>25</v>
      </c>
      <c r="D57" s="7">
        <v>40</v>
      </c>
      <c r="E57" s="7">
        <v>25</v>
      </c>
      <c r="F57" s="7">
        <v>27</v>
      </c>
      <c r="G57" s="7">
        <v>44</v>
      </c>
      <c r="H57" s="7">
        <v>26</v>
      </c>
      <c r="I57" s="7">
        <v>40</v>
      </c>
      <c r="J57" s="7">
        <v>25</v>
      </c>
      <c r="K57" s="7">
        <v>33</v>
      </c>
      <c r="L57" s="7">
        <v>50</v>
      </c>
      <c r="M57" s="7">
        <v>24</v>
      </c>
      <c r="N57" s="7">
        <v>36</v>
      </c>
      <c r="O57" s="7">
        <v>25</v>
      </c>
      <c r="P57" s="7">
        <v>27</v>
      </c>
      <c r="Q57" s="7">
        <v>91</v>
      </c>
      <c r="R57" s="7">
        <v>90</v>
      </c>
      <c r="S57" s="7">
        <v>89</v>
      </c>
      <c r="T57" s="7">
        <v>246</v>
      </c>
      <c r="U57" s="7">
        <v>204</v>
      </c>
      <c r="V57" s="7">
        <v>232</v>
      </c>
      <c r="W57" s="16">
        <f t="shared" si="33"/>
        <v>7.1922891566265061</v>
      </c>
      <c r="X57" s="11">
        <f t="shared" si="33"/>
        <v>5.8987951807228924</v>
      </c>
      <c r="Y57" s="519">
        <f t="shared" si="33"/>
        <v>6.633895582329318</v>
      </c>
      <c r="Z57" s="7"/>
      <c r="AA57" s="2"/>
      <c r="AO57" s="7"/>
      <c r="AU57" s="7"/>
      <c r="BA57" s="7"/>
    </row>
    <row r="58" spans="1:83" ht="15.75" x14ac:dyDescent="0.25">
      <c r="A58" s="10">
        <v>44774</v>
      </c>
      <c r="B58" s="7">
        <v>43</v>
      </c>
      <c r="C58" s="7">
        <v>20</v>
      </c>
      <c r="D58" s="7">
        <v>35</v>
      </c>
      <c r="E58" s="7">
        <v>21</v>
      </c>
      <c r="F58" s="7">
        <v>27</v>
      </c>
      <c r="G58" s="7">
        <v>47</v>
      </c>
      <c r="H58" s="7">
        <v>27</v>
      </c>
      <c r="I58" s="7">
        <v>42</v>
      </c>
      <c r="J58" s="7">
        <v>26</v>
      </c>
      <c r="K58" s="7">
        <v>33</v>
      </c>
      <c r="L58" s="7">
        <v>44</v>
      </c>
      <c r="M58" s="7">
        <v>25</v>
      </c>
      <c r="N58" s="7">
        <v>36</v>
      </c>
      <c r="O58" s="7">
        <v>23</v>
      </c>
      <c r="P58" s="7">
        <v>28</v>
      </c>
      <c r="Q58" s="7">
        <v>90</v>
      </c>
      <c r="R58" s="7">
        <v>96</v>
      </c>
      <c r="S58" s="7">
        <v>84</v>
      </c>
      <c r="T58" s="7">
        <v>212</v>
      </c>
      <c r="U58" s="7">
        <v>202</v>
      </c>
      <c r="V58" s="7">
        <v>235</v>
      </c>
      <c r="W58" s="16">
        <f t="shared" si="33"/>
        <v>6.1301204819277109</v>
      </c>
      <c r="X58" s="11">
        <f t="shared" si="33"/>
        <v>6.2303614457831333</v>
      </c>
      <c r="Y58" s="519">
        <f t="shared" si="33"/>
        <v>6.3421686746987955</v>
      </c>
      <c r="Z58" s="7"/>
      <c r="AA58" s="2"/>
      <c r="AO58" s="7"/>
      <c r="AU58" s="7"/>
      <c r="BA58" s="7"/>
    </row>
    <row r="59" spans="1:83" ht="15.75" x14ac:dyDescent="0.25">
      <c r="A59" s="10">
        <v>44805</v>
      </c>
      <c r="B59" s="7">
        <v>46</v>
      </c>
      <c r="C59" s="7">
        <v>20</v>
      </c>
      <c r="D59" s="7">
        <v>33</v>
      </c>
      <c r="E59" s="7">
        <v>21</v>
      </c>
      <c r="F59" s="7">
        <v>25</v>
      </c>
      <c r="G59" s="7">
        <v>45</v>
      </c>
      <c r="H59" s="7">
        <v>31</v>
      </c>
      <c r="I59" s="7">
        <v>46</v>
      </c>
      <c r="J59" s="7">
        <v>26</v>
      </c>
      <c r="K59" s="7">
        <v>31</v>
      </c>
      <c r="L59" s="7">
        <v>46</v>
      </c>
      <c r="M59" s="7">
        <v>22</v>
      </c>
      <c r="N59" s="7">
        <v>34</v>
      </c>
      <c r="O59" s="7">
        <v>22</v>
      </c>
      <c r="P59" s="7">
        <v>27</v>
      </c>
      <c r="Q59" s="7">
        <v>105</v>
      </c>
      <c r="R59" s="7">
        <v>128</v>
      </c>
      <c r="S59" s="7">
        <v>109</v>
      </c>
      <c r="T59" s="7">
        <v>182</v>
      </c>
      <c r="U59" s="7">
        <v>150</v>
      </c>
      <c r="V59" s="7">
        <v>177</v>
      </c>
      <c r="W59" s="16">
        <f t="shared" si="33"/>
        <v>6.1397590361445795</v>
      </c>
      <c r="X59" s="11">
        <f t="shared" si="33"/>
        <v>6.168674698795181</v>
      </c>
      <c r="Y59" s="519">
        <f t="shared" si="33"/>
        <v>6.1985542168674703</v>
      </c>
      <c r="Z59" s="7"/>
      <c r="AA59" s="2"/>
      <c r="AO59" s="7"/>
      <c r="AU59" s="7"/>
      <c r="BA59" s="7"/>
    </row>
    <row r="60" spans="1:83" ht="15.75" x14ac:dyDescent="0.25">
      <c r="A60" s="10">
        <v>44838</v>
      </c>
      <c r="B60" s="7">
        <v>38</v>
      </c>
      <c r="C60" s="7">
        <v>23</v>
      </c>
      <c r="D60" s="7">
        <v>37</v>
      </c>
      <c r="E60" s="7">
        <v>22</v>
      </c>
      <c r="F60" s="7">
        <v>38</v>
      </c>
      <c r="G60" s="7">
        <v>53</v>
      </c>
      <c r="H60" s="7">
        <v>19</v>
      </c>
      <c r="I60" s="7">
        <v>36</v>
      </c>
      <c r="J60" s="7">
        <v>22</v>
      </c>
      <c r="K60" s="7">
        <v>28</v>
      </c>
      <c r="L60" s="7">
        <v>50</v>
      </c>
      <c r="M60" s="7">
        <v>24</v>
      </c>
      <c r="N60" s="7">
        <v>36</v>
      </c>
      <c r="O60" s="7">
        <v>23</v>
      </c>
      <c r="P60" s="7">
        <v>26</v>
      </c>
      <c r="Q60" s="7">
        <v>93</v>
      </c>
      <c r="R60" s="7">
        <v>96</v>
      </c>
      <c r="S60" s="7">
        <v>98</v>
      </c>
      <c r="T60" s="7">
        <v>179</v>
      </c>
      <c r="U60" s="7">
        <v>205</v>
      </c>
      <c r="V60" s="7">
        <v>209</v>
      </c>
      <c r="W60" s="16">
        <f t="shared" si="33"/>
        <v>5.3484337349397597</v>
      </c>
      <c r="X60" s="11">
        <f t="shared" si="33"/>
        <v>6.32289156626506</v>
      </c>
      <c r="Y60" s="519">
        <f t="shared" si="33"/>
        <v>6.5805622489959834</v>
      </c>
      <c r="Z60" s="7"/>
      <c r="AA60" s="2"/>
      <c r="AO60" s="7"/>
      <c r="AU60" s="7"/>
      <c r="BA60" s="7"/>
    </row>
    <row r="61" spans="1:83" ht="15.75" x14ac:dyDescent="0.25">
      <c r="A61" s="10">
        <v>44868</v>
      </c>
      <c r="B61" s="7">
        <v>27</v>
      </c>
      <c r="C61" s="7">
        <v>18</v>
      </c>
      <c r="D61" s="7">
        <v>28</v>
      </c>
      <c r="E61" s="7">
        <v>16</v>
      </c>
      <c r="F61" s="7">
        <v>23</v>
      </c>
      <c r="G61" s="7">
        <v>45</v>
      </c>
      <c r="H61" s="7">
        <v>16</v>
      </c>
      <c r="I61" s="7">
        <v>28</v>
      </c>
      <c r="J61" s="7">
        <v>18</v>
      </c>
      <c r="K61" s="7">
        <v>17</v>
      </c>
      <c r="L61" s="7">
        <v>41</v>
      </c>
      <c r="M61" s="7">
        <v>23</v>
      </c>
      <c r="N61" s="7">
        <v>33</v>
      </c>
      <c r="O61" s="7">
        <v>21</v>
      </c>
      <c r="P61" s="7">
        <v>26</v>
      </c>
      <c r="Q61" s="7">
        <v>68</v>
      </c>
      <c r="R61" s="7">
        <v>79</v>
      </c>
      <c r="S61" s="7">
        <v>87</v>
      </c>
      <c r="T61" s="7">
        <v>204</v>
      </c>
      <c r="U61" s="7">
        <v>202</v>
      </c>
      <c r="V61" s="7">
        <v>210</v>
      </c>
      <c r="W61" s="16">
        <f>((T61/37.5)/0.83)*(Q61/100)</f>
        <v>4.4568674698795192</v>
      </c>
      <c r="X61" s="11">
        <f t="shared" si="33"/>
        <v>5.1270682730923705</v>
      </c>
      <c r="Y61" s="519">
        <f t="shared" si="33"/>
        <v>5.8698795180722891</v>
      </c>
      <c r="Z61" s="7"/>
      <c r="AA61" s="2"/>
      <c r="AO61" s="7"/>
      <c r="AU61" s="7"/>
      <c r="BA61" s="7"/>
    </row>
    <row r="62" spans="1:83" ht="15.75" x14ac:dyDescent="0.25">
      <c r="A62" s="10">
        <v>44908</v>
      </c>
      <c r="B62" s="7">
        <v>25</v>
      </c>
      <c r="C62" s="7">
        <v>16</v>
      </c>
      <c r="D62" s="7">
        <v>27</v>
      </c>
      <c r="E62" s="7">
        <v>14</v>
      </c>
      <c r="F62" s="7">
        <v>22</v>
      </c>
      <c r="G62" s="7">
        <v>36</v>
      </c>
      <c r="H62" s="7">
        <v>14</v>
      </c>
      <c r="I62" s="7">
        <v>26</v>
      </c>
      <c r="J62" s="7">
        <v>17</v>
      </c>
      <c r="K62" s="7">
        <v>18</v>
      </c>
      <c r="L62" s="7">
        <v>48</v>
      </c>
      <c r="M62" s="7">
        <v>27</v>
      </c>
      <c r="N62" s="7">
        <v>40</v>
      </c>
      <c r="O62" s="7">
        <v>24</v>
      </c>
      <c r="P62" s="7">
        <v>29</v>
      </c>
      <c r="Q62" s="7">
        <v>73</v>
      </c>
      <c r="R62" s="7">
        <v>82</v>
      </c>
      <c r="S62" s="7">
        <v>121</v>
      </c>
      <c r="T62" s="7">
        <v>170</v>
      </c>
      <c r="U62" s="7">
        <v>173</v>
      </c>
      <c r="V62" s="7">
        <v>182</v>
      </c>
      <c r="W62" s="16">
        <f>((T62/37.5)/0.83)*(Q62/100)</f>
        <v>3.9871485943775102</v>
      </c>
      <c r="X62" s="11">
        <f t="shared" si="33"/>
        <v>4.5577510040160636</v>
      </c>
      <c r="Y62" s="519">
        <f t="shared" si="33"/>
        <v>7.0753413654618482</v>
      </c>
      <c r="Z62" s="7"/>
      <c r="AA62" s="2"/>
      <c r="AO62" s="7"/>
      <c r="AU62" s="7"/>
      <c r="BA62" s="7"/>
    </row>
    <row r="63" spans="1:83" ht="15.75" x14ac:dyDescent="0.25">
      <c r="A63" s="10">
        <v>44965</v>
      </c>
      <c r="B63" s="7">
        <v>69</v>
      </c>
      <c r="C63" s="7">
        <v>33</v>
      </c>
      <c r="D63" s="7">
        <v>30</v>
      </c>
      <c r="E63" s="7">
        <v>17</v>
      </c>
      <c r="F63" s="7">
        <v>47</v>
      </c>
      <c r="G63" s="7">
        <v>40</v>
      </c>
      <c r="H63" s="7">
        <v>35</v>
      </c>
      <c r="I63" s="7">
        <v>22</v>
      </c>
      <c r="J63" s="7">
        <v>13</v>
      </c>
      <c r="K63" s="7">
        <v>38</v>
      </c>
      <c r="L63" s="7">
        <v>121</v>
      </c>
      <c r="M63" s="7">
        <v>62</v>
      </c>
      <c r="N63" s="7">
        <v>50</v>
      </c>
      <c r="O63" s="7">
        <v>30</v>
      </c>
      <c r="P63" s="7">
        <v>70</v>
      </c>
      <c r="Q63" s="7">
        <v>80</v>
      </c>
      <c r="R63" s="7">
        <v>85</v>
      </c>
      <c r="S63" s="7">
        <v>148</v>
      </c>
      <c r="T63" s="7">
        <v>182</v>
      </c>
      <c r="U63" s="7">
        <v>185</v>
      </c>
      <c r="V63" s="7">
        <v>186</v>
      </c>
      <c r="W63" s="16">
        <f>((T63/37.5)/0.83)*(Q63/100)</f>
        <v>4.6779116465863462</v>
      </c>
      <c r="X63" s="11">
        <f t="shared" si="33"/>
        <v>5.0522088353413652</v>
      </c>
      <c r="Y63" s="519">
        <f t="shared" si="33"/>
        <v>8.8443373493975912</v>
      </c>
      <c r="Z63" s="7"/>
      <c r="AA63" s="2"/>
      <c r="AO63" s="7"/>
      <c r="AU63" s="7"/>
      <c r="BA63" s="7"/>
    </row>
    <row r="64" spans="1:83" ht="15.75" x14ac:dyDescent="0.25">
      <c r="A64" s="10">
        <v>44992</v>
      </c>
      <c r="B64" s="7">
        <v>65</v>
      </c>
      <c r="C64" s="7">
        <v>39</v>
      </c>
      <c r="D64" s="7">
        <v>30</v>
      </c>
      <c r="E64" s="7">
        <v>18</v>
      </c>
      <c r="F64" s="7">
        <v>60</v>
      </c>
      <c r="G64" s="7">
        <v>70</v>
      </c>
      <c r="H64" s="7">
        <v>45</v>
      </c>
      <c r="I64" s="7">
        <v>35</v>
      </c>
      <c r="J64" s="7">
        <v>21</v>
      </c>
      <c r="K64" s="7">
        <v>51</v>
      </c>
      <c r="L64" s="7">
        <v>126</v>
      </c>
      <c r="M64" s="7">
        <v>71</v>
      </c>
      <c r="N64" s="7">
        <v>56</v>
      </c>
      <c r="O64" s="7">
        <v>33</v>
      </c>
      <c r="P64" s="7">
        <v>85</v>
      </c>
      <c r="Q64" s="7">
        <v>105</v>
      </c>
      <c r="R64" s="7">
        <v>97</v>
      </c>
      <c r="S64" s="7">
        <v>107</v>
      </c>
      <c r="T64" s="7">
        <v>157</v>
      </c>
      <c r="U64" s="7">
        <v>181</v>
      </c>
      <c r="V64" s="7">
        <v>299</v>
      </c>
      <c r="W64" s="16">
        <f t="shared" ref="W64:Y66" si="34">((T64/37.5)/0.85)*(Q64/100)</f>
        <v>5.171764705882353</v>
      </c>
      <c r="X64" s="11">
        <f t="shared" si="34"/>
        <v>5.5080784313725495</v>
      </c>
      <c r="Y64" s="519">
        <f t="shared" si="34"/>
        <v>10.037019607843138</v>
      </c>
      <c r="Z64" s="7"/>
      <c r="AA64" s="2"/>
      <c r="AO64" s="7"/>
      <c r="AU64" s="7"/>
      <c r="BA64" s="7"/>
    </row>
    <row r="65" spans="1:53" ht="15.75" x14ac:dyDescent="0.25">
      <c r="A65" s="10">
        <v>45020</v>
      </c>
      <c r="B65" s="7">
        <v>76</v>
      </c>
      <c r="C65" s="7">
        <v>60</v>
      </c>
      <c r="D65" s="7">
        <v>34</v>
      </c>
      <c r="E65" s="7">
        <v>26</v>
      </c>
      <c r="F65" s="7">
        <v>77</v>
      </c>
      <c r="G65" s="7">
        <v>100</v>
      </c>
      <c r="H65" s="7">
        <v>59</v>
      </c>
      <c r="I65" s="7">
        <v>36</v>
      </c>
      <c r="J65" s="7">
        <v>26</v>
      </c>
      <c r="K65" s="7">
        <v>64</v>
      </c>
      <c r="L65" s="7">
        <v>110</v>
      </c>
      <c r="M65" s="7">
        <v>54</v>
      </c>
      <c r="N65" s="7">
        <v>38</v>
      </c>
      <c r="O65" s="7">
        <v>26</v>
      </c>
      <c r="P65" s="7">
        <v>62</v>
      </c>
      <c r="Q65" s="7">
        <v>89</v>
      </c>
      <c r="R65" s="7">
        <v>95</v>
      </c>
      <c r="S65" s="7">
        <v>98</v>
      </c>
      <c r="T65" s="7">
        <v>243</v>
      </c>
      <c r="U65" s="7">
        <v>251</v>
      </c>
      <c r="V65" s="7">
        <v>244</v>
      </c>
      <c r="W65" s="16">
        <f t="shared" si="34"/>
        <v>6.7849411764705891</v>
      </c>
      <c r="X65" s="11">
        <f t="shared" si="34"/>
        <v>7.4807843137254899</v>
      </c>
      <c r="Y65" s="519">
        <f t="shared" si="34"/>
        <v>7.5018039215686274</v>
      </c>
      <c r="Z65" s="7"/>
      <c r="AA65" s="2"/>
      <c r="AO65" s="7"/>
      <c r="AU65" s="7"/>
      <c r="BA65" s="7"/>
    </row>
    <row r="66" spans="1:53" ht="15.75" x14ac:dyDescent="0.25">
      <c r="A66" s="10">
        <v>45047</v>
      </c>
      <c r="B66" s="7">
        <v>83</v>
      </c>
      <c r="C66" s="7">
        <v>61</v>
      </c>
      <c r="D66" s="7">
        <v>35</v>
      </c>
      <c r="E66" s="7">
        <v>26</v>
      </c>
      <c r="F66" s="7">
        <v>72</v>
      </c>
      <c r="G66" s="7">
        <v>105</v>
      </c>
      <c r="H66" s="7">
        <v>59</v>
      </c>
      <c r="I66" s="7">
        <v>37</v>
      </c>
      <c r="J66" s="7">
        <v>26</v>
      </c>
      <c r="K66" s="7">
        <v>67</v>
      </c>
      <c r="L66" s="7">
        <v>98</v>
      </c>
      <c r="M66" s="7">
        <v>50</v>
      </c>
      <c r="N66" s="7">
        <v>35</v>
      </c>
      <c r="O66" s="7">
        <v>25</v>
      </c>
      <c r="P66" s="7">
        <v>58</v>
      </c>
      <c r="Q66" s="7">
        <v>91</v>
      </c>
      <c r="R66" s="7">
        <v>97</v>
      </c>
      <c r="S66" s="7">
        <v>90</v>
      </c>
      <c r="T66" s="7">
        <v>247</v>
      </c>
      <c r="U66" s="7">
        <v>251</v>
      </c>
      <c r="V66" s="7">
        <v>244</v>
      </c>
      <c r="W66" s="16">
        <f t="shared" si="34"/>
        <v>7.0516078431372557</v>
      </c>
      <c r="X66" s="11">
        <f t="shared" si="34"/>
        <v>7.6382745098039218</v>
      </c>
      <c r="Y66" s="519">
        <f t="shared" si="34"/>
        <v>6.8894117647058826</v>
      </c>
      <c r="Z66" s="7"/>
      <c r="AA66" s="2"/>
      <c r="AO66" s="7"/>
      <c r="AU66" s="7"/>
      <c r="BA66" s="7"/>
    </row>
    <row r="67" spans="1:53" ht="15.75" x14ac:dyDescent="0.25">
      <c r="A67" s="10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16"/>
      <c r="X67" s="11"/>
      <c r="Y67" s="519"/>
      <c r="Z67" s="7"/>
      <c r="AA67" s="2"/>
      <c r="AO67" s="7"/>
      <c r="AU67" s="7"/>
      <c r="BA67" s="7"/>
    </row>
    <row r="68" spans="1:53" ht="15.75" x14ac:dyDescent="0.25">
      <c r="A68" s="1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16"/>
      <c r="X68" s="11"/>
      <c r="Y68" s="519"/>
      <c r="Z68" s="7"/>
      <c r="AA68" s="2"/>
      <c r="AO68" s="7"/>
      <c r="AU68" s="7"/>
      <c r="BA68" s="7"/>
    </row>
    <row r="69" spans="1:53" ht="15.75" x14ac:dyDescent="0.25">
      <c r="A69" s="1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16"/>
      <c r="X69" s="11"/>
      <c r="Y69" s="519"/>
      <c r="Z69" s="7"/>
      <c r="AA69" s="2"/>
      <c r="AO69" s="7"/>
      <c r="AU69" s="7"/>
      <c r="BA69" s="7"/>
    </row>
    <row r="70" spans="1:53" x14ac:dyDescent="0.25">
      <c r="N70" s="72"/>
      <c r="O70" s="72"/>
      <c r="P70" s="72"/>
    </row>
    <row r="71" spans="1:53" x14ac:dyDescent="0.25">
      <c r="N71" s="72"/>
      <c r="O71" s="72"/>
      <c r="P71" s="72"/>
    </row>
    <row r="72" spans="1:53" x14ac:dyDescent="0.25">
      <c r="N72" s="72"/>
      <c r="O72" s="72"/>
      <c r="P72" s="72"/>
    </row>
    <row r="73" spans="1:53" x14ac:dyDescent="0.25">
      <c r="N73" s="72"/>
      <c r="O73" s="72"/>
      <c r="P73" s="72"/>
    </row>
    <row r="74" spans="1:53" x14ac:dyDescent="0.25">
      <c r="N74" s="72"/>
      <c r="O74" s="72"/>
      <c r="P74" s="72"/>
    </row>
    <row r="75" spans="1:53" x14ac:dyDescent="0.25">
      <c r="N75" s="72"/>
      <c r="O75" s="72"/>
      <c r="P75" s="72"/>
    </row>
    <row r="76" spans="1:53" x14ac:dyDescent="0.25">
      <c r="N76" s="72"/>
      <c r="O76" s="72"/>
      <c r="P76" s="72"/>
    </row>
    <row r="77" spans="1:53" x14ac:dyDescent="0.25">
      <c r="N77" s="72"/>
      <c r="O77" s="72"/>
      <c r="P77" s="72"/>
    </row>
    <row r="78" spans="1:53" x14ac:dyDescent="0.25">
      <c r="N78" s="72"/>
      <c r="O78" s="72"/>
      <c r="P78" s="72"/>
    </row>
    <row r="79" spans="1:53" x14ac:dyDescent="0.25">
      <c r="N79" s="72"/>
      <c r="O79" s="72"/>
      <c r="P79" s="72"/>
    </row>
    <row r="80" spans="1:53" x14ac:dyDescent="0.25">
      <c r="N80" s="72"/>
      <c r="O80" s="72"/>
      <c r="P80" s="72"/>
    </row>
  </sheetData>
  <mergeCells count="13">
    <mergeCell ref="BS2:BV2"/>
    <mergeCell ref="BW2:CB2"/>
    <mergeCell ref="CC2:CH2"/>
    <mergeCell ref="A2:A3"/>
    <mergeCell ref="AA2:AF2"/>
    <mergeCell ref="AO2:AR2"/>
    <mergeCell ref="AU2:AX2"/>
    <mergeCell ref="BA2:BD2"/>
    <mergeCell ref="BG2:BJ2"/>
    <mergeCell ref="BM2:BP2"/>
    <mergeCell ref="Q2:S2"/>
    <mergeCell ref="T2:V2"/>
    <mergeCell ref="W2:Y2"/>
  </mergeCells>
  <conditionalFormatting sqref="AO5:AR24 BM5:BP24 R5:S25 G5:P25 T27:Z27 AO25 BM25 R39:Z40 H44:Z44 G45:Z46 AI5:AL48 AU5:AX48 BA5:BD48 BG5:BJ48 H48:J48 BG49 Q47:Z50 B25:S27 B28:Z28 B29:S29 B30:Z38 B39:P40 B41:Z43 L52:V52 B44:F52 H50:J52 Q53:R69 T53:V69 BA49:BA69 AU49:AU69 Z52:Z69">
    <cfRule type="cellIs" dxfId="399" priority="100" operator="lessThan">
      <formula>40</formula>
    </cfRule>
    <cfRule type="cellIs" dxfId="398" priority="102" operator="greaterThan">
      <formula>80</formula>
    </cfRule>
  </conditionalFormatting>
  <conditionalFormatting sqref="AA5:AC48 AA49:AA69">
    <cfRule type="cellIs" dxfId="397" priority="101" operator="greaterThan">
      <formula>80</formula>
    </cfRule>
  </conditionalFormatting>
  <conditionalFormatting sqref="AD5:AF48">
    <cfRule type="cellIs" dxfId="396" priority="98" operator="lessThan">
      <formula>40</formula>
    </cfRule>
    <cfRule type="cellIs" dxfId="395" priority="99" operator="greaterThan">
      <formula>80</formula>
    </cfRule>
  </conditionalFormatting>
  <conditionalFormatting sqref="B5:B25">
    <cfRule type="cellIs" dxfId="394" priority="97" operator="greaterThan">
      <formula>80</formula>
    </cfRule>
  </conditionalFormatting>
  <conditionalFormatting sqref="B5:B17">
    <cfRule type="cellIs" dxfId="393" priority="96" operator="lessThan">
      <formula>35</formula>
    </cfRule>
  </conditionalFormatting>
  <conditionalFormatting sqref="E5:E25 E28:E52">
    <cfRule type="cellIs" dxfId="392" priority="95" operator="greaterThan">
      <formula>80</formula>
    </cfRule>
  </conditionalFormatting>
  <conditionalFormatting sqref="E5:E17">
    <cfRule type="cellIs" dxfId="391" priority="94" operator="lessThan">
      <formula>35</formula>
    </cfRule>
  </conditionalFormatting>
  <conditionalFormatting sqref="D5:D25 D28:D52">
    <cfRule type="cellIs" dxfId="390" priority="93" operator="greaterThan">
      <formula>80</formula>
    </cfRule>
  </conditionalFormatting>
  <conditionalFormatting sqref="D5:D17">
    <cfRule type="cellIs" dxfId="389" priority="92" operator="lessThan">
      <formula>35</formula>
    </cfRule>
  </conditionalFormatting>
  <conditionalFormatting sqref="F5:F25">
    <cfRule type="cellIs" dxfId="388" priority="91" operator="greaterThan">
      <formula>80</formula>
    </cfRule>
  </conditionalFormatting>
  <conditionalFormatting sqref="F5:F17">
    <cfRule type="cellIs" dxfId="387" priority="90" operator="lessThan">
      <formula>35</formula>
    </cfRule>
  </conditionalFormatting>
  <conditionalFormatting sqref="BM26:BM31 BN25:BP31 BM32:BP48 BM49:BM50">
    <cfRule type="cellIs" dxfId="386" priority="88" operator="lessThan">
      <formula>40</formula>
    </cfRule>
    <cfRule type="cellIs" dxfId="385" priority="89" operator="greaterThan">
      <formula>80</formula>
    </cfRule>
  </conditionalFormatting>
  <conditionalFormatting sqref="Q5:Q25">
    <cfRule type="cellIs" dxfId="384" priority="87" operator="greaterThan">
      <formula>80</formula>
    </cfRule>
  </conditionalFormatting>
  <conditionalFormatting sqref="Q5:Q17">
    <cfRule type="cellIs" dxfId="383" priority="86" operator="lessThan">
      <formula>35</formula>
    </cfRule>
  </conditionalFormatting>
  <conditionalFormatting sqref="AO26:AO31 AP25:AR31 AO32:AR48 AO49:AO69">
    <cfRule type="cellIs" dxfId="382" priority="84" operator="lessThan">
      <formula>40</formula>
    </cfRule>
    <cfRule type="cellIs" dxfId="381" priority="85" operator="greaterThan">
      <formula>80</formula>
    </cfRule>
  </conditionalFormatting>
  <conditionalFormatting sqref="C5:C25 C28:C52">
    <cfRule type="cellIs" dxfId="380" priority="83" operator="greaterThan">
      <formula>80</formula>
    </cfRule>
  </conditionalFormatting>
  <conditionalFormatting sqref="C5:C17">
    <cfRule type="cellIs" dxfId="379" priority="82" operator="lessThan">
      <formula>35</formula>
    </cfRule>
  </conditionalFormatting>
  <conditionalFormatting sqref="BS5:BV48 BS49:BS50">
    <cfRule type="cellIs" dxfId="378" priority="80" operator="lessThan">
      <formula>40</formula>
    </cfRule>
    <cfRule type="cellIs" dxfId="377" priority="81" operator="greaterThan">
      <formula>80</formula>
    </cfRule>
  </conditionalFormatting>
  <conditionalFormatting sqref="BY25:BY50">
    <cfRule type="cellIs" dxfId="376" priority="78" operator="lessThan">
      <formula>40</formula>
    </cfRule>
    <cfRule type="cellIs" dxfId="375" priority="79" operator="greaterThan">
      <formula>80</formula>
    </cfRule>
  </conditionalFormatting>
  <conditionalFormatting sqref="BZ25:CB48">
    <cfRule type="cellIs" dxfId="374" priority="76" operator="lessThan">
      <formula>40</formula>
    </cfRule>
    <cfRule type="cellIs" dxfId="373" priority="77" operator="greaterThan">
      <formula>80</formula>
    </cfRule>
  </conditionalFormatting>
  <conditionalFormatting sqref="Q39:Q40">
    <cfRule type="cellIs" dxfId="372" priority="74" operator="lessThan">
      <formula>40</formula>
    </cfRule>
    <cfRule type="cellIs" dxfId="371" priority="75" operator="greaterThan">
      <formula>80</formula>
    </cfRule>
  </conditionalFormatting>
  <conditionalFormatting sqref="G47:P47">
    <cfRule type="cellIs" dxfId="370" priority="72" operator="lessThan">
      <formula>40</formula>
    </cfRule>
    <cfRule type="cellIs" dxfId="369" priority="73" operator="greaterThan">
      <formula>80</formula>
    </cfRule>
  </conditionalFormatting>
  <conditionalFormatting sqref="H49:J49">
    <cfRule type="cellIs" dxfId="368" priority="70" operator="lessThan">
      <formula>40</formula>
    </cfRule>
    <cfRule type="cellIs" dxfId="367" priority="71" operator="greaterThan">
      <formula>80</formula>
    </cfRule>
  </conditionalFormatting>
  <conditionalFormatting sqref="B53:K53">
    <cfRule type="cellIs" dxfId="366" priority="68" operator="lessThan">
      <formula>40</formula>
    </cfRule>
    <cfRule type="cellIs" dxfId="365" priority="69" operator="greaterThan">
      <formula>80</formula>
    </cfRule>
  </conditionalFormatting>
  <conditionalFormatting sqref="E53:E69 J53:J69">
    <cfRule type="cellIs" dxfId="364" priority="67" operator="greaterThan">
      <formula>80</formula>
    </cfRule>
  </conditionalFormatting>
  <conditionalFormatting sqref="D53:D69 I53:I69">
    <cfRule type="cellIs" dxfId="363" priority="66" operator="greaterThan">
      <formula>80</formula>
    </cfRule>
  </conditionalFormatting>
  <conditionalFormatting sqref="C53:C69 H53:H69">
    <cfRule type="cellIs" dxfId="362" priority="65" operator="greaterThan">
      <formula>80</formula>
    </cfRule>
  </conditionalFormatting>
  <conditionalFormatting sqref="L53:P53">
    <cfRule type="cellIs" dxfId="361" priority="63" operator="lessThan">
      <formula>40</formula>
    </cfRule>
    <cfRule type="cellIs" dxfId="360" priority="64" operator="greaterThan">
      <formula>80</formula>
    </cfRule>
  </conditionalFormatting>
  <conditionalFormatting sqref="O53:O69">
    <cfRule type="cellIs" dxfId="359" priority="62" operator="greaterThan">
      <formula>80</formula>
    </cfRule>
  </conditionalFormatting>
  <conditionalFormatting sqref="N53:N69">
    <cfRule type="cellIs" dxfId="358" priority="61" operator="greaterThan">
      <formula>80</formula>
    </cfRule>
  </conditionalFormatting>
  <conditionalFormatting sqref="M53:M69">
    <cfRule type="cellIs" dxfId="357" priority="60" operator="greaterThan">
      <formula>80</formula>
    </cfRule>
  </conditionalFormatting>
  <conditionalFormatting sqref="S53:S69">
    <cfRule type="cellIs" dxfId="356" priority="58" operator="lessThan">
      <formula>40</formula>
    </cfRule>
    <cfRule type="cellIs" dxfId="355" priority="59" operator="greaterThan">
      <formula>80</formula>
    </cfRule>
  </conditionalFormatting>
  <conditionalFormatting sqref="T25:Z51 T52:V69 Z52:Z6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X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2:Y6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K69">
    <cfRule type="cellIs" dxfId="354" priority="28" operator="lessThan">
      <formula>40</formula>
    </cfRule>
    <cfRule type="cellIs" dxfId="353" priority="29" operator="greaterThan">
      <formula>80</formula>
    </cfRule>
  </conditionalFormatting>
  <conditionalFormatting sqref="L54:P69">
    <cfRule type="cellIs" dxfId="352" priority="26" operator="lessThan">
      <formula>40</formula>
    </cfRule>
    <cfRule type="cellIs" dxfId="351" priority="27" operator="greaterThan">
      <formula>80</formula>
    </cfRule>
  </conditionalFormatting>
  <conditionalFormatting sqref="BA4 AU4">
    <cfRule type="cellIs" dxfId="350" priority="3" operator="lessThan">
      <formula>40</formula>
    </cfRule>
    <cfRule type="cellIs" dxfId="349" priority="4" operator="greaterThan">
      <formula>80</formula>
    </cfRule>
  </conditionalFormatting>
  <conditionalFormatting sqref="B4:AT4">
    <cfRule type="cellIs" dxfId="348" priority="1" operator="lessThan">
      <formula>40</formula>
    </cfRule>
    <cfRule type="cellIs" dxfId="347" priority="2" operator="greaterThan">
      <formula>80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19CC-E6C0-48A3-B42B-3921DF6EA3B8}">
  <sheetPr>
    <tabColor rgb="FF00B050"/>
  </sheetPr>
  <dimension ref="A1:AQ12"/>
  <sheetViews>
    <sheetView workbookViewId="0">
      <selection activeCell="A66" sqref="A66"/>
    </sheetView>
  </sheetViews>
  <sheetFormatPr defaultRowHeight="15" x14ac:dyDescent="0.25"/>
  <cols>
    <col min="1" max="1" width="10.7109375" bestFit="1" customWidth="1"/>
  </cols>
  <sheetData>
    <row r="1" spans="1:43" ht="14.45" customHeight="1" x14ac:dyDescent="0.25">
      <c r="B1" t="s">
        <v>131</v>
      </c>
      <c r="C1" s="38" t="s">
        <v>132</v>
      </c>
      <c r="D1" s="39" t="s">
        <v>133</v>
      </c>
      <c r="E1" s="38" t="s">
        <v>134</v>
      </c>
      <c r="F1" s="39" t="s">
        <v>135</v>
      </c>
      <c r="G1" s="39" t="s">
        <v>136</v>
      </c>
      <c r="H1" s="38" t="s">
        <v>137</v>
      </c>
      <c r="I1" s="85" t="s">
        <v>138</v>
      </c>
      <c r="J1" s="85" t="s">
        <v>139</v>
      </c>
      <c r="K1" s="83" t="s">
        <v>140</v>
      </c>
      <c r="L1" s="84" t="s">
        <v>141</v>
      </c>
      <c r="M1" t="s">
        <v>131</v>
      </c>
      <c r="N1" s="38" t="s">
        <v>132</v>
      </c>
      <c r="O1" s="39" t="s">
        <v>133</v>
      </c>
      <c r="P1" s="38" t="s">
        <v>134</v>
      </c>
      <c r="Q1" s="39" t="s">
        <v>135</v>
      </c>
      <c r="R1" s="39" t="s">
        <v>136</v>
      </c>
      <c r="S1" s="38" t="s">
        <v>137</v>
      </c>
      <c r="T1" s="85" t="s">
        <v>138</v>
      </c>
      <c r="U1" s="85" t="s">
        <v>139</v>
      </c>
      <c r="V1" s="83" t="s">
        <v>140</v>
      </c>
      <c r="W1" s="83" t="s">
        <v>141</v>
      </c>
      <c r="X1" t="s">
        <v>131</v>
      </c>
      <c r="Y1" s="38" t="s">
        <v>132</v>
      </c>
      <c r="Z1" s="39" t="s">
        <v>133</v>
      </c>
      <c r="AA1" s="38" t="s">
        <v>134</v>
      </c>
      <c r="AB1" s="39" t="s">
        <v>135</v>
      </c>
      <c r="AC1" s="39" t="s">
        <v>136</v>
      </c>
      <c r="AD1" s="38" t="s">
        <v>137</v>
      </c>
      <c r="AE1" s="85" t="s">
        <v>138</v>
      </c>
      <c r="AF1" s="85" t="s">
        <v>139</v>
      </c>
      <c r="AG1" s="83" t="s">
        <v>140</v>
      </c>
      <c r="AH1" s="83" t="s">
        <v>141</v>
      </c>
      <c r="AI1" s="639" t="s">
        <v>142</v>
      </c>
      <c r="AJ1" s="635"/>
      <c r="AK1" s="629"/>
      <c r="AL1" s="639" t="s">
        <v>143</v>
      </c>
      <c r="AM1" s="635"/>
      <c r="AN1" s="629"/>
      <c r="AO1" s="645" t="s">
        <v>62</v>
      </c>
      <c r="AP1" s="646"/>
      <c r="AQ1" s="646"/>
    </row>
    <row r="2" spans="1:43" ht="30" x14ac:dyDescent="0.25">
      <c r="A2" t="s">
        <v>22</v>
      </c>
      <c r="B2" t="s">
        <v>23</v>
      </c>
      <c r="C2" s="83" t="s">
        <v>75</v>
      </c>
      <c r="D2" s="85" t="s">
        <v>75</v>
      </c>
      <c r="E2" s="83" t="s">
        <v>75</v>
      </c>
      <c r="F2" s="85" t="s">
        <v>75</v>
      </c>
      <c r="G2" s="85" t="s">
        <v>75</v>
      </c>
      <c r="H2" s="83" t="s">
        <v>75</v>
      </c>
      <c r="I2" s="85" t="s">
        <v>75</v>
      </c>
      <c r="J2" s="85" t="s">
        <v>75</v>
      </c>
      <c r="K2" s="83" t="s">
        <v>75</v>
      </c>
      <c r="L2" s="83" t="s">
        <v>75</v>
      </c>
      <c r="M2" s="97" t="s">
        <v>24</v>
      </c>
      <c r="N2" s="85" t="s">
        <v>24</v>
      </c>
      <c r="O2" s="85" t="s">
        <v>24</v>
      </c>
      <c r="P2" s="85" t="s">
        <v>24</v>
      </c>
      <c r="Q2" s="85" t="s">
        <v>24</v>
      </c>
      <c r="R2" s="85" t="s">
        <v>24</v>
      </c>
      <c r="S2" s="85" t="s">
        <v>24</v>
      </c>
      <c r="T2" s="85" t="s">
        <v>24</v>
      </c>
      <c r="U2" s="85" t="s">
        <v>24</v>
      </c>
      <c r="V2" s="85" t="s">
        <v>24</v>
      </c>
      <c r="W2" s="98" t="s">
        <v>24</v>
      </c>
      <c r="X2" s="262" t="s">
        <v>25</v>
      </c>
      <c r="Y2" s="85" t="s">
        <v>25</v>
      </c>
      <c r="Z2" s="85" t="s">
        <v>25</v>
      </c>
      <c r="AA2" s="85" t="s">
        <v>25</v>
      </c>
      <c r="AB2" s="85" t="s">
        <v>25</v>
      </c>
      <c r="AC2" s="85" t="s">
        <v>25</v>
      </c>
      <c r="AD2" s="85" t="s">
        <v>25</v>
      </c>
      <c r="AE2" s="85" t="s">
        <v>25</v>
      </c>
      <c r="AF2" s="85" t="s">
        <v>25</v>
      </c>
      <c r="AG2" s="85" t="s">
        <v>25</v>
      </c>
      <c r="AH2" s="85" t="s">
        <v>25</v>
      </c>
      <c r="AI2" s="85" t="s">
        <v>75</v>
      </c>
      <c r="AJ2" s="85" t="s">
        <v>24</v>
      </c>
      <c r="AK2" s="85" t="s">
        <v>25</v>
      </c>
      <c r="AL2" s="83" t="s">
        <v>75</v>
      </c>
      <c r="AM2" s="85" t="s">
        <v>24</v>
      </c>
      <c r="AN2" s="85" t="s">
        <v>25</v>
      </c>
      <c r="AO2" s="83" t="s">
        <v>75</v>
      </c>
      <c r="AP2" s="85" t="s">
        <v>24</v>
      </c>
      <c r="AQ2" s="85" t="s">
        <v>25</v>
      </c>
    </row>
    <row r="3" spans="1:43" x14ac:dyDescent="0.25">
      <c r="A3" s="10">
        <v>44593</v>
      </c>
      <c r="B3" s="14">
        <v>69</v>
      </c>
      <c r="C3" s="7">
        <v>95</v>
      </c>
      <c r="D3" s="7">
        <v>41</v>
      </c>
      <c r="E3" s="7">
        <v>171</v>
      </c>
      <c r="F3" s="7">
        <v>33</v>
      </c>
      <c r="G3" s="7">
        <v>55</v>
      </c>
      <c r="H3" s="7">
        <v>70</v>
      </c>
      <c r="I3" s="7">
        <v>203</v>
      </c>
      <c r="J3" s="7">
        <v>60</v>
      </c>
      <c r="K3" s="7">
        <v>9</v>
      </c>
      <c r="L3" s="8">
        <v>0</v>
      </c>
      <c r="M3" s="14">
        <v>45</v>
      </c>
      <c r="N3" s="7">
        <v>53</v>
      </c>
      <c r="O3" s="7">
        <v>30</v>
      </c>
      <c r="P3" s="7">
        <v>142</v>
      </c>
      <c r="Q3" s="7">
        <v>19</v>
      </c>
      <c r="R3" s="7">
        <v>22</v>
      </c>
      <c r="S3" s="7">
        <v>59</v>
      </c>
      <c r="T3" s="7">
        <v>144</v>
      </c>
      <c r="U3" s="7">
        <v>56</v>
      </c>
      <c r="V3" s="7">
        <v>11</v>
      </c>
      <c r="W3" s="8">
        <v>0</v>
      </c>
      <c r="X3" s="14">
        <v>54</v>
      </c>
      <c r="Y3" s="7">
        <v>79</v>
      </c>
      <c r="Z3" s="7">
        <v>60</v>
      </c>
      <c r="AA3" s="7">
        <v>92</v>
      </c>
      <c r="AB3" s="7">
        <v>34</v>
      </c>
      <c r="AC3" s="7">
        <v>37</v>
      </c>
      <c r="AD3" s="7">
        <v>71</v>
      </c>
      <c r="AE3" s="7">
        <v>197</v>
      </c>
      <c r="AF3" s="7">
        <v>52</v>
      </c>
      <c r="AG3" s="7">
        <v>25</v>
      </c>
      <c r="AH3" s="8">
        <v>0</v>
      </c>
      <c r="AI3" s="7">
        <v>93</v>
      </c>
      <c r="AJ3" s="7">
        <v>64</v>
      </c>
      <c r="AK3" s="8">
        <v>82</v>
      </c>
      <c r="AL3" s="9">
        <v>1035</v>
      </c>
      <c r="AM3">
        <v>1122</v>
      </c>
      <c r="AN3" s="46">
        <v>1035</v>
      </c>
      <c r="AO3" s="16">
        <f t="shared" ref="AO3:AQ12" si="0">((AL3/37.5)/0.83)*(AI3/100)</f>
        <v>30.925301204819281</v>
      </c>
      <c r="AP3" s="11">
        <f t="shared" si="0"/>
        <v>23.070843373493975</v>
      </c>
      <c r="AQ3" s="519">
        <f t="shared" si="0"/>
        <v>27.267469879518071</v>
      </c>
    </row>
    <row r="4" spans="1:43" x14ac:dyDescent="0.25">
      <c r="A4" s="10">
        <v>44617</v>
      </c>
      <c r="B4" s="14">
        <v>56</v>
      </c>
      <c r="C4" s="7">
        <v>88</v>
      </c>
      <c r="D4" s="7">
        <v>38</v>
      </c>
      <c r="E4" s="7">
        <v>176</v>
      </c>
      <c r="F4" s="7">
        <v>42</v>
      </c>
      <c r="G4" s="7">
        <v>41</v>
      </c>
      <c r="H4" s="7">
        <v>73</v>
      </c>
      <c r="I4" s="7">
        <v>204</v>
      </c>
      <c r="J4" s="7">
        <v>66</v>
      </c>
      <c r="K4" s="7">
        <v>11</v>
      </c>
      <c r="L4" s="8">
        <v>0</v>
      </c>
      <c r="M4" s="14">
        <v>41</v>
      </c>
      <c r="N4" s="7">
        <v>54</v>
      </c>
      <c r="O4" s="7">
        <v>37</v>
      </c>
      <c r="P4" s="7">
        <v>177</v>
      </c>
      <c r="Q4" s="7">
        <v>13</v>
      </c>
      <c r="R4" s="7">
        <v>22</v>
      </c>
      <c r="S4" s="7">
        <v>49</v>
      </c>
      <c r="T4" s="7">
        <v>160</v>
      </c>
      <c r="U4" s="7">
        <v>43</v>
      </c>
      <c r="V4" s="7">
        <v>18</v>
      </c>
      <c r="W4" s="8">
        <v>0</v>
      </c>
      <c r="X4" s="14">
        <v>65</v>
      </c>
      <c r="Y4" s="7">
        <v>100</v>
      </c>
      <c r="Z4" s="7">
        <v>62</v>
      </c>
      <c r="AA4" s="7">
        <v>94</v>
      </c>
      <c r="AB4" s="7">
        <v>42</v>
      </c>
      <c r="AC4" s="7">
        <v>38</v>
      </c>
      <c r="AD4" s="7">
        <v>72</v>
      </c>
      <c r="AE4" s="7">
        <v>198</v>
      </c>
      <c r="AF4" s="7">
        <v>52</v>
      </c>
      <c r="AG4" s="7">
        <v>18</v>
      </c>
      <c r="AH4" s="8">
        <v>0</v>
      </c>
      <c r="AI4" s="7">
        <v>115</v>
      </c>
      <c r="AJ4" s="7">
        <v>73</v>
      </c>
      <c r="AK4" s="8">
        <v>105</v>
      </c>
      <c r="AL4" s="9">
        <v>892</v>
      </c>
      <c r="AM4">
        <v>945</v>
      </c>
      <c r="AN4" s="46">
        <v>864</v>
      </c>
      <c r="AO4" s="16">
        <f t="shared" si="0"/>
        <v>32.957429718875503</v>
      </c>
      <c r="AP4" s="11">
        <f t="shared" si="0"/>
        <v>22.163855421686748</v>
      </c>
      <c r="AQ4" s="519">
        <f t="shared" si="0"/>
        <v>29.14698795180723</v>
      </c>
    </row>
    <row r="5" spans="1:43" x14ac:dyDescent="0.25">
      <c r="A5" s="10">
        <v>44655</v>
      </c>
      <c r="B5" s="14">
        <v>50</v>
      </c>
      <c r="C5" s="7">
        <v>71</v>
      </c>
      <c r="D5" s="7">
        <v>41</v>
      </c>
      <c r="E5" s="7">
        <v>245</v>
      </c>
      <c r="F5" s="7">
        <v>23</v>
      </c>
      <c r="G5" s="7">
        <v>37</v>
      </c>
      <c r="H5" s="7">
        <v>60</v>
      </c>
      <c r="I5" s="7">
        <v>175</v>
      </c>
      <c r="J5" s="7">
        <v>62</v>
      </c>
      <c r="K5" s="7">
        <v>17</v>
      </c>
      <c r="L5" s="8">
        <v>0</v>
      </c>
      <c r="M5" s="14">
        <v>48</v>
      </c>
      <c r="N5" s="7">
        <v>32</v>
      </c>
      <c r="O5" s="7">
        <v>39</v>
      </c>
      <c r="P5" s="7">
        <v>97</v>
      </c>
      <c r="Q5" s="7">
        <v>29</v>
      </c>
      <c r="R5" s="7">
        <v>31</v>
      </c>
      <c r="S5" s="7">
        <v>51</v>
      </c>
      <c r="T5" s="7">
        <v>176</v>
      </c>
      <c r="U5" s="7">
        <v>43</v>
      </c>
      <c r="V5" s="7">
        <v>18</v>
      </c>
      <c r="W5" s="8">
        <v>0</v>
      </c>
      <c r="X5" s="14">
        <v>58</v>
      </c>
      <c r="Y5" s="7">
        <v>78</v>
      </c>
      <c r="Z5" s="7">
        <v>53</v>
      </c>
      <c r="AA5" s="7">
        <v>91</v>
      </c>
      <c r="AB5" s="7">
        <v>43</v>
      </c>
      <c r="AC5" s="7">
        <v>37</v>
      </c>
      <c r="AD5" s="7">
        <v>69</v>
      </c>
      <c r="AE5" s="7">
        <v>183</v>
      </c>
      <c r="AF5" s="7">
        <v>55</v>
      </c>
      <c r="AG5" s="7">
        <v>18</v>
      </c>
      <c r="AH5" s="8">
        <v>0</v>
      </c>
      <c r="AI5" s="7">
        <v>100</v>
      </c>
      <c r="AJ5" s="7">
        <v>73</v>
      </c>
      <c r="AK5" s="8">
        <v>92</v>
      </c>
      <c r="AL5" s="9">
        <v>888</v>
      </c>
      <c r="AM5">
        <v>990</v>
      </c>
      <c r="AN5" s="46">
        <v>883</v>
      </c>
      <c r="AO5" s="16">
        <f t="shared" si="0"/>
        <v>28.53012048192771</v>
      </c>
      <c r="AP5" s="11">
        <f t="shared" si="0"/>
        <v>23.219277108433737</v>
      </c>
      <c r="AQ5" s="519">
        <f t="shared" si="0"/>
        <v>26.099919678714862</v>
      </c>
    </row>
    <row r="6" spans="1:43" x14ac:dyDescent="0.25">
      <c r="A6" s="10">
        <v>44714</v>
      </c>
      <c r="B6" s="14">
        <v>39</v>
      </c>
      <c r="C6" s="7">
        <v>69</v>
      </c>
      <c r="D6" s="7">
        <v>30</v>
      </c>
      <c r="E6" s="7">
        <v>196</v>
      </c>
      <c r="F6" s="7">
        <v>12</v>
      </c>
      <c r="G6" s="7">
        <v>27</v>
      </c>
      <c r="H6" s="7">
        <v>40</v>
      </c>
      <c r="I6" s="7">
        <v>142</v>
      </c>
      <c r="J6" s="7">
        <v>30</v>
      </c>
      <c r="K6" s="7">
        <v>14</v>
      </c>
      <c r="L6" s="8">
        <v>0</v>
      </c>
      <c r="M6" s="14">
        <v>41</v>
      </c>
      <c r="N6" s="7">
        <v>76</v>
      </c>
      <c r="O6" s="7">
        <v>54</v>
      </c>
      <c r="P6" s="7">
        <v>139</v>
      </c>
      <c r="Q6" s="7">
        <v>39</v>
      </c>
      <c r="R6" s="7">
        <v>31</v>
      </c>
      <c r="S6" s="7">
        <v>57</v>
      </c>
      <c r="T6" s="7">
        <v>161</v>
      </c>
      <c r="U6" s="7">
        <v>38</v>
      </c>
      <c r="V6" s="7">
        <v>23</v>
      </c>
      <c r="W6" s="8">
        <v>0</v>
      </c>
      <c r="X6" s="14">
        <v>47</v>
      </c>
      <c r="Y6" s="7">
        <v>82</v>
      </c>
      <c r="Z6" s="7">
        <v>34</v>
      </c>
      <c r="AA6" s="7">
        <v>99</v>
      </c>
      <c r="AB6" s="7">
        <v>21</v>
      </c>
      <c r="AC6" s="7">
        <v>34</v>
      </c>
      <c r="AD6" s="7">
        <v>70</v>
      </c>
      <c r="AE6" s="7">
        <v>170</v>
      </c>
      <c r="AF6" s="7">
        <v>49</v>
      </c>
      <c r="AG6" s="7">
        <v>20</v>
      </c>
      <c r="AH6" s="8">
        <v>0</v>
      </c>
      <c r="AI6" s="7">
        <v>67</v>
      </c>
      <c r="AJ6" s="7">
        <v>75</v>
      </c>
      <c r="AK6" s="8">
        <v>72</v>
      </c>
      <c r="AL6" s="9">
        <v>1105</v>
      </c>
      <c r="AM6">
        <v>1122</v>
      </c>
      <c r="AN6" s="46">
        <v>1008</v>
      </c>
      <c r="AO6" s="16">
        <f t="shared" si="0"/>
        <v>23.786345381526107</v>
      </c>
      <c r="AP6" s="11">
        <f t="shared" si="0"/>
        <v>27.036144578313255</v>
      </c>
      <c r="AQ6" s="519">
        <f t="shared" si="0"/>
        <v>23.317590361445781</v>
      </c>
    </row>
    <row r="7" spans="1:43" x14ac:dyDescent="0.25">
      <c r="A7" s="10">
        <v>44753</v>
      </c>
      <c r="B7" s="14">
        <v>26</v>
      </c>
      <c r="C7" s="7">
        <v>35</v>
      </c>
      <c r="D7" s="7">
        <v>43</v>
      </c>
      <c r="E7" s="7">
        <v>215</v>
      </c>
      <c r="F7" s="7">
        <v>26</v>
      </c>
      <c r="G7" s="7">
        <v>19</v>
      </c>
      <c r="H7" s="7">
        <v>52</v>
      </c>
      <c r="I7" s="7">
        <v>191</v>
      </c>
      <c r="J7" s="7">
        <v>22</v>
      </c>
      <c r="K7" s="7">
        <v>18</v>
      </c>
      <c r="L7" s="8">
        <v>0</v>
      </c>
      <c r="M7" s="14">
        <v>46</v>
      </c>
      <c r="N7" s="7">
        <v>134</v>
      </c>
      <c r="O7" s="7">
        <v>91</v>
      </c>
      <c r="P7" s="7">
        <v>69</v>
      </c>
      <c r="Q7" s="7">
        <v>40</v>
      </c>
      <c r="R7" s="7">
        <v>35</v>
      </c>
      <c r="S7" s="7">
        <v>90</v>
      </c>
      <c r="T7" s="7">
        <v>201</v>
      </c>
      <c r="U7" s="7">
        <v>45</v>
      </c>
      <c r="V7" s="7">
        <v>34</v>
      </c>
      <c r="W7" s="8">
        <v>0</v>
      </c>
      <c r="X7" s="14">
        <v>33</v>
      </c>
      <c r="Y7" s="7">
        <v>55</v>
      </c>
      <c r="Z7" s="7">
        <v>22</v>
      </c>
      <c r="AA7" s="7">
        <v>87</v>
      </c>
      <c r="AB7" s="7">
        <v>8</v>
      </c>
      <c r="AC7" s="7">
        <v>32</v>
      </c>
      <c r="AD7" s="7">
        <v>74</v>
      </c>
      <c r="AE7" s="7">
        <v>173</v>
      </c>
      <c r="AF7" s="7">
        <v>49</v>
      </c>
      <c r="AG7" s="7">
        <v>21</v>
      </c>
      <c r="AH7" s="8">
        <v>0</v>
      </c>
      <c r="AI7" s="7">
        <v>68</v>
      </c>
      <c r="AJ7" s="7">
        <v>99</v>
      </c>
      <c r="AK7" s="8">
        <v>61</v>
      </c>
      <c r="AL7" s="9">
        <v>1140</v>
      </c>
      <c r="AM7">
        <v>947</v>
      </c>
      <c r="AN7" s="46">
        <v>1079</v>
      </c>
      <c r="AO7" s="16">
        <f t="shared" si="0"/>
        <v>24.906024096385543</v>
      </c>
      <c r="AP7" s="11">
        <f t="shared" si="0"/>
        <v>30.121445783132533</v>
      </c>
      <c r="AQ7" s="519">
        <f t="shared" si="0"/>
        <v>21.146666666666668</v>
      </c>
    </row>
    <row r="8" spans="1:43" x14ac:dyDescent="0.25">
      <c r="A8" s="10">
        <v>44774</v>
      </c>
      <c r="B8" s="14">
        <v>37</v>
      </c>
      <c r="C8" s="7">
        <v>57</v>
      </c>
      <c r="D8" s="7">
        <v>45</v>
      </c>
      <c r="E8" s="7">
        <v>176</v>
      </c>
      <c r="F8" s="7">
        <v>38</v>
      </c>
      <c r="G8" s="7">
        <v>22</v>
      </c>
      <c r="H8" s="7">
        <v>62</v>
      </c>
      <c r="I8" s="7">
        <v>152</v>
      </c>
      <c r="J8" s="7">
        <v>29</v>
      </c>
      <c r="K8" s="7">
        <v>25</v>
      </c>
      <c r="L8" s="8">
        <v>0</v>
      </c>
      <c r="M8" s="14">
        <v>48</v>
      </c>
      <c r="N8" s="7">
        <v>104</v>
      </c>
      <c r="O8" s="7">
        <v>66</v>
      </c>
      <c r="P8" s="7">
        <v>74</v>
      </c>
      <c r="Q8" s="7">
        <v>35</v>
      </c>
      <c r="R8" s="7">
        <v>31</v>
      </c>
      <c r="S8" s="7">
        <v>43</v>
      </c>
      <c r="T8" s="7">
        <v>93</v>
      </c>
      <c r="U8" s="7">
        <v>41</v>
      </c>
      <c r="V8" s="7">
        <v>0</v>
      </c>
      <c r="W8" s="8">
        <v>0</v>
      </c>
      <c r="X8" s="14">
        <v>31</v>
      </c>
      <c r="Y8" s="7">
        <v>42</v>
      </c>
      <c r="Z8" s="7">
        <v>28</v>
      </c>
      <c r="AA8" s="7">
        <v>85</v>
      </c>
      <c r="AB8" s="7">
        <v>8</v>
      </c>
      <c r="AC8" s="7">
        <v>31</v>
      </c>
      <c r="AD8" s="7">
        <v>42</v>
      </c>
      <c r="AE8" s="7">
        <v>92</v>
      </c>
      <c r="AF8" s="7">
        <v>46</v>
      </c>
      <c r="AG8" s="7">
        <v>0</v>
      </c>
      <c r="AH8" s="8">
        <v>0</v>
      </c>
      <c r="AI8" s="7">
        <v>73</v>
      </c>
      <c r="AJ8" s="7">
        <v>68</v>
      </c>
      <c r="AK8" s="8">
        <v>43</v>
      </c>
      <c r="AL8" s="9">
        <v>1122</v>
      </c>
      <c r="AM8">
        <v>947</v>
      </c>
      <c r="AN8" s="46">
        <v>1087</v>
      </c>
      <c r="AO8" s="16">
        <f t="shared" si="0"/>
        <v>26.315180722891565</v>
      </c>
      <c r="AP8" s="11">
        <f t="shared" si="0"/>
        <v>20.689477911646588</v>
      </c>
      <c r="AQ8" s="519">
        <f t="shared" si="0"/>
        <v>15.017188755020081</v>
      </c>
    </row>
    <row r="9" spans="1:43" x14ac:dyDescent="0.25">
      <c r="A9" s="10">
        <v>44805</v>
      </c>
      <c r="B9" s="14">
        <v>46</v>
      </c>
      <c r="C9" s="7">
        <v>73</v>
      </c>
      <c r="D9" s="7">
        <v>52</v>
      </c>
      <c r="E9" s="7">
        <v>159</v>
      </c>
      <c r="F9" s="7">
        <v>51</v>
      </c>
      <c r="G9" s="7">
        <v>22</v>
      </c>
      <c r="H9" s="7">
        <v>84</v>
      </c>
      <c r="I9" s="7">
        <v>178</v>
      </c>
      <c r="J9" s="7">
        <v>25</v>
      </c>
      <c r="K9" s="7">
        <v>25</v>
      </c>
      <c r="L9" s="8">
        <v>0</v>
      </c>
      <c r="M9" s="14">
        <v>60</v>
      </c>
      <c r="N9" s="7">
        <v>102</v>
      </c>
      <c r="O9" s="7">
        <v>46</v>
      </c>
      <c r="P9" s="7">
        <v>88</v>
      </c>
      <c r="Q9" s="7">
        <v>20</v>
      </c>
      <c r="R9" s="7">
        <v>36</v>
      </c>
      <c r="S9" s="7">
        <v>84</v>
      </c>
      <c r="T9" s="7">
        <v>174</v>
      </c>
      <c r="U9" s="7">
        <v>51</v>
      </c>
      <c r="V9" s="7">
        <v>29</v>
      </c>
      <c r="W9" s="8">
        <v>0</v>
      </c>
      <c r="X9" s="14">
        <v>37</v>
      </c>
      <c r="Y9" s="7">
        <v>37</v>
      </c>
      <c r="Z9" s="7">
        <v>25</v>
      </c>
      <c r="AA9" s="7">
        <v>73</v>
      </c>
      <c r="AB9" s="7">
        <v>10</v>
      </c>
      <c r="AC9" s="7">
        <v>29</v>
      </c>
      <c r="AD9" s="7">
        <v>81</v>
      </c>
      <c r="AE9" s="7">
        <v>159</v>
      </c>
      <c r="AF9" s="7">
        <v>42</v>
      </c>
      <c r="AG9" s="7">
        <v>25</v>
      </c>
      <c r="AH9" s="8">
        <v>0</v>
      </c>
      <c r="AI9" s="7">
        <v>100</v>
      </c>
      <c r="AJ9" s="7">
        <v>102</v>
      </c>
      <c r="AK9" s="8">
        <v>70</v>
      </c>
      <c r="AL9" s="9">
        <v>914</v>
      </c>
      <c r="AM9">
        <v>757</v>
      </c>
      <c r="AN9" s="46">
        <v>892</v>
      </c>
      <c r="AO9" s="16">
        <f t="shared" si="0"/>
        <v>29.365461847389561</v>
      </c>
      <c r="AP9" s="11">
        <f t="shared" si="0"/>
        <v>24.807710843373496</v>
      </c>
      <c r="AQ9" s="519">
        <f t="shared" si="0"/>
        <v>20.061044176706826</v>
      </c>
    </row>
    <row r="10" spans="1:43" x14ac:dyDescent="0.25">
      <c r="A10" s="10">
        <v>44838</v>
      </c>
      <c r="B10" s="14">
        <v>57</v>
      </c>
      <c r="C10" s="7">
        <v>92</v>
      </c>
      <c r="D10" s="7">
        <v>36</v>
      </c>
      <c r="E10" s="7">
        <v>57</v>
      </c>
      <c r="F10" s="7">
        <v>49</v>
      </c>
      <c r="G10" s="7">
        <v>27</v>
      </c>
      <c r="H10" s="7">
        <v>88</v>
      </c>
      <c r="I10" s="7">
        <v>178</v>
      </c>
      <c r="J10" s="7">
        <v>42</v>
      </c>
      <c r="K10" s="7">
        <v>41</v>
      </c>
      <c r="L10" s="8">
        <v>0</v>
      </c>
      <c r="M10" s="14">
        <v>26</v>
      </c>
      <c r="N10" s="7">
        <v>61</v>
      </c>
      <c r="O10" s="7">
        <v>31</v>
      </c>
      <c r="P10" s="7">
        <v>39</v>
      </c>
      <c r="Q10" s="7">
        <v>9</v>
      </c>
      <c r="R10" s="7">
        <v>32</v>
      </c>
      <c r="S10" s="7">
        <v>54</v>
      </c>
      <c r="T10" s="7">
        <v>99</v>
      </c>
      <c r="U10" s="7">
        <v>37</v>
      </c>
      <c r="V10" s="7">
        <v>19</v>
      </c>
      <c r="W10" s="8">
        <v>0</v>
      </c>
      <c r="X10" s="14">
        <v>21</v>
      </c>
      <c r="Y10" s="7">
        <v>37</v>
      </c>
      <c r="Z10" s="7">
        <v>19</v>
      </c>
      <c r="AA10" s="7">
        <v>36</v>
      </c>
      <c r="AB10" s="7">
        <v>13</v>
      </c>
      <c r="AC10" s="7">
        <v>27</v>
      </c>
      <c r="AD10" s="7">
        <v>51</v>
      </c>
      <c r="AE10" s="7">
        <v>86</v>
      </c>
      <c r="AF10" s="7">
        <v>32</v>
      </c>
      <c r="AG10" s="7">
        <v>26</v>
      </c>
      <c r="AH10" s="8">
        <v>0</v>
      </c>
      <c r="AI10" s="7">
        <v>93</v>
      </c>
      <c r="AJ10" s="7">
        <v>55</v>
      </c>
      <c r="AK10" s="8">
        <v>47</v>
      </c>
      <c r="AL10" s="9">
        <v>822</v>
      </c>
      <c r="AM10">
        <v>944</v>
      </c>
      <c r="AN10" s="46">
        <v>960</v>
      </c>
      <c r="AO10" s="16">
        <f t="shared" si="0"/>
        <v>24.560963855421694</v>
      </c>
      <c r="AP10" s="11">
        <f t="shared" si="0"/>
        <v>16.68112449799197</v>
      </c>
      <c r="AQ10" s="519">
        <f t="shared" si="0"/>
        <v>14.496385542168676</v>
      </c>
    </row>
    <row r="11" spans="1:43" x14ac:dyDescent="0.25">
      <c r="A11" s="10">
        <v>44868</v>
      </c>
      <c r="B11" s="14">
        <v>38</v>
      </c>
      <c r="C11" s="7">
        <v>80</v>
      </c>
      <c r="D11" s="7">
        <v>17</v>
      </c>
      <c r="E11" s="7">
        <v>55</v>
      </c>
      <c r="F11" s="7">
        <v>32</v>
      </c>
      <c r="G11" s="7">
        <v>29</v>
      </c>
      <c r="H11" s="7">
        <v>45</v>
      </c>
      <c r="I11" s="7">
        <v>153</v>
      </c>
      <c r="J11" s="7">
        <v>42</v>
      </c>
      <c r="K11" s="7">
        <v>11</v>
      </c>
      <c r="L11" s="8">
        <v>0</v>
      </c>
      <c r="M11" s="14">
        <v>35</v>
      </c>
      <c r="N11" s="7">
        <v>42</v>
      </c>
      <c r="O11" s="7">
        <v>26</v>
      </c>
      <c r="P11" s="7">
        <v>47</v>
      </c>
      <c r="Q11" s="7">
        <v>5</v>
      </c>
      <c r="R11" s="7">
        <v>14</v>
      </c>
      <c r="S11" s="7">
        <v>65</v>
      </c>
      <c r="T11" s="7">
        <v>104</v>
      </c>
      <c r="U11" s="7">
        <v>19</v>
      </c>
      <c r="V11" s="7">
        <v>12</v>
      </c>
      <c r="W11" s="8">
        <v>0</v>
      </c>
      <c r="X11" s="14">
        <v>35</v>
      </c>
      <c r="Y11" s="7">
        <v>36</v>
      </c>
      <c r="Z11" s="7">
        <v>38</v>
      </c>
      <c r="AA11" s="7">
        <v>19</v>
      </c>
      <c r="AB11" s="7">
        <v>3</v>
      </c>
      <c r="AC11" s="7">
        <v>7</v>
      </c>
      <c r="AD11" s="7">
        <v>63</v>
      </c>
      <c r="AE11" s="7">
        <v>85</v>
      </c>
      <c r="AF11" s="7">
        <v>10</v>
      </c>
      <c r="AG11" s="7">
        <v>0</v>
      </c>
      <c r="AH11" s="8">
        <v>0</v>
      </c>
      <c r="AI11" s="7">
        <v>76</v>
      </c>
      <c r="AJ11" s="7">
        <v>52</v>
      </c>
      <c r="AK11" s="8">
        <v>44</v>
      </c>
      <c r="AL11" s="9">
        <v>851</v>
      </c>
      <c r="AM11">
        <v>844</v>
      </c>
      <c r="AN11" s="46">
        <v>879</v>
      </c>
      <c r="AO11" s="16">
        <f t="shared" si="0"/>
        <v>20.779437751004014</v>
      </c>
      <c r="AP11" s="11">
        <f t="shared" si="0"/>
        <v>14.100562248995987</v>
      </c>
      <c r="AQ11" s="519">
        <f t="shared" si="0"/>
        <v>12.426024096385543</v>
      </c>
    </row>
    <row r="12" spans="1:43" x14ac:dyDescent="0.25">
      <c r="AO12" s="16">
        <f>((AL12/37.5)/0.83)*(AI12/100)</f>
        <v>0</v>
      </c>
      <c r="AP12" s="11">
        <f t="shared" si="0"/>
        <v>0</v>
      </c>
      <c r="AQ12" s="519">
        <f t="shared" si="0"/>
        <v>0</v>
      </c>
    </row>
  </sheetData>
  <mergeCells count="3">
    <mergeCell ref="AL1:AN1"/>
    <mergeCell ref="AI1:AK1"/>
    <mergeCell ref="AO1:AQ1"/>
  </mergeCells>
  <conditionalFormatting sqref="B3:AK4">
    <cfRule type="cellIs" dxfId="346" priority="21" operator="lessThan">
      <formula>40</formula>
    </cfRule>
    <cfRule type="cellIs" dxfId="345" priority="22" operator="greaterThan">
      <formula>80</formula>
    </cfRule>
  </conditionalFormatting>
  <conditionalFormatting sqref="B5:AK5">
    <cfRule type="cellIs" dxfId="344" priority="19" operator="lessThan">
      <formula>40</formula>
    </cfRule>
    <cfRule type="cellIs" dxfId="343" priority="20" operator="greaterThan">
      <formula>80</formula>
    </cfRule>
  </conditionalFormatting>
  <conditionalFormatting sqref="B6:AK6">
    <cfRule type="cellIs" dxfId="342" priority="17" operator="lessThan">
      <formula>40</formula>
    </cfRule>
    <cfRule type="cellIs" dxfId="341" priority="18" operator="greaterThan">
      <formula>80</formula>
    </cfRule>
  </conditionalFormatting>
  <conditionalFormatting sqref="B7:AK7">
    <cfRule type="cellIs" dxfId="340" priority="15" operator="lessThan">
      <formula>40</formula>
    </cfRule>
    <cfRule type="cellIs" dxfId="339" priority="16" operator="greaterThan">
      <formula>80</formula>
    </cfRule>
  </conditionalFormatting>
  <conditionalFormatting sqref="B8:AK8">
    <cfRule type="cellIs" dxfId="338" priority="13" operator="lessThan">
      <formula>40</formula>
    </cfRule>
    <cfRule type="cellIs" dxfId="337" priority="14" operator="greaterThan">
      <formula>80</formula>
    </cfRule>
  </conditionalFormatting>
  <conditionalFormatting sqref="AL3:AN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K9">
    <cfRule type="cellIs" dxfId="336" priority="10" operator="lessThan">
      <formula>40</formula>
    </cfRule>
    <cfRule type="cellIs" dxfId="335" priority="11" operator="greaterThan">
      <formula>80</formula>
    </cfRule>
  </conditionalFormatting>
  <conditionalFormatting sqref="B10:AK10">
    <cfRule type="cellIs" dxfId="334" priority="8" operator="lessThan">
      <formula>40</formula>
    </cfRule>
    <cfRule type="cellIs" dxfId="333" priority="9" operator="greaterThan">
      <formula>80</formula>
    </cfRule>
  </conditionalFormatting>
  <conditionalFormatting sqref="AO3:AO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K11">
    <cfRule type="cellIs" dxfId="332" priority="1" operator="lessThan">
      <formula>40</formula>
    </cfRule>
    <cfRule type="cellIs" dxfId="331" priority="2" operator="greaterThan">
      <formula>80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217F-96DF-4184-8BCE-A29EB9E4EF91}">
  <sheetPr>
    <tabColor rgb="FF00B050"/>
    <pageSetUpPr fitToPage="1"/>
  </sheetPr>
  <dimension ref="B2:BZ132"/>
  <sheetViews>
    <sheetView showGridLines="0" topLeftCell="A13" zoomScale="70" zoomScaleNormal="70" workbookViewId="0">
      <selection activeCell="C3" sqref="C3"/>
    </sheetView>
  </sheetViews>
  <sheetFormatPr defaultRowHeight="15" x14ac:dyDescent="0.25"/>
  <cols>
    <col min="1" max="1" width="2.85546875" customWidth="1"/>
    <col min="2" max="2" width="18.140625" bestFit="1" customWidth="1"/>
    <col min="4" max="4" width="9.140625" customWidth="1"/>
    <col min="12" max="12" width="2" customWidth="1"/>
    <col min="13" max="13" width="16.5703125" customWidth="1"/>
    <col min="14" max="14" width="2.28515625" customWidth="1"/>
    <col min="15" max="15" width="10.28515625" customWidth="1"/>
    <col min="16" max="16" width="2.5703125" customWidth="1"/>
    <col min="17" max="17" width="10.85546875" customWidth="1"/>
    <col min="18" max="18" width="3.28515625" customWidth="1"/>
    <col min="21" max="21" width="9.85546875" bestFit="1" customWidth="1"/>
    <col min="25" max="25" width="1.85546875" customWidth="1"/>
    <col min="29" max="29" width="2.28515625" customWidth="1"/>
    <col min="30" max="30" width="14.7109375" customWidth="1"/>
    <col min="31" max="31" width="1.7109375" customWidth="1"/>
    <col min="33" max="33" width="2.28515625" customWidth="1"/>
    <col min="35" max="35" width="2" customWidth="1"/>
    <col min="43" max="43" width="2" customWidth="1"/>
    <col min="44" max="44" width="17.5703125" customWidth="1"/>
    <col min="45" max="45" width="1.7109375" customWidth="1"/>
    <col min="46" max="46" width="10" customWidth="1"/>
    <col min="47" max="47" width="2.28515625" customWidth="1"/>
    <col min="48" max="48" width="14.140625" customWidth="1"/>
    <col min="49" max="49" width="2.7109375" customWidth="1"/>
    <col min="50" max="50" width="2.85546875" customWidth="1"/>
    <col min="58" max="58" width="2.5703125" customWidth="1"/>
    <col min="59" max="59" width="18" customWidth="1"/>
    <col min="60" max="60" width="1.5703125" customWidth="1"/>
    <col min="61" max="61" width="12.42578125" bestFit="1" customWidth="1"/>
    <col min="62" max="62" width="1.7109375" customWidth="1"/>
    <col min="63" max="63" width="13.85546875" customWidth="1"/>
    <col min="64" max="64" width="2.28515625" customWidth="1"/>
    <col min="65" max="65" width="2.7109375" customWidth="1"/>
    <col min="73" max="73" width="1.5703125" customWidth="1"/>
    <col min="74" max="74" width="16.140625" bestFit="1" customWidth="1"/>
    <col min="75" max="75" width="2.28515625" customWidth="1"/>
    <col min="76" max="76" width="9.7109375" customWidth="1"/>
    <col min="77" max="77" width="1.7109375" customWidth="1"/>
    <col min="78" max="78" width="11.5703125" customWidth="1"/>
  </cols>
  <sheetData>
    <row r="2" spans="2:63" ht="15" customHeight="1" x14ac:dyDescent="0.25">
      <c r="B2" s="23" t="s">
        <v>144</v>
      </c>
      <c r="C2" s="24">
        <v>0.16</v>
      </c>
      <c r="D2" s="653" t="s">
        <v>145</v>
      </c>
      <c r="E2" s="654" t="s">
        <v>146</v>
      </c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T2" t="s">
        <v>22</v>
      </c>
      <c r="U2" s="689">
        <v>44419</v>
      </c>
      <c r="V2" s="689"/>
    </row>
    <row r="3" spans="2:63" ht="15" customHeight="1" x14ac:dyDescent="0.25">
      <c r="B3" s="25" t="s">
        <v>147</v>
      </c>
      <c r="C3" s="24">
        <v>0.25</v>
      </c>
      <c r="D3" s="653"/>
      <c r="E3" s="655" t="s">
        <v>148</v>
      </c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U3" s="689"/>
      <c r="V3" s="689"/>
    </row>
    <row r="4" spans="2:63" ht="15" customHeight="1" x14ac:dyDescent="0.25">
      <c r="B4" s="26" t="s">
        <v>149</v>
      </c>
      <c r="C4" s="24">
        <v>0.2</v>
      </c>
      <c r="D4" s="653"/>
      <c r="E4" s="655"/>
      <c r="F4" s="655"/>
      <c r="G4" s="655"/>
      <c r="H4" s="655"/>
      <c r="I4" s="655"/>
      <c r="J4" s="655"/>
      <c r="K4" s="655"/>
      <c r="L4" s="655"/>
      <c r="M4" s="655"/>
      <c r="N4" s="655"/>
      <c r="O4" s="655"/>
      <c r="P4" s="655"/>
      <c r="Q4" s="655"/>
      <c r="R4" s="655"/>
    </row>
    <row r="5" spans="2:63" ht="15" customHeight="1" x14ac:dyDescent="0.25">
      <c r="C5" s="66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7" spans="2:63" ht="15" customHeight="1" x14ac:dyDescent="0.25">
      <c r="B7" s="683" t="s">
        <v>150</v>
      </c>
      <c r="M7" s="58" t="s">
        <v>151</v>
      </c>
      <c r="O7" s="632" t="s">
        <v>152</v>
      </c>
      <c r="Q7" s="668" t="s">
        <v>153</v>
      </c>
      <c r="AF7" s="668" t="s">
        <v>154</v>
      </c>
      <c r="AH7" s="668" t="s">
        <v>155</v>
      </c>
      <c r="AR7" s="58" t="s">
        <v>151</v>
      </c>
      <c r="AT7" s="632" t="s">
        <v>152</v>
      </c>
      <c r="AV7" s="668" t="s">
        <v>153</v>
      </c>
      <c r="BG7" s="58" t="s">
        <v>151</v>
      </c>
      <c r="BI7" s="632" t="s">
        <v>152</v>
      </c>
      <c r="BK7" s="668" t="s">
        <v>153</v>
      </c>
    </row>
    <row r="8" spans="2:63" x14ac:dyDescent="0.25">
      <c r="B8" s="684"/>
      <c r="M8" s="60">
        <f>AR8+AR21+BG8</f>
        <v>8</v>
      </c>
      <c r="O8" s="634"/>
      <c r="Q8" s="669"/>
      <c r="AF8" s="669"/>
      <c r="AH8" s="669"/>
      <c r="AR8" s="59">
        <v>4</v>
      </c>
      <c r="AT8" s="634"/>
      <c r="AV8" s="669"/>
      <c r="BG8" s="60">
        <v>1</v>
      </c>
      <c r="BI8" s="634"/>
      <c r="BK8" s="669"/>
    </row>
    <row r="9" spans="2:63" x14ac:dyDescent="0.25">
      <c r="B9" s="684"/>
    </row>
    <row r="10" spans="2:63" ht="15" customHeight="1" x14ac:dyDescent="0.25">
      <c r="B10" s="684"/>
      <c r="M10" s="666" t="str">
        <f>B4</f>
        <v>Group Stretch</v>
      </c>
      <c r="O10" s="658" t="e">
        <f>VLOOKUP($U$2,'SEC Benches Data'!$A$2:$IG$202,33,FALSE)</f>
        <v>#DIV/0!</v>
      </c>
      <c r="Q10" s="658">
        <f>AV10+AV23+BK10</f>
        <v>0</v>
      </c>
      <c r="AD10" s="666" t="str">
        <f>B4</f>
        <v>Group Stretch</v>
      </c>
      <c r="AF10" s="658">
        <f>VLOOKUP($U$2,'SEC Benches Data'!$A$2:$IG$202,120,FALSE)</f>
        <v>0</v>
      </c>
      <c r="AH10" s="658">
        <f>VLOOKUP($U$2,'SEC Benches Data'!$A$2:$IG$202,126,FALSE)</f>
        <v>0</v>
      </c>
      <c r="AR10" s="47" t="str">
        <f>B4</f>
        <v>Group Stretch</v>
      </c>
      <c r="AS10" s="40"/>
      <c r="AT10" s="48">
        <f>VLOOKUP($U$2,'SEC Benches Data'!$A$2:$IG$202,40,FALSE)</f>
        <v>0</v>
      </c>
      <c r="AU10" s="40"/>
      <c r="AV10" s="48">
        <f>ROUNDUP(IF(AT10&gt;80, ((AT10-80)+AT10)/100*$AR$8,AT10/100*$AR$8),)</f>
        <v>0</v>
      </c>
      <c r="BG10" s="47" t="str">
        <f>B4</f>
        <v>Group Stretch</v>
      </c>
      <c r="BH10" s="40"/>
      <c r="BI10" s="48">
        <f>VLOOKUP($U$2,'SEC Benches Data'!$A$2:$IG$202,53,FALSE)</f>
        <v>0</v>
      </c>
      <c r="BJ10" s="40"/>
      <c r="BK10" s="48">
        <f>ROUNDUP(IF(BI10&gt;80, ((BI10-80)+BI10)/100*$BG$8,BI10/100*$BG$8),)</f>
        <v>0</v>
      </c>
    </row>
    <row r="11" spans="2:63" x14ac:dyDescent="0.25">
      <c r="B11" s="684"/>
      <c r="M11" s="667"/>
      <c r="O11" s="659"/>
      <c r="Q11" s="659"/>
      <c r="AD11" s="667"/>
      <c r="AF11" s="659"/>
      <c r="AH11" s="659"/>
      <c r="AR11" s="6"/>
      <c r="AS11" s="40"/>
      <c r="AT11" s="15"/>
      <c r="AU11" s="40"/>
      <c r="AV11" s="15"/>
      <c r="BG11" s="6"/>
      <c r="BH11" s="40"/>
      <c r="BI11" s="15"/>
      <c r="BJ11" s="40"/>
      <c r="BK11" s="15"/>
    </row>
    <row r="12" spans="2:63" x14ac:dyDescent="0.25">
      <c r="B12" s="684"/>
      <c r="AR12" s="49" t="str">
        <f>AD13</f>
        <v>SEC Stretch</v>
      </c>
      <c r="AS12" s="40"/>
      <c r="AT12" s="48">
        <f>VLOOKUP($U$2,'SEC Benches Data'!$A$2:$IG$202,39,FALSE)</f>
        <v>101</v>
      </c>
      <c r="AU12" s="40"/>
      <c r="AV12" s="48">
        <f>ROUNDUP(IF(AT12&gt;80, ((AT12-80)+AT12)/100*$AR$8,AT12/100*$AR$8),)</f>
        <v>5</v>
      </c>
      <c r="BG12" s="49" t="str">
        <f>AR12</f>
        <v>SEC Stretch</v>
      </c>
      <c r="BH12" s="40"/>
      <c r="BI12" s="48">
        <f>VLOOKUP($U$2,'SEC Benches Data'!$A$2:$IG$202,52,FALSE)</f>
        <v>0</v>
      </c>
      <c r="BJ12" s="40"/>
      <c r="BK12" s="48">
        <f>ROUNDUP(IF(BI12&gt;80, ((BI12-80)+BI12)/100*$BG$8,BI12/100*$BG$8),)</f>
        <v>0</v>
      </c>
    </row>
    <row r="13" spans="2:63" ht="15" customHeight="1" x14ac:dyDescent="0.25">
      <c r="B13" s="684"/>
      <c r="M13" s="660" t="str">
        <f>B3</f>
        <v>SEC Stretch</v>
      </c>
      <c r="O13" s="658">
        <f>VLOOKUP($U$2,'SEC Benches Data'!$A$2:$IG$202,32,FALSE)</f>
        <v>0</v>
      </c>
      <c r="Q13" s="658">
        <f>AV12+AV25+BK12</f>
        <v>5</v>
      </c>
      <c r="AD13" s="660" t="str">
        <f>B3</f>
        <v>SEC Stretch</v>
      </c>
      <c r="AF13" s="658">
        <f>VLOOKUP($U$2,'SEC Benches Data'!$A$2:$IG$202,119,FALSE)</f>
        <v>0</v>
      </c>
      <c r="AH13" s="658">
        <f>VLOOKUP($U$2,'SEC Benches Data'!$A$2:$IG$202,125,FALSE)</f>
        <v>0</v>
      </c>
      <c r="AR13" s="40"/>
      <c r="AS13" s="40"/>
      <c r="AT13" s="40"/>
      <c r="AU13" s="40"/>
      <c r="AV13" s="7"/>
      <c r="BG13" s="40"/>
      <c r="BH13" s="40"/>
      <c r="BI13" s="40"/>
      <c r="BJ13" s="40"/>
      <c r="BK13" s="7"/>
    </row>
    <row r="14" spans="2:63" x14ac:dyDescent="0.25">
      <c r="B14" s="684"/>
      <c r="M14" s="661"/>
      <c r="O14" s="659"/>
      <c r="Q14" s="659"/>
      <c r="AD14" s="661"/>
      <c r="AF14" s="659"/>
      <c r="AH14" s="659"/>
      <c r="AR14" s="50" t="str">
        <f>AD16</f>
        <v>AM Stretch</v>
      </c>
      <c r="AS14" s="40"/>
      <c r="AT14" s="48">
        <f>VLOOKUP($U$2,'SEC Benches Data'!$A$2:$IG$202,38,FALSE)</f>
        <v>146</v>
      </c>
      <c r="AU14" s="40"/>
      <c r="AV14" s="48">
        <f>ROUNDUP(IF(AT14&gt;80, ((AT14-80)+AT14)/100*$AR$8,AT14/100*$AR$8),)</f>
        <v>9</v>
      </c>
      <c r="BG14" s="50" t="str">
        <f>AR14</f>
        <v>AM Stretch</v>
      </c>
      <c r="BH14" s="40"/>
      <c r="BI14" s="48">
        <f>VLOOKUP($U$2,'SEC Benches Data'!$A$2:$IG$202,51,FALSE)</f>
        <v>0</v>
      </c>
      <c r="BJ14" s="40"/>
      <c r="BK14" s="48">
        <f>ROUNDUP(IF(BI14&gt;80, ((BI14-80)+BI14)/100*$BG$8,BI14/100*$BG$8),)</f>
        <v>0</v>
      </c>
    </row>
    <row r="15" spans="2:63" x14ac:dyDescent="0.25">
      <c r="B15" s="684"/>
      <c r="AR15" s="40"/>
      <c r="AS15" s="40"/>
      <c r="AT15" s="40"/>
      <c r="AU15" s="40"/>
      <c r="AV15" s="7"/>
      <c r="BG15" s="40"/>
      <c r="BH15" s="40"/>
      <c r="BI15" s="40"/>
      <c r="BJ15" s="40"/>
      <c r="BK15" s="7"/>
    </row>
    <row r="16" spans="2:63" ht="15" customHeight="1" x14ac:dyDescent="0.25">
      <c r="B16" s="684"/>
      <c r="M16" s="662" t="str">
        <f>B2</f>
        <v>AM Stretch</v>
      </c>
      <c r="O16" s="658">
        <f>VLOOKUP($U$2,'SEC Benches Data'!$A$2:$IG$202,31,FALSE)</f>
        <v>0</v>
      </c>
      <c r="Q16" s="658">
        <f>AV14+AV27+BK14</f>
        <v>9</v>
      </c>
      <c r="AD16" s="662" t="str">
        <f>B2</f>
        <v>AM Stretch</v>
      </c>
      <c r="AF16" s="658">
        <f>VLOOKUP($U$2,'SEC Benches Data'!$A$2:$IG$202,118,FALSE)</f>
        <v>0</v>
      </c>
      <c r="AH16" s="658">
        <f>VLOOKUP($U$2,'SEC Benches Data'!$A$2:$IG$202,124,FALSE)</f>
        <v>0</v>
      </c>
      <c r="AR16" s="51" t="s">
        <v>156</v>
      </c>
      <c r="AS16" s="40"/>
      <c r="AT16" s="48">
        <f>VLOOKUP($U$2,'SEC Benches Data'!$A$2:$IG$202,37,FALSE)</f>
        <v>0</v>
      </c>
      <c r="AU16" s="40"/>
      <c r="AV16" s="48">
        <f>ROUNDUP(IF(AT16&gt;80, ((AT16-80)+AT16)/100*$AR$8,AT16/100*$AR$8),)</f>
        <v>0</v>
      </c>
      <c r="BG16" s="51" t="s">
        <v>156</v>
      </c>
      <c r="BH16" s="40"/>
      <c r="BI16" s="48">
        <f>VLOOKUP($U$2,'SEC Benches Data'!$A$2:$IG$202,14,FALSE)</f>
        <v>22</v>
      </c>
      <c r="BJ16" s="40"/>
      <c r="BK16" s="48">
        <f>ROUNDUP(IF(BI16&gt;80, ((BI16-80)+BI16)/100*$BG$8,BI16/100*$BG$8),)</f>
        <v>1</v>
      </c>
    </row>
    <row r="17" spans="2:63" x14ac:dyDescent="0.25">
      <c r="B17" s="684"/>
      <c r="M17" s="663"/>
      <c r="O17" s="659"/>
      <c r="Q17" s="659"/>
      <c r="AD17" s="663"/>
      <c r="AF17" s="659"/>
      <c r="AH17" s="659"/>
      <c r="AR17" s="6"/>
      <c r="AS17" s="40"/>
      <c r="AT17" s="15"/>
      <c r="AU17" s="40"/>
      <c r="AV17" s="15"/>
      <c r="BG17" s="6"/>
      <c r="BH17" s="40"/>
      <c r="BI17" s="15"/>
      <c r="BJ17" s="40"/>
      <c r="BK17" s="15"/>
    </row>
    <row r="18" spans="2:63" x14ac:dyDescent="0.25">
      <c r="B18" s="684"/>
      <c r="AR18" s="52" t="s">
        <v>157</v>
      </c>
      <c r="AS18" s="40"/>
      <c r="AT18" s="67">
        <f>VLOOKUP($U$2,'SEC Benches Data'!$A$2:$IG$202,35,FALSE)</f>
        <v>0</v>
      </c>
      <c r="AU18" s="40"/>
      <c r="AV18" s="48">
        <f>ROUNDUP(IF(AT18&gt;80, ((AT18-80)+AT18)/100*$AR$8,AT18/100*$AR$8),)</f>
        <v>0</v>
      </c>
      <c r="BG18" s="52" t="s">
        <v>157</v>
      </c>
      <c r="BH18" s="40"/>
      <c r="BI18" s="54">
        <f>VLOOKUP($U$2,'SEC Benches Data'!$A$2:$IG$202,3,FALSE)</f>
        <v>80</v>
      </c>
      <c r="BJ18" s="40"/>
      <c r="BK18" s="48">
        <f>ROUNDUP(IF(BI18&gt;80, ((BI18-80)+BI18)/100*$BG$8,BI18/100*$BG$8),)</f>
        <v>1</v>
      </c>
    </row>
    <row r="19" spans="2:63" ht="15" customHeight="1" x14ac:dyDescent="0.25">
      <c r="B19" s="684"/>
      <c r="M19" s="664" t="s">
        <v>158</v>
      </c>
      <c r="O19" s="658">
        <f>VLOOKUP($U$2,'SEC Benches Data'!$A$2:$IG$202,25,FALSE)</f>
        <v>78</v>
      </c>
      <c r="Q19" s="658">
        <f>AV16+AV29+BK16</f>
        <v>1</v>
      </c>
      <c r="AD19" s="664" t="s">
        <v>158</v>
      </c>
      <c r="AF19" s="658">
        <f>VLOOKUP($U$2,'SEC Benches Data'!$A$2:$IG$202,117,FALSE)</f>
        <v>0</v>
      </c>
      <c r="AH19" s="658">
        <f>VLOOKUP($U$2,'SEC Benches Data'!$A$2:$IG$202,123,FALSE)</f>
        <v>0</v>
      </c>
    </row>
    <row r="20" spans="2:63" x14ac:dyDescent="0.25">
      <c r="B20" s="684"/>
      <c r="M20" s="665"/>
      <c r="O20" s="659"/>
      <c r="Q20" s="659"/>
      <c r="AD20" s="665"/>
      <c r="AF20" s="659"/>
      <c r="AH20" s="659"/>
      <c r="AR20" s="58" t="s">
        <v>151</v>
      </c>
      <c r="AT20" s="632" t="s">
        <v>152</v>
      </c>
      <c r="AV20" s="668" t="s">
        <v>153</v>
      </c>
      <c r="BG20" s="58" t="s">
        <v>151</v>
      </c>
      <c r="BI20" s="632" t="s">
        <v>152</v>
      </c>
      <c r="BK20" s="668" t="s">
        <v>153</v>
      </c>
    </row>
    <row r="21" spans="2:63" x14ac:dyDescent="0.25">
      <c r="B21" s="684"/>
      <c r="AR21" s="59">
        <v>3</v>
      </c>
      <c r="AT21" s="634"/>
      <c r="AV21" s="669"/>
      <c r="BG21" s="59">
        <v>1</v>
      </c>
      <c r="BI21" s="634"/>
      <c r="BK21" s="669"/>
    </row>
    <row r="22" spans="2:63" ht="15" customHeight="1" x14ac:dyDescent="0.25">
      <c r="B22" s="684"/>
      <c r="M22" s="656" t="s">
        <v>157</v>
      </c>
      <c r="O22" s="658">
        <f>VLOOKUP($U$2,'SEC Benches Data'!$A$2:$IG$202,24,FALSE)</f>
        <v>81</v>
      </c>
      <c r="Q22" s="658">
        <f>AV18+AV31+BK18</f>
        <v>37</v>
      </c>
      <c r="AD22" s="656" t="s">
        <v>157</v>
      </c>
      <c r="AF22" s="658">
        <f>VLOOKUP($U$2,'SEC Benches Data'!$A$2:$IG$202,115,FALSE)</f>
        <v>0</v>
      </c>
      <c r="AH22" s="658">
        <f>VLOOKUP($U$2,'SEC Benches Data'!$A$2:$IG$202,121,FALSE)</f>
        <v>0</v>
      </c>
    </row>
    <row r="23" spans="2:63" x14ac:dyDescent="0.25">
      <c r="B23" s="684"/>
      <c r="M23" s="657"/>
      <c r="O23" s="659"/>
      <c r="Q23" s="659"/>
      <c r="AD23" s="657"/>
      <c r="AF23" s="659"/>
      <c r="AH23" s="659"/>
      <c r="AR23" s="47" t="str">
        <f>AR10</f>
        <v>Group Stretch</v>
      </c>
      <c r="AS23" s="40"/>
      <c r="AT23" s="48">
        <f>VLOOKUP($U$2,'SEC Benches Data'!$A$2:$IG$202,46,FALSE)</f>
        <v>0</v>
      </c>
      <c r="AU23" s="40"/>
      <c r="AV23" s="48">
        <f>ROUNDUP(IF(AT23&gt;80, ((AT23-80)+AT23)/100*$AR$21,AT23/100*$AR$21),)</f>
        <v>0</v>
      </c>
      <c r="BG23" s="47" t="str">
        <f>BG10</f>
        <v>Group Stretch</v>
      </c>
      <c r="BH23" s="40"/>
      <c r="BI23" s="48">
        <f>VLOOKUP($U$2,'SEC Benches Data'!$A$2:$IG$202,95,FALSE)</f>
        <v>0</v>
      </c>
      <c r="BJ23" s="40"/>
      <c r="BK23" s="48">
        <f>ROUNDUP(IF(BI23&gt;80, ((BI23-80)+BI23)/100*$BG$21,BI23/100*$BG$21),)</f>
        <v>0</v>
      </c>
    </row>
    <row r="24" spans="2:63" x14ac:dyDescent="0.25">
      <c r="B24" s="684"/>
      <c r="AR24" s="6"/>
      <c r="AS24" s="40"/>
      <c r="AT24" s="15"/>
      <c r="AU24" s="40"/>
      <c r="AV24" s="15"/>
      <c r="BG24" s="6"/>
      <c r="BH24" s="40"/>
      <c r="BI24" s="15"/>
      <c r="BJ24" s="40"/>
      <c r="BK24" s="15"/>
    </row>
    <row r="25" spans="2:63" ht="15" customHeight="1" x14ac:dyDescent="0.25">
      <c r="B25" s="684"/>
      <c r="M25" s="12"/>
      <c r="O25" s="12"/>
      <c r="AD25" s="632" t="s">
        <v>159</v>
      </c>
      <c r="AF25" s="686">
        <v>36</v>
      </c>
      <c r="AR25" s="49" t="str">
        <f>AR12</f>
        <v>SEC Stretch</v>
      </c>
      <c r="AS25" s="40"/>
      <c r="AT25" s="48">
        <f>VLOOKUP($U$2,'SEC Benches Data'!$A$2:$IG$202,45,FALSE)</f>
        <v>0</v>
      </c>
      <c r="AU25" s="40"/>
      <c r="AV25" s="48">
        <f>ROUNDUP(IF(AT25&gt;80, ((AT25-80)+AT25)/100*$AR$21,AT25/100*$AR$21),)</f>
        <v>0</v>
      </c>
      <c r="BG25" s="49" t="str">
        <f>AR25</f>
        <v>SEC Stretch</v>
      </c>
      <c r="BH25" s="40"/>
      <c r="BI25" s="48">
        <f>VLOOKUP($U$2,'SEC Benches Data'!$A$2:$IG$202,94,FALSE)</f>
        <v>0</v>
      </c>
      <c r="BJ25" s="40"/>
      <c r="BK25" s="48">
        <f>ROUNDUP(IF(BI25&gt;80, ((BI25-80)+BI25)/100*$BG$21,BI25/100*$BG$21),)</f>
        <v>0</v>
      </c>
    </row>
    <row r="26" spans="2:63" x14ac:dyDescent="0.25">
      <c r="B26" s="684"/>
      <c r="M26" s="12"/>
      <c r="O26" s="12"/>
      <c r="AD26" s="634"/>
      <c r="AF26" s="687"/>
      <c r="AR26" s="40"/>
      <c r="AS26" s="40"/>
      <c r="AT26" s="40"/>
      <c r="AU26" s="40"/>
      <c r="AV26" s="7"/>
      <c r="BG26" s="40"/>
      <c r="BH26" s="40"/>
      <c r="BI26" s="40"/>
      <c r="BJ26" s="40"/>
      <c r="BK26" s="7"/>
    </row>
    <row r="27" spans="2:63" x14ac:dyDescent="0.25">
      <c r="B27" s="684"/>
      <c r="AR27" s="50" t="str">
        <f>AR14</f>
        <v>AM Stretch</v>
      </c>
      <c r="AS27" s="40"/>
      <c r="AT27" s="48">
        <f>VLOOKUP($U$2,'SEC Benches Data'!$A$2:$IG$202,44,FALSE)</f>
        <v>0</v>
      </c>
      <c r="AU27" s="40"/>
      <c r="AV27" s="48">
        <f>ROUNDUP(IF(AT27&gt;80, ((AT27-80)+AT27)/100*$AR$21,AT27/100*$AR$21),)</f>
        <v>0</v>
      </c>
      <c r="BG27" s="50" t="str">
        <f>AR27</f>
        <v>AM Stretch</v>
      </c>
      <c r="BH27" s="40"/>
      <c r="BI27" s="48">
        <f>VLOOKUP($U$2,'SEC Benches Data'!$A$2:$IG$202,93,FALSE)</f>
        <v>0</v>
      </c>
      <c r="BJ27" s="40"/>
      <c r="BK27" s="48">
        <f>ROUNDUP(IF(BI27&gt;80, ((BI27-80)+BI27)/100*$BG$21,BI27/100*$BG$21),)</f>
        <v>0</v>
      </c>
    </row>
    <row r="28" spans="2:63" x14ac:dyDescent="0.25">
      <c r="B28" s="684"/>
      <c r="AR28" s="40"/>
      <c r="AS28" s="40"/>
      <c r="AT28" s="40"/>
      <c r="AU28" s="40"/>
      <c r="AV28" s="7"/>
      <c r="BG28" s="40"/>
      <c r="BH28" s="40"/>
      <c r="BI28" s="40"/>
      <c r="BJ28" s="40"/>
      <c r="BK28" s="7"/>
    </row>
    <row r="29" spans="2:63" x14ac:dyDescent="0.25">
      <c r="B29" s="684"/>
      <c r="AR29" s="51" t="s">
        <v>156</v>
      </c>
      <c r="AS29" s="40"/>
      <c r="AT29" s="48">
        <f>VLOOKUP($U$2,'SEC Benches Data'!$A$2:$IG$202,43,FALSE)</f>
        <v>0</v>
      </c>
      <c r="AU29" s="40"/>
      <c r="AV29" s="48">
        <f>ROUNDUP(IF(AT29&gt;80, ((AT29-80)+AT29)/100*$AR$21,AT29/100*$AR$21),)</f>
        <v>0</v>
      </c>
      <c r="BG29" s="51" t="s">
        <v>156</v>
      </c>
      <c r="BH29" s="40"/>
      <c r="BI29" s="48">
        <f>VLOOKUP($U$2,'SEC Benches Data'!$A$2:$IG$202,21,FALSE)</f>
        <v>57</v>
      </c>
      <c r="BJ29" s="40"/>
      <c r="BK29" s="48">
        <f>ROUNDUP(IF(BI29&gt;80, ((BI29-80)+BI29)/100*$BG$21,BI29/100*$BG$21),)</f>
        <v>1</v>
      </c>
    </row>
    <row r="30" spans="2:63" x14ac:dyDescent="0.25">
      <c r="B30" s="684"/>
      <c r="AR30" s="6"/>
      <c r="AS30" s="40"/>
      <c r="AT30" s="15"/>
      <c r="AU30" s="40"/>
      <c r="AV30" s="15"/>
      <c r="BG30" s="6"/>
      <c r="BH30" s="40"/>
      <c r="BI30" s="15"/>
      <c r="BJ30" s="40"/>
      <c r="BK30" s="15"/>
    </row>
    <row r="31" spans="2:63" x14ac:dyDescent="0.25">
      <c r="B31" s="684"/>
      <c r="AR31" s="52" t="s">
        <v>157</v>
      </c>
      <c r="AS31" s="40"/>
      <c r="AT31" s="48">
        <f>VLOOKUP($U$2,'SEC Benches Data'!$A$2:$IG$202,41,FALSE)</f>
        <v>624</v>
      </c>
      <c r="AU31" s="40"/>
      <c r="AV31" s="48">
        <f>ROUNDUP(IF(AT31&gt;80, ((AT31-80)+AT31)/100*$AR$21,AT31/100*$AR$21),)</f>
        <v>36</v>
      </c>
      <c r="BG31" s="52" t="s">
        <v>157</v>
      </c>
      <c r="BH31" s="40"/>
      <c r="BI31" s="48">
        <f>VLOOKUP($U$2,'SEC Benches Data'!$A$2:$IG$202,10,FALSE)</f>
        <v>17</v>
      </c>
      <c r="BJ31" s="40"/>
      <c r="BK31" s="48">
        <f>ROUNDUP(IF(BI31&gt;80, ((BI31-80)+BI31)/100*$BG$21,BI31/100*$BG$21),)</f>
        <v>1</v>
      </c>
    </row>
    <row r="32" spans="2:63" x14ac:dyDescent="0.25">
      <c r="B32" s="684"/>
    </row>
    <row r="33" spans="2:78" x14ac:dyDescent="0.25">
      <c r="B33" s="684"/>
    </row>
    <row r="34" spans="2:78" ht="15" customHeight="1" x14ac:dyDescent="0.25">
      <c r="B34" s="684"/>
      <c r="C34" s="671"/>
      <c r="D34" s="671"/>
      <c r="E34" s="671"/>
      <c r="F34" s="671"/>
      <c r="G34" s="671"/>
      <c r="H34" s="671"/>
      <c r="I34" s="671"/>
      <c r="J34" s="671"/>
      <c r="K34" s="672"/>
      <c r="S34" s="670"/>
      <c r="T34" s="671"/>
      <c r="U34" s="671"/>
      <c r="V34" s="671"/>
      <c r="W34" s="671"/>
      <c r="X34" s="671"/>
      <c r="Y34" s="671"/>
      <c r="Z34" s="671"/>
      <c r="AA34" s="671"/>
      <c r="AB34" s="672"/>
      <c r="AI34" s="12"/>
      <c r="AJ34" s="670"/>
      <c r="AK34" s="671"/>
      <c r="AL34" s="671"/>
      <c r="AM34" s="671"/>
      <c r="AN34" s="671"/>
      <c r="AO34" s="671"/>
      <c r="AP34" s="672"/>
      <c r="AY34" s="670"/>
      <c r="AZ34" s="671"/>
      <c r="BA34" s="671"/>
      <c r="BB34" s="671"/>
      <c r="BC34" s="671"/>
      <c r="BD34" s="671"/>
      <c r="BE34" s="672"/>
    </row>
    <row r="35" spans="2:78" x14ac:dyDescent="0.25">
      <c r="B35" s="685"/>
      <c r="C35" s="674"/>
      <c r="D35" s="674"/>
      <c r="E35" s="674"/>
      <c r="F35" s="674"/>
      <c r="G35" s="674"/>
      <c r="H35" s="674"/>
      <c r="I35" s="674"/>
      <c r="J35" s="674"/>
      <c r="K35" s="675"/>
      <c r="S35" s="673"/>
      <c r="T35" s="674"/>
      <c r="U35" s="674"/>
      <c r="V35" s="674"/>
      <c r="W35" s="674"/>
      <c r="X35" s="674"/>
      <c r="Y35" s="674"/>
      <c r="Z35" s="674"/>
      <c r="AA35" s="674"/>
      <c r="AB35" s="675"/>
      <c r="AI35" s="12"/>
      <c r="AJ35" s="673"/>
      <c r="AK35" s="674"/>
      <c r="AL35" s="674"/>
      <c r="AM35" s="674"/>
      <c r="AN35" s="674"/>
      <c r="AO35" s="674"/>
      <c r="AP35" s="675"/>
      <c r="AY35" s="673"/>
      <c r="AZ35" s="674"/>
      <c r="BA35" s="674"/>
      <c r="BB35" s="674"/>
      <c r="BC35" s="674"/>
      <c r="BD35" s="674"/>
      <c r="BE35" s="675"/>
    </row>
    <row r="36" spans="2:78" ht="15.75" thickBot="1" x14ac:dyDescent="0.3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</row>
    <row r="37" spans="2:78" ht="15.75" thickTop="1" x14ac:dyDescent="0.25"/>
    <row r="38" spans="2:78" ht="15" customHeight="1" x14ac:dyDescent="0.25">
      <c r="B38" s="683" t="s">
        <v>160</v>
      </c>
      <c r="M38" s="58" t="s">
        <v>151</v>
      </c>
      <c r="O38" s="632" t="s">
        <v>152</v>
      </c>
      <c r="Q38" s="668" t="s">
        <v>153</v>
      </c>
      <c r="AF38" s="668" t="s">
        <v>154</v>
      </c>
      <c r="AH38" s="668" t="s">
        <v>155</v>
      </c>
      <c r="AR38" s="58" t="s">
        <v>151</v>
      </c>
      <c r="AT38" s="632" t="s">
        <v>161</v>
      </c>
      <c r="AV38" s="668" t="s">
        <v>153</v>
      </c>
      <c r="BI38" s="61"/>
      <c r="BK38" s="18"/>
    </row>
    <row r="39" spans="2:78" x14ac:dyDescent="0.25">
      <c r="B39" s="684"/>
      <c r="M39" s="59">
        <v>2</v>
      </c>
      <c r="O39" s="634"/>
      <c r="Q39" s="669"/>
      <c r="AF39" s="669"/>
      <c r="AH39" s="669"/>
      <c r="AR39" s="59">
        <v>1</v>
      </c>
      <c r="AT39" s="634"/>
      <c r="AV39" s="669"/>
      <c r="BG39" s="40"/>
      <c r="BI39" s="61"/>
      <c r="BK39" s="18"/>
    </row>
    <row r="40" spans="2:78" x14ac:dyDescent="0.25">
      <c r="B40" s="684"/>
    </row>
    <row r="41" spans="2:78" ht="15" customHeight="1" x14ac:dyDescent="0.25">
      <c r="B41" s="684"/>
      <c r="M41" s="666" t="str">
        <f>M10</f>
        <v>Group Stretch</v>
      </c>
      <c r="O41" s="658">
        <f>VLOOKUP($U$2,'AM Benches Data'!$A$2:$EL$202,25,FALSE)</f>
        <v>0</v>
      </c>
      <c r="Q41" s="658">
        <f>ROUNDUP(IF(O41&gt;80, ((O41-80)+O41)/100*$M$39,O41/100*$M$39),)</f>
        <v>0</v>
      </c>
      <c r="AD41" s="666" t="str">
        <f>AD10</f>
        <v>Group Stretch</v>
      </c>
      <c r="AF41" s="658">
        <f>VLOOKUP($U$2,'AM Benches Data'!$A$2:$FC$202,135,FALSE)</f>
        <v>0</v>
      </c>
      <c r="AH41" s="658">
        <f>VLOOKUP($U$2,'AM Benches Data'!$A$2:$FC$202,141,FALSE)</f>
        <v>0</v>
      </c>
      <c r="AR41" s="47" t="str">
        <f>AR10</f>
        <v>Group Stretch</v>
      </c>
      <c r="AT41" s="48">
        <f>VLOOKUP($U$2,'AM Benches Data'!$A$2:$FC$202,38,FALSE)</f>
        <v>0</v>
      </c>
      <c r="AU41" s="40"/>
      <c r="AV41" s="48">
        <f>ROUNDUP(IF(AT41&gt;80, ((AT41-80)+AT41)/100*$AR$39,AT41/100*$AR$39),)</f>
        <v>0</v>
      </c>
      <c r="BG41" s="6"/>
      <c r="BI41" s="15"/>
      <c r="BJ41" s="40"/>
      <c r="BK41" s="15"/>
    </row>
    <row r="42" spans="2:78" x14ac:dyDescent="0.25">
      <c r="B42" s="684"/>
      <c r="M42" s="667"/>
      <c r="O42" s="659"/>
      <c r="Q42" s="659"/>
      <c r="AD42" s="667"/>
      <c r="AF42" s="659"/>
      <c r="AH42" s="659"/>
      <c r="AR42" s="6"/>
      <c r="AT42" s="15"/>
      <c r="AU42" s="40"/>
      <c r="AV42" s="55"/>
      <c r="BG42" s="6"/>
      <c r="BI42" s="15"/>
      <c r="BJ42" s="40"/>
      <c r="BK42" s="55"/>
    </row>
    <row r="43" spans="2:78" x14ac:dyDescent="0.25">
      <c r="B43" s="684"/>
      <c r="AR43" s="49" t="str">
        <f>AD44</f>
        <v>SEC Stretch</v>
      </c>
      <c r="AT43" s="48">
        <f>VLOOKUP($U$2,'AM Benches Data'!$A$2:$FC$202,37,FALSE)</f>
        <v>0</v>
      </c>
      <c r="AU43" s="40"/>
      <c r="AV43" s="48">
        <f>ROUNDUP(IF(AT43&gt;80, ((AT43-80)+AT43)/100*$AR$39,AT43/100*$AR$39),)</f>
        <v>0</v>
      </c>
      <c r="BG43" s="6"/>
      <c r="BI43" s="15"/>
      <c r="BJ43" s="40"/>
      <c r="BK43" s="15"/>
    </row>
    <row r="44" spans="2:78" ht="15" customHeight="1" x14ac:dyDescent="0.25">
      <c r="B44" s="684"/>
      <c r="M44" s="660" t="str">
        <f>M13</f>
        <v>SEC Stretch</v>
      </c>
      <c r="O44" s="658">
        <f>VLOOKUP($U$2,'AM Benches Data'!$A$2:$EL$202,24,FALSE)</f>
        <v>0</v>
      </c>
      <c r="Q44" s="658">
        <f>ROUNDUP(IF(O44&gt;80, ((O44-80)+O44)/100*$M$39,O44/100*$M$39),)</f>
        <v>0</v>
      </c>
      <c r="AD44" s="660" t="str">
        <f>M44</f>
        <v>SEC Stretch</v>
      </c>
      <c r="AF44" s="658">
        <f>VLOOKUP($U$2,'AM Benches Data'!$A$2:$FC$202,134,FALSE)</f>
        <v>58.175999999999995</v>
      </c>
      <c r="AH44" s="658">
        <f>VLOOKUP($U$2,'AM Benches Data'!$A$2:$FC$202,140,FALSE)</f>
        <v>115.77599999999998</v>
      </c>
      <c r="AR44" s="40"/>
      <c r="AT44" s="15"/>
      <c r="AU44" s="40"/>
      <c r="AV44" s="55"/>
      <c r="BG44" s="40"/>
      <c r="BI44" s="15"/>
      <c r="BJ44" s="40"/>
      <c r="BK44" s="55"/>
    </row>
    <row r="45" spans="2:78" x14ac:dyDescent="0.25">
      <c r="B45" s="684"/>
      <c r="M45" s="661"/>
      <c r="O45" s="659"/>
      <c r="Q45" s="659"/>
      <c r="AD45" s="661"/>
      <c r="AF45" s="659"/>
      <c r="AH45" s="659"/>
      <c r="AR45" s="50" t="str">
        <f>AD47</f>
        <v>AM Stretch</v>
      </c>
      <c r="AT45" s="48">
        <f>VLOOKUP($U$2,'AM Benches Data'!$A$2:$FC$202,36,FALSE)</f>
        <v>0</v>
      </c>
      <c r="AU45" s="40"/>
      <c r="AV45" s="48">
        <f>ROUNDUP(IF(AT45&gt;80, ((AT45-80)+AT45)/100*$AR$39,AT45/100*$AR$39),)</f>
        <v>0</v>
      </c>
      <c r="BG45" s="6"/>
      <c r="BI45" s="15"/>
      <c r="BJ45" s="40"/>
      <c r="BK45" s="15"/>
    </row>
    <row r="46" spans="2:78" x14ac:dyDescent="0.25">
      <c r="B46" s="684"/>
      <c r="AR46" s="40"/>
      <c r="AT46" s="15"/>
      <c r="AU46" s="40"/>
      <c r="AV46" s="55"/>
      <c r="BG46" s="40"/>
      <c r="BI46" s="15"/>
      <c r="BJ46" s="40"/>
      <c r="BK46" s="55"/>
    </row>
    <row r="47" spans="2:78" ht="15" customHeight="1" x14ac:dyDescent="0.25">
      <c r="B47" s="684"/>
      <c r="M47" s="662" t="str">
        <f>M16</f>
        <v>AM Stretch</v>
      </c>
      <c r="O47" s="658">
        <f>VLOOKUP($U$2,'AM Benches Data'!$A$2:$EL$202,23,FALSE)</f>
        <v>0</v>
      </c>
      <c r="Q47" s="658">
        <f>ROUNDUP(IF(O47&gt;80, ((O47-80)+O47)/100*$M$39,O47/100*$M$39),)</f>
        <v>0</v>
      </c>
      <c r="AD47" s="662" t="str">
        <f>M47</f>
        <v>AM Stretch</v>
      </c>
      <c r="AF47" s="658">
        <f>VLOOKUP($U$2,'AM Benches Data'!$A$2:$FC$202,133,FALSE)</f>
        <v>65.755208333333314</v>
      </c>
      <c r="AH47" s="658">
        <f>VLOOKUP($U$2,'AM Benches Data'!$A$2:$FC$202,139,FALSE)</f>
        <v>130.859375</v>
      </c>
      <c r="AR47" s="51" t="s">
        <v>156</v>
      </c>
      <c r="AT47" s="48">
        <f>VLOOKUP($U$2,'AM Benches Data'!$A$2:$FC$202,35,FALSE)</f>
        <v>0</v>
      </c>
      <c r="AU47" s="40"/>
      <c r="AV47" s="48">
        <f>ROUNDUP(IF(AT47&gt;80, ((AT47-80)+AT47)/100*$AR$39,AT47/100*$AR$39),)</f>
        <v>0</v>
      </c>
      <c r="BG47" s="40"/>
      <c r="BI47" s="15"/>
      <c r="BJ47" s="40"/>
      <c r="BK47" s="15"/>
    </row>
    <row r="48" spans="2:78" x14ac:dyDescent="0.25">
      <c r="B48" s="684"/>
      <c r="M48" s="663"/>
      <c r="O48" s="659"/>
      <c r="Q48" s="659"/>
      <c r="AD48" s="663"/>
      <c r="AF48" s="659"/>
      <c r="AH48" s="659"/>
      <c r="AR48" s="6"/>
      <c r="AT48" s="15"/>
      <c r="AU48" s="40"/>
      <c r="AV48" s="55"/>
      <c r="BG48" s="6"/>
      <c r="BI48" s="15"/>
      <c r="BJ48" s="40"/>
      <c r="BK48" s="55"/>
    </row>
    <row r="49" spans="2:63" x14ac:dyDescent="0.25">
      <c r="B49" s="684"/>
      <c r="AR49" s="52" t="s">
        <v>157</v>
      </c>
      <c r="AT49" s="48">
        <f>VLOOKUP($U$2,'AM Benches Data'!$A$2:$FC$202,2,FALSE)</f>
        <v>108</v>
      </c>
      <c r="AU49" s="40"/>
      <c r="AV49" s="48">
        <f>ROUNDUP(IF(AT49&gt;80, ((AT49-80)+AT49)/100*$AR$39,AT49/100*$AR$39),)</f>
        <v>2</v>
      </c>
      <c r="BG49" s="6"/>
      <c r="BI49" s="15"/>
      <c r="BJ49" s="40"/>
      <c r="BK49" s="15"/>
    </row>
    <row r="50" spans="2:63" ht="15" customHeight="1" x14ac:dyDescent="0.25">
      <c r="B50" s="684"/>
      <c r="M50" s="664" t="s">
        <v>158</v>
      </c>
      <c r="O50" s="658">
        <f>VLOOKUP($U$2,'AM Benches Data'!$A$2:$EL$202,22,FALSE)</f>
        <v>0</v>
      </c>
      <c r="Q50" s="658">
        <f>ROUNDUP(IF(O50&gt;80, ((O50-80)+O50)/100*$M$39,O50/100*$M$39),)</f>
        <v>0</v>
      </c>
      <c r="AD50" s="664" t="s">
        <v>158</v>
      </c>
      <c r="AF50" s="658">
        <f>VLOOKUP($U$2,'AM Benches Data'!$A$2:$FC$202,132,FALSE)</f>
        <v>52.550165333333318</v>
      </c>
      <c r="AH50" s="658">
        <f>VLOOKUP($U$2,'AM Benches Data'!$A$2:$FC$202,138,FALSE)</f>
        <v>104.58003199999999</v>
      </c>
      <c r="AT50" s="15"/>
      <c r="AU50" s="40"/>
      <c r="AV50" s="55"/>
      <c r="BI50" s="15"/>
      <c r="BJ50" s="40"/>
      <c r="BK50" s="55"/>
    </row>
    <row r="51" spans="2:63" x14ac:dyDescent="0.25">
      <c r="B51" s="684"/>
      <c r="M51" s="665"/>
      <c r="O51" s="659"/>
      <c r="Q51" s="659"/>
      <c r="AD51" s="665"/>
      <c r="AF51" s="659"/>
      <c r="AH51" s="659"/>
      <c r="AT51" s="40"/>
      <c r="AU51" s="40"/>
      <c r="AV51" s="56"/>
      <c r="BI51" s="40"/>
      <c r="BJ51" s="40"/>
      <c r="BK51" s="56"/>
    </row>
    <row r="52" spans="2:63" x14ac:dyDescent="0.25">
      <c r="B52" s="684"/>
      <c r="AR52" s="58" t="s">
        <v>151</v>
      </c>
      <c r="AT52" s="632" t="s">
        <v>161</v>
      </c>
      <c r="AV52" s="668" t="s">
        <v>153</v>
      </c>
      <c r="BI52" s="61"/>
      <c r="BK52" s="18"/>
    </row>
    <row r="53" spans="2:63" x14ac:dyDescent="0.25">
      <c r="B53" s="684"/>
      <c r="M53" s="656" t="s">
        <v>157</v>
      </c>
      <c r="O53" s="658">
        <f>VLOOKUP($U$2,'AM Benches Data'!$A$2:$EL$202,9,FALSE)</f>
        <v>60</v>
      </c>
      <c r="Q53" s="658">
        <f>ROUNDUP(IF(O53&gt;80, ((O53-80)+O53)/100*$M$39,O53/100*$M$39),)</f>
        <v>2</v>
      </c>
      <c r="AD53" s="656" t="s">
        <v>157</v>
      </c>
      <c r="AF53" s="658">
        <f>VLOOKUP($U$2,'AM Benches Data'!$A$2:$FC$202,130,FALSE)</f>
        <v>0</v>
      </c>
      <c r="AH53" s="658">
        <f>VLOOKUP($U$2,'AM Benches Data'!$A$2:$FC$202,136,FALSE)</f>
        <v>0</v>
      </c>
      <c r="AR53" s="59">
        <v>3</v>
      </c>
      <c r="AT53" s="634"/>
      <c r="AV53" s="669"/>
      <c r="BG53" s="40"/>
      <c r="BI53" s="61"/>
      <c r="BK53" s="18"/>
    </row>
    <row r="54" spans="2:63" x14ac:dyDescent="0.25">
      <c r="B54" s="684"/>
      <c r="M54" s="657"/>
      <c r="O54" s="659"/>
      <c r="Q54" s="659"/>
      <c r="AD54" s="657"/>
      <c r="AF54" s="659"/>
      <c r="AH54" s="659"/>
    </row>
    <row r="55" spans="2:63" x14ac:dyDescent="0.25">
      <c r="B55" s="684"/>
      <c r="AR55" s="47" t="str">
        <f>AR41</f>
        <v>Group Stretch</v>
      </c>
      <c r="AT55" s="48">
        <f>VLOOKUP($U$2,'AM Benches Data'!$A$2:$FC$202,32,FALSE)</f>
        <v>0</v>
      </c>
      <c r="AU55" s="40"/>
      <c r="AV55" s="48">
        <f>ROUNDUP(IF(AT55&gt;80, ((AT55-80)+AT55)/100*$AR$53,AT55/100*$AR$53),)</f>
        <v>0</v>
      </c>
      <c r="BG55" s="6"/>
      <c r="BI55" s="15"/>
      <c r="BJ55" s="40"/>
      <c r="BK55" s="15"/>
    </row>
    <row r="56" spans="2:63" ht="15" customHeight="1" x14ac:dyDescent="0.25">
      <c r="B56" s="684"/>
      <c r="M56" s="12"/>
      <c r="O56" s="12"/>
      <c r="AD56" s="632" t="s">
        <v>159</v>
      </c>
      <c r="AF56" s="686">
        <v>40</v>
      </c>
      <c r="AR56" s="6"/>
      <c r="AT56" s="15"/>
      <c r="AU56" s="40"/>
      <c r="AV56" s="55"/>
      <c r="BG56" s="6"/>
      <c r="BI56" s="15"/>
      <c r="BJ56" s="40"/>
      <c r="BK56" s="55"/>
    </row>
    <row r="57" spans="2:63" x14ac:dyDescent="0.25">
      <c r="B57" s="684"/>
      <c r="M57" s="12"/>
      <c r="O57" s="12"/>
      <c r="AD57" s="634"/>
      <c r="AF57" s="687"/>
      <c r="AR57" s="49" t="str">
        <f>AR43</f>
        <v>SEC Stretch</v>
      </c>
      <c r="AT57" s="48">
        <f>VLOOKUP($U$2,'AM Benches Data'!$A$2:$FC$202,31,FALSE)</f>
        <v>97</v>
      </c>
      <c r="AU57" s="40"/>
      <c r="AV57" s="48">
        <f>ROUNDUP(IF(AT57&gt;80, ((AT57-80)+AT57)/100*$AR$53,AT57/100*$AR$53),)</f>
        <v>4</v>
      </c>
      <c r="BG57" s="6"/>
      <c r="BI57" s="15"/>
      <c r="BJ57" s="40"/>
      <c r="BK57" s="15"/>
    </row>
    <row r="58" spans="2:63" x14ac:dyDescent="0.25">
      <c r="B58" s="684"/>
      <c r="AR58" s="40"/>
      <c r="AT58" s="15"/>
      <c r="AU58" s="40"/>
      <c r="AV58" s="55"/>
      <c r="BG58" s="40"/>
      <c r="BI58" s="15"/>
      <c r="BJ58" s="40"/>
      <c r="BK58" s="55"/>
    </row>
    <row r="59" spans="2:63" x14ac:dyDescent="0.25">
      <c r="B59" s="684"/>
      <c r="AR59" s="50" t="str">
        <f>AR45</f>
        <v>AM Stretch</v>
      </c>
      <c r="AT59" s="48">
        <f>VLOOKUP($U$2,'AM Benches Data'!$A$2:$FC$202,30,FALSE)</f>
        <v>94</v>
      </c>
      <c r="AU59" s="40"/>
      <c r="AV59" s="48">
        <f>ROUNDUP(IF(AT59&gt;80, ((AT59-80)+AT59)/100*$AR$53,AT59/100*$AR$53),)</f>
        <v>4</v>
      </c>
      <c r="BG59" s="6"/>
      <c r="BI59" s="15"/>
      <c r="BJ59" s="40"/>
      <c r="BK59" s="15"/>
    </row>
    <row r="60" spans="2:63" x14ac:dyDescent="0.25">
      <c r="B60" s="684"/>
      <c r="AR60" s="40"/>
      <c r="AT60" s="15"/>
      <c r="AU60" s="40"/>
      <c r="AV60" s="55"/>
      <c r="BG60" s="40"/>
      <c r="BI60" s="15"/>
      <c r="BJ60" s="40"/>
      <c r="BK60" s="55"/>
    </row>
    <row r="61" spans="2:63" x14ac:dyDescent="0.25">
      <c r="B61" s="684"/>
      <c r="AR61" s="51" t="s">
        <v>156</v>
      </c>
      <c r="AT61" s="48">
        <f>VLOOKUP($U$2,'AM Benches Data'!$A$2:$FC$202,29,FALSE)</f>
        <v>0</v>
      </c>
      <c r="AU61" s="40"/>
      <c r="AV61" s="48">
        <f>ROUNDUP(IF(AT61&gt;80, ((AT61-80)+AT61)/100*$AR$53,AT61/100*$AR$53),)</f>
        <v>0</v>
      </c>
      <c r="BG61" s="40"/>
      <c r="BI61" s="15"/>
      <c r="BJ61" s="40"/>
      <c r="BK61" s="15"/>
    </row>
    <row r="62" spans="2:63" x14ac:dyDescent="0.25">
      <c r="B62" s="684"/>
      <c r="AR62" s="6"/>
      <c r="AT62" s="15"/>
      <c r="AU62" s="40"/>
      <c r="AV62" s="55"/>
      <c r="BG62" s="6"/>
      <c r="BI62" s="15"/>
      <c r="BJ62" s="40"/>
      <c r="BK62" s="55"/>
    </row>
    <row r="63" spans="2:63" x14ac:dyDescent="0.25">
      <c r="B63" s="684"/>
      <c r="AR63" s="52" t="s">
        <v>157</v>
      </c>
      <c r="AT63" s="48">
        <f>VLOOKUP($U$2,'AM Benches Data'!$A$2:$FC$202,27,FALSE)</f>
        <v>0</v>
      </c>
      <c r="AU63" s="40"/>
      <c r="AV63" s="48">
        <f>ROUNDUP(IF(AT63&gt;80, ((AT63-80)+AT63)/100*$AR$53,AT63/100*$AR$53),)</f>
        <v>0</v>
      </c>
      <c r="BG63" s="6"/>
      <c r="BI63" s="15"/>
      <c r="BJ63" s="40"/>
      <c r="BK63" s="15"/>
    </row>
    <row r="64" spans="2:63" x14ac:dyDescent="0.25">
      <c r="B64" s="684"/>
      <c r="AT64" s="40"/>
      <c r="AU64" s="40"/>
      <c r="AV64" s="40"/>
      <c r="BI64" s="40"/>
      <c r="BJ64" s="40"/>
      <c r="BK64" s="40"/>
    </row>
    <row r="65" spans="2:78" ht="15" customHeight="1" x14ac:dyDescent="0.25">
      <c r="B65" s="684"/>
      <c r="C65" s="671"/>
      <c r="D65" s="671"/>
      <c r="E65" s="671"/>
      <c r="F65" s="671"/>
      <c r="G65" s="671"/>
      <c r="H65" s="671"/>
      <c r="I65" s="671"/>
      <c r="J65" s="671"/>
      <c r="K65" s="672"/>
      <c r="R65" s="61"/>
      <c r="S65" s="670"/>
      <c r="T65" s="671"/>
      <c r="U65" s="671"/>
      <c r="V65" s="671"/>
      <c r="W65" s="671"/>
      <c r="X65" s="671"/>
      <c r="Y65" s="671"/>
      <c r="Z65" s="671"/>
      <c r="AA65" s="671"/>
      <c r="AB65" s="671"/>
      <c r="AC65" s="671"/>
      <c r="AD65" s="671"/>
      <c r="AE65" s="671"/>
      <c r="AF65" s="671"/>
      <c r="AG65" s="671"/>
      <c r="AH65" s="672"/>
      <c r="AJ65" s="670"/>
      <c r="AK65" s="671"/>
      <c r="AL65" s="671"/>
      <c r="AM65" s="671"/>
      <c r="AN65" s="671"/>
      <c r="AO65" s="671"/>
      <c r="AP65" s="672"/>
      <c r="AT65" s="40"/>
      <c r="AU65" s="40"/>
      <c r="AV65" s="40"/>
      <c r="BI65" s="40"/>
      <c r="BJ65" s="40"/>
      <c r="BK65" s="40"/>
    </row>
    <row r="66" spans="2:78" x14ac:dyDescent="0.25">
      <c r="B66" s="684"/>
      <c r="C66" s="676"/>
      <c r="D66" s="676"/>
      <c r="E66" s="676"/>
      <c r="F66" s="676"/>
      <c r="G66" s="676"/>
      <c r="H66" s="676"/>
      <c r="I66" s="676"/>
      <c r="J66" s="676"/>
      <c r="K66" s="621"/>
      <c r="R66" s="61"/>
      <c r="S66" s="628"/>
      <c r="T66" s="676"/>
      <c r="U66" s="676"/>
      <c r="V66" s="676"/>
      <c r="W66" s="676"/>
      <c r="X66" s="676"/>
      <c r="Y66" s="676"/>
      <c r="Z66" s="676"/>
      <c r="AA66" s="676"/>
      <c r="AB66" s="676"/>
      <c r="AC66" s="676"/>
      <c r="AD66" s="676"/>
      <c r="AE66" s="676"/>
      <c r="AF66" s="676"/>
      <c r="AG66" s="676"/>
      <c r="AH66" s="621"/>
      <c r="AJ66" s="628"/>
      <c r="AK66" s="676"/>
      <c r="AL66" s="676"/>
      <c r="AM66" s="676"/>
      <c r="AN66" s="676"/>
      <c r="AO66" s="676"/>
      <c r="AP66" s="621"/>
      <c r="AT66" s="40"/>
      <c r="AU66" s="40"/>
      <c r="AV66" s="40"/>
      <c r="BI66" s="40"/>
      <c r="BJ66" s="40"/>
      <c r="BK66" s="40"/>
    </row>
    <row r="67" spans="2:78" x14ac:dyDescent="0.25">
      <c r="B67" s="685"/>
      <c r="C67" s="674"/>
      <c r="D67" s="674"/>
      <c r="E67" s="674"/>
      <c r="F67" s="674"/>
      <c r="G67" s="674"/>
      <c r="H67" s="674"/>
      <c r="I67" s="674"/>
      <c r="J67" s="674"/>
      <c r="K67" s="675"/>
      <c r="R67" s="61"/>
      <c r="S67" s="673"/>
      <c r="T67" s="674"/>
      <c r="U67" s="674"/>
      <c r="V67" s="674"/>
      <c r="W67" s="674"/>
      <c r="X67" s="674"/>
      <c r="Y67" s="674"/>
      <c r="Z67" s="674"/>
      <c r="AA67" s="674"/>
      <c r="AB67" s="674"/>
      <c r="AC67" s="674"/>
      <c r="AD67" s="674"/>
      <c r="AE67" s="674"/>
      <c r="AF67" s="674"/>
      <c r="AG67" s="674"/>
      <c r="AH67" s="675"/>
      <c r="AJ67" s="673"/>
      <c r="AK67" s="674"/>
      <c r="AL67" s="674"/>
      <c r="AM67" s="674"/>
      <c r="AN67" s="674"/>
      <c r="AO67" s="674"/>
      <c r="AP67" s="675"/>
      <c r="AT67" s="40"/>
      <c r="AU67" s="40"/>
      <c r="AV67" s="40"/>
      <c r="BI67" s="40"/>
      <c r="BJ67" s="40"/>
      <c r="BK67" s="40"/>
    </row>
    <row r="68" spans="2:78" ht="15.75" thickBot="1" x14ac:dyDescent="0.3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53"/>
      <c r="AU68" s="53"/>
      <c r="AV68" s="53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53"/>
      <c r="BJ68" s="53"/>
      <c r="BK68" s="53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</row>
    <row r="69" spans="2:78" ht="15.75" thickTop="1" x14ac:dyDescent="0.25">
      <c r="AT69" s="40"/>
      <c r="AU69" s="40"/>
      <c r="AV69" s="40"/>
      <c r="BI69" s="40"/>
      <c r="BJ69" s="40"/>
      <c r="BK69" s="40"/>
    </row>
    <row r="70" spans="2:78" ht="15" customHeight="1" x14ac:dyDescent="0.25">
      <c r="B70" s="683" t="s">
        <v>162</v>
      </c>
      <c r="O70" s="632" t="s">
        <v>152</v>
      </c>
      <c r="Q70" s="18"/>
      <c r="AF70" s="668" t="s">
        <v>154</v>
      </c>
      <c r="AH70" s="668" t="s">
        <v>155</v>
      </c>
      <c r="AR70" s="58" t="s">
        <v>163</v>
      </c>
      <c r="AT70" s="632" t="s">
        <v>161</v>
      </c>
      <c r="AU70" s="40"/>
      <c r="AV70" s="668" t="s">
        <v>164</v>
      </c>
      <c r="BG70" s="58" t="s">
        <v>163</v>
      </c>
      <c r="BI70" s="632" t="s">
        <v>161</v>
      </c>
      <c r="BJ70" s="40"/>
      <c r="BK70" s="668" t="s">
        <v>164</v>
      </c>
    </row>
    <row r="71" spans="2:78" x14ac:dyDescent="0.25">
      <c r="B71" s="684"/>
      <c r="O71" s="634"/>
      <c r="Q71" s="18"/>
      <c r="AF71" s="669"/>
      <c r="AH71" s="669"/>
      <c r="AR71" s="59">
        <v>3</v>
      </c>
      <c r="AT71" s="634"/>
      <c r="AU71" s="40"/>
      <c r="AV71" s="669"/>
      <c r="BG71" s="59">
        <v>4</v>
      </c>
      <c r="BI71" s="634"/>
      <c r="BJ71" s="40"/>
      <c r="BK71" s="669"/>
    </row>
    <row r="72" spans="2:78" x14ac:dyDescent="0.25">
      <c r="B72" s="684"/>
      <c r="AT72" s="40"/>
      <c r="AU72" s="40"/>
      <c r="AV72" s="40"/>
      <c r="BI72" s="40"/>
      <c r="BJ72" s="40"/>
      <c r="BK72" s="40"/>
    </row>
    <row r="73" spans="2:78" ht="15" customHeight="1" x14ac:dyDescent="0.25">
      <c r="B73" s="684"/>
      <c r="M73" s="666" t="str">
        <f>M41</f>
        <v>Group Stretch</v>
      </c>
      <c r="O73" s="658">
        <f>VLOOKUP($U$2,'PCB Data'!$A$2:$EG$202,19,FALSE)</f>
        <v>0</v>
      </c>
      <c r="Q73" s="62"/>
      <c r="AD73" s="666" t="str">
        <f>AD41</f>
        <v>Group Stretch</v>
      </c>
      <c r="AF73" s="658">
        <f>VLOOKUP($U$2,'PCB Data'!$A$2:$EX$202,56,FALSE)</f>
        <v>144.53125</v>
      </c>
      <c r="AH73" s="658">
        <f>VLOOKUP($U$2,'PCB Data'!$A$2:$EX$202,62,FALSE)</f>
        <v>200.1953125</v>
      </c>
      <c r="AR73" s="47" t="str">
        <f>AR55</f>
        <v>Group Stretch</v>
      </c>
      <c r="AT73" s="48">
        <f>VLOOKUP($U$2,'PCB Data'!$A$2:$EX$202,26,FALSE)</f>
        <v>0</v>
      </c>
      <c r="AU73" s="40"/>
      <c r="AV73" s="48">
        <f>ROUNDUP(IF(AT73&gt;80, ((AT73-80)+AT73)/100*$AR$71,AT73/100*$AR$71),)</f>
        <v>0</v>
      </c>
      <c r="BG73" s="47" t="str">
        <f>AR73</f>
        <v>Group Stretch</v>
      </c>
      <c r="BI73" s="48">
        <f>VLOOKUP($U$2,'PCB Data'!$A$2:$EX$202,38,FALSE)</f>
        <v>116.53645833333331</v>
      </c>
      <c r="BJ73" s="40"/>
      <c r="BK73" s="48">
        <f>ROUNDUP(IF(BI73&gt;80, ((BI73-80)+BI73)/100*$BG$71,BI73/100*$BG$71),)</f>
        <v>7</v>
      </c>
    </row>
    <row r="74" spans="2:78" x14ac:dyDescent="0.25">
      <c r="B74" s="684"/>
      <c r="M74" s="667"/>
      <c r="O74" s="659"/>
      <c r="Q74" s="62"/>
      <c r="AD74" s="667"/>
      <c r="AF74" s="659"/>
      <c r="AH74" s="659"/>
      <c r="AR74" s="6"/>
      <c r="AT74" s="15"/>
      <c r="AU74" s="40"/>
      <c r="AV74" s="55"/>
      <c r="BG74" s="6"/>
      <c r="BI74" s="15"/>
      <c r="BJ74" s="40"/>
      <c r="BK74" s="55"/>
    </row>
    <row r="75" spans="2:78" x14ac:dyDescent="0.25">
      <c r="B75" s="684"/>
      <c r="AR75" s="49" t="str">
        <f>AR57</f>
        <v>SEC Stretch</v>
      </c>
      <c r="AT75" s="48">
        <f>VLOOKUP($U$2,'PCB Data'!$A$2:$EX$202,25,FALSE)</f>
        <v>0</v>
      </c>
      <c r="AU75" s="40"/>
      <c r="AV75" s="48">
        <f>ROUNDUP(IF(AT75&gt;80, ((AT75-80)+AT75)/100*$AR$71,AT75/100*$AR$71),)</f>
        <v>0</v>
      </c>
      <c r="BG75" s="49" t="str">
        <f>AR75</f>
        <v>SEC Stretch</v>
      </c>
      <c r="BI75" s="48">
        <f>VLOOKUP($U$2,'PCB Data'!$A$2:$EX$202,37,FALSE)</f>
        <v>93.133461333333301</v>
      </c>
      <c r="BJ75" s="40"/>
      <c r="BK75" s="48">
        <f>ROUNDUP(IF(BI75&gt;80, ((BI75-80)+BI75)/100*$BG$71,BI75/100*$BG$71),)</f>
        <v>5</v>
      </c>
    </row>
    <row r="76" spans="2:78" ht="15" customHeight="1" x14ac:dyDescent="0.25">
      <c r="B76" s="684"/>
      <c r="M76" s="660" t="str">
        <f>M44</f>
        <v>SEC Stretch</v>
      </c>
      <c r="O76" s="658">
        <f>VLOOKUP($U$2,'PCB Data'!$A$2:$EG$202,18,FALSE)</f>
        <v>498</v>
      </c>
      <c r="Q76" s="62"/>
      <c r="AD76" s="660" t="str">
        <f>AD44</f>
        <v>SEC Stretch</v>
      </c>
      <c r="AF76" s="658">
        <f>VLOOKUP($U$2,'PCB Data'!$A$2:$EX$202,55,FALSE)</f>
        <v>115.50630399999997</v>
      </c>
      <c r="AH76" s="658">
        <f>VLOOKUP($U$2,'PCB Data'!$A$2:$EX$202,61,FALSE)</f>
        <v>159.99183999999997</v>
      </c>
      <c r="AR76" s="40"/>
      <c r="AT76" s="15"/>
      <c r="AU76" s="40"/>
      <c r="AV76" s="55"/>
      <c r="BG76" s="40"/>
      <c r="BI76" s="15"/>
      <c r="BJ76" s="40"/>
      <c r="BK76" s="55"/>
    </row>
    <row r="77" spans="2:78" x14ac:dyDescent="0.25">
      <c r="B77" s="684"/>
      <c r="M77" s="661"/>
      <c r="O77" s="659"/>
      <c r="Q77" s="62"/>
      <c r="AD77" s="661"/>
      <c r="AF77" s="659"/>
      <c r="AH77" s="659"/>
      <c r="AR77" s="50" t="str">
        <f>AR59</f>
        <v>AM Stretch</v>
      </c>
      <c r="AT77" s="48">
        <f>VLOOKUP($U$2,'PCB Data'!$A$2:$EX$202,24,FALSE)</f>
        <v>0</v>
      </c>
      <c r="AU77" s="40"/>
      <c r="AV77" s="48">
        <f>ROUNDUP(IF(AT77&gt;80, ((AT77-80)+AT77)/100*$AR$71,AT77/100*$AR$71),)</f>
        <v>0</v>
      </c>
      <c r="BG77" s="50" t="str">
        <f>AR77</f>
        <v>AM Stretch</v>
      </c>
      <c r="BI77" s="48">
        <f>VLOOKUP($U$2,'PCB Data'!$A$2:$EX$202,36,FALSE)</f>
        <v>92.399999999999991</v>
      </c>
      <c r="BJ77" s="40"/>
      <c r="BK77" s="48">
        <f>ROUNDUP(IF(BI77&gt;80, ((BI77-80)+BI77)/100*$BG$71,BI77/100*$BG$71),)</f>
        <v>5</v>
      </c>
    </row>
    <row r="78" spans="2:78" x14ac:dyDescent="0.25">
      <c r="B78" s="684"/>
      <c r="AR78" s="40"/>
      <c r="AT78" s="15"/>
      <c r="AU78" s="40"/>
      <c r="AV78" s="55"/>
      <c r="BG78" s="40"/>
      <c r="BI78" s="15"/>
      <c r="BJ78" s="40"/>
      <c r="BK78" s="55"/>
    </row>
    <row r="79" spans="2:78" ht="15" customHeight="1" x14ac:dyDescent="0.25">
      <c r="B79" s="684"/>
      <c r="M79" s="662" t="str">
        <f>M47</f>
        <v>AM Stretch</v>
      </c>
      <c r="O79" s="658">
        <f>VLOOKUP($U$2,'PCB Data'!$A$2:$EG$202,17,FALSE)</f>
        <v>497</v>
      </c>
      <c r="Q79" s="62"/>
      <c r="AD79" s="662" t="str">
        <f>AD47</f>
        <v>AM Stretch</v>
      </c>
      <c r="AF79" s="658">
        <f>VLOOKUP($U$2,'PCB Data'!$A$2:$EX$202,54,FALSE)</f>
        <v>57.599999999999994</v>
      </c>
      <c r="AH79" s="658">
        <f>VLOOKUP($U$2,'PCB Data'!$A$2:$EX$202,60,FALSE)</f>
        <v>138</v>
      </c>
      <c r="AR79" s="51" t="s">
        <v>156</v>
      </c>
      <c r="AT79" s="48">
        <f>VLOOKUP($U$2,'PCB Data'!$A$2:$EX$202,23,FALSE)</f>
        <v>0</v>
      </c>
      <c r="AU79" s="40"/>
      <c r="AV79" s="48">
        <f>ROUNDUP(IF(AT79&gt;80, ((AT79-80)+AT79)/100*$AR$71,AT79/100*$AR$71),)</f>
        <v>0</v>
      </c>
      <c r="BG79" s="51" t="s">
        <v>156</v>
      </c>
      <c r="BI79" s="48">
        <f>VLOOKUP($U$2,'PCB Data'!$A$2:$EX$202,35,FALSE)</f>
        <v>0</v>
      </c>
      <c r="BJ79" s="40"/>
      <c r="BK79" s="48">
        <f>ROUNDUP(IF(BI79&gt;80, ((BI79-80)+BI79)/100*$BG$71,BI79/100*$BG$71),)</f>
        <v>0</v>
      </c>
    </row>
    <row r="80" spans="2:78" x14ac:dyDescent="0.25">
      <c r="B80" s="684"/>
      <c r="M80" s="663"/>
      <c r="O80" s="659"/>
      <c r="Q80" s="62"/>
      <c r="AD80" s="663"/>
      <c r="AF80" s="659"/>
      <c r="AH80" s="659"/>
      <c r="AR80" s="6"/>
      <c r="AT80" s="15"/>
      <c r="AU80" s="40"/>
      <c r="AV80" s="55"/>
      <c r="BG80" s="6"/>
      <c r="BI80" s="15"/>
      <c r="BJ80" s="40"/>
      <c r="BK80" s="55"/>
    </row>
    <row r="81" spans="2:63" x14ac:dyDescent="0.25">
      <c r="B81" s="684"/>
      <c r="AR81" s="52" t="s">
        <v>157</v>
      </c>
      <c r="AT81" s="48">
        <f>VLOOKUP($U$2,'PCB Data'!$A$2:$EX$202,2,FALSE)</f>
        <v>94</v>
      </c>
      <c r="AU81" s="40"/>
      <c r="AV81" s="48">
        <f>ROUNDUP(IF(AT81&gt;80, ((AT81-80)+AT81)/100*$AR$71,AT81/100*$AR$71),)</f>
        <v>4</v>
      </c>
      <c r="BG81" s="52" t="s">
        <v>157</v>
      </c>
      <c r="BI81" s="48">
        <f>VLOOKUP($U$2,'PCB Data'!$A$2:$EX$202,4,FALSE)</f>
        <v>123</v>
      </c>
      <c r="BJ81" s="40"/>
      <c r="BK81" s="48">
        <f>ROUNDUP(IF(BI81&gt;80, ((BI81-80)+BI81)/100*$BG$71,BI81/100*$BG$71),)</f>
        <v>7</v>
      </c>
    </row>
    <row r="82" spans="2:63" ht="15" customHeight="1" x14ac:dyDescent="0.25">
      <c r="B82" s="684"/>
      <c r="M82" s="664" t="s">
        <v>158</v>
      </c>
      <c r="O82" s="658">
        <f>VLOOKUP($U$2,'PCB Data'!$A$2:$EG$202,16,FALSE)</f>
        <v>0</v>
      </c>
      <c r="Q82" s="62"/>
      <c r="AD82" s="664" t="s">
        <v>158</v>
      </c>
      <c r="AF82" s="658">
        <f>VLOOKUP($U$2,'PCB Data'!$A$2:$EX$202,53,FALSE)</f>
        <v>0</v>
      </c>
      <c r="AH82" s="658">
        <f>VLOOKUP($U$2,'PCB Data'!$A$2:$EX$202,59,FALSE)</f>
        <v>0</v>
      </c>
      <c r="AT82" s="15"/>
      <c r="AU82" s="40"/>
      <c r="AV82" s="55"/>
      <c r="BI82" s="15"/>
      <c r="BJ82" s="40"/>
      <c r="BK82" s="55"/>
    </row>
    <row r="83" spans="2:63" x14ac:dyDescent="0.25">
      <c r="B83" s="684"/>
      <c r="M83" s="665"/>
      <c r="O83" s="659"/>
      <c r="Q83" s="62"/>
      <c r="AD83" s="665"/>
      <c r="AF83" s="659"/>
      <c r="AH83" s="659"/>
      <c r="AT83" s="40"/>
      <c r="AU83" s="40"/>
      <c r="AV83" s="56"/>
      <c r="BI83" s="40"/>
      <c r="BJ83" s="40"/>
      <c r="BK83" s="56"/>
    </row>
    <row r="84" spans="2:63" x14ac:dyDescent="0.25">
      <c r="B84" s="684"/>
      <c r="AR84" s="58" t="s">
        <v>163</v>
      </c>
      <c r="AT84" s="632" t="s">
        <v>161</v>
      </c>
      <c r="AU84" s="40"/>
      <c r="AV84" s="668" t="s">
        <v>164</v>
      </c>
      <c r="BG84" s="58" t="s">
        <v>163</v>
      </c>
      <c r="BI84" s="632" t="s">
        <v>161</v>
      </c>
      <c r="BJ84" s="40"/>
      <c r="BK84" s="668" t="s">
        <v>164</v>
      </c>
    </row>
    <row r="85" spans="2:63" x14ac:dyDescent="0.25">
      <c r="B85" s="684"/>
      <c r="M85" s="656" t="s">
        <v>157</v>
      </c>
      <c r="O85" s="658">
        <f>VLOOKUP($U$2,'PCB Data'!$A$2:$EG$202,14,FALSE)</f>
        <v>126</v>
      </c>
      <c r="Q85" s="62"/>
      <c r="AD85" s="656" t="s">
        <v>157</v>
      </c>
      <c r="AF85" s="658">
        <f>VLOOKUP($U$2,'PCB Data'!$A$2:$EX$202,51,FALSE)</f>
        <v>150.624</v>
      </c>
      <c r="AH85" s="658">
        <f>VLOOKUP($U$2,'PCB Data'!$A$2:$EX$202,57,FALSE)</f>
        <v>127.87199999999999</v>
      </c>
      <c r="AR85" s="59">
        <v>5</v>
      </c>
      <c r="AT85" s="634"/>
      <c r="AU85" s="40"/>
      <c r="AV85" s="669"/>
      <c r="BG85" s="59">
        <v>1</v>
      </c>
      <c r="BI85" s="634"/>
      <c r="BJ85" s="40"/>
      <c r="BK85" s="669"/>
    </row>
    <row r="86" spans="2:63" x14ac:dyDescent="0.25">
      <c r="B86" s="684"/>
      <c r="M86" s="657"/>
      <c r="O86" s="659"/>
      <c r="Q86" s="62"/>
      <c r="AD86" s="657"/>
      <c r="AF86" s="659"/>
      <c r="AH86" s="659"/>
    </row>
    <row r="87" spans="2:63" x14ac:dyDescent="0.25">
      <c r="B87" s="684"/>
      <c r="AR87" s="47" t="str">
        <f>AR73</f>
        <v>Group Stretch</v>
      </c>
      <c r="AT87" s="48">
        <f>VLOOKUP($U$2,'PCB Data'!$A$2:$EX$202,32,FALSE)</f>
        <v>111.54240000000001</v>
      </c>
      <c r="AU87" s="40"/>
      <c r="AV87" s="48">
        <f>ROUNDUP(IF(AT87&gt;80, ((AT87-80)+AT87)/100*$AR$85,AT87/100*$AR$85),)</f>
        <v>8</v>
      </c>
      <c r="BG87" s="47" t="str">
        <f>BG73</f>
        <v>Group Stretch</v>
      </c>
      <c r="BI87" s="48">
        <f>VLOOKUP($U$2,'PCB Data'!$A$2:$EX$202,44,FALSE)</f>
        <v>181.31510416666663</v>
      </c>
      <c r="BJ87" s="40"/>
      <c r="BK87" s="48">
        <f>ROUNDUP(IF(BI87&gt;80, ((BI87-80)+BI87)/100*$BG$85,BI87/100*$BG$85),)</f>
        <v>3</v>
      </c>
    </row>
    <row r="88" spans="2:63" ht="15" customHeight="1" x14ac:dyDescent="0.25">
      <c r="B88" s="684"/>
      <c r="M88" s="12"/>
      <c r="O88" s="12"/>
      <c r="AD88" s="632" t="s">
        <v>159</v>
      </c>
      <c r="AF88" s="686" t="s">
        <v>165</v>
      </c>
      <c r="AR88" s="6"/>
      <c r="AT88" s="15"/>
      <c r="AU88" s="40"/>
      <c r="AV88" s="55"/>
      <c r="BG88" s="6"/>
      <c r="BI88" s="15"/>
      <c r="BJ88" s="40"/>
      <c r="BK88" s="55"/>
    </row>
    <row r="89" spans="2:63" x14ac:dyDescent="0.25">
      <c r="B89" s="684"/>
      <c r="M89" s="12"/>
      <c r="O89" s="12"/>
      <c r="AD89" s="634"/>
      <c r="AF89" s="687"/>
      <c r="AR89" s="49" t="str">
        <f>AR75</f>
        <v>SEC Stretch</v>
      </c>
      <c r="AT89" s="48">
        <f>VLOOKUP($U$2,'PCB Data'!$A$2:$EX$202,31,FALSE)</f>
        <v>126.07421875000001</v>
      </c>
      <c r="AU89" s="40"/>
      <c r="AV89" s="48">
        <f>ROUNDUP(IF(AT89&gt;80, ((AT89-80)+AT89)/100*$AR$85,AT89/100*$AR$85),)</f>
        <v>9</v>
      </c>
      <c r="BG89" s="49" t="str">
        <f>BG75</f>
        <v>SEC Stretch</v>
      </c>
      <c r="BI89" s="48">
        <f>VLOOKUP($U$2,'PCB Data'!$A$2:$EX$202,43,FALSE)</f>
        <v>144.90317866666663</v>
      </c>
      <c r="BJ89" s="40"/>
      <c r="BK89" s="48">
        <f>ROUNDUP(IF(BI89&gt;80, ((BI89-80)+BI89)/100*$BG$85,BI89/100*$BG$85),)</f>
        <v>3</v>
      </c>
    </row>
    <row r="90" spans="2:63" x14ac:dyDescent="0.25">
      <c r="B90" s="684"/>
      <c r="AR90" s="40"/>
      <c r="AT90" s="15"/>
      <c r="AU90" s="40"/>
      <c r="AV90" s="55"/>
      <c r="BG90" s="40"/>
      <c r="BI90" s="15"/>
      <c r="BJ90" s="40"/>
      <c r="BK90" s="55"/>
    </row>
    <row r="91" spans="2:63" x14ac:dyDescent="0.25">
      <c r="B91" s="684"/>
      <c r="AR91" s="50" t="str">
        <f>AR77</f>
        <v>AM Stretch</v>
      </c>
      <c r="AT91" s="48">
        <f>VLOOKUP($U$2,'PCB Data'!$A$2:$EX$202,30,FALSE)</f>
        <v>100.75583680000001</v>
      </c>
      <c r="AU91" s="40"/>
      <c r="AV91" s="48">
        <f>ROUNDUP(IF(AT91&gt;80, ((AT91-80)+AT91)/100*$AR$85,AT91/100*$AR$85),)</f>
        <v>7</v>
      </c>
      <c r="BG91" s="50" t="str">
        <f>BG77</f>
        <v>AM Stretch</v>
      </c>
      <c r="BI91" s="48">
        <f>VLOOKUP($U$2,'PCB Data'!$A$2:$EX$202,42,FALSE)</f>
        <v>99.6</v>
      </c>
      <c r="BJ91" s="40"/>
      <c r="BK91" s="48">
        <f>ROUNDUP(IF(BI91&gt;80, ((BI91-80)+BI91)/100*$BG$85,BI91/100*$BG$85),)</f>
        <v>2</v>
      </c>
    </row>
    <row r="92" spans="2:63" x14ac:dyDescent="0.25">
      <c r="B92" s="684"/>
      <c r="AR92" s="40"/>
      <c r="AT92" s="15"/>
      <c r="AU92" s="40"/>
      <c r="AV92" s="55"/>
      <c r="BG92" s="40"/>
      <c r="BI92" s="15"/>
      <c r="BJ92" s="40"/>
      <c r="BK92" s="55"/>
    </row>
    <row r="93" spans="2:63" x14ac:dyDescent="0.25">
      <c r="B93" s="684"/>
      <c r="AR93" s="51" t="s">
        <v>156</v>
      </c>
      <c r="AT93" s="48">
        <f>VLOOKUP($U$2,'PCB Data'!$A$2:$EX$202,29,FALSE)</f>
        <v>73.44</v>
      </c>
      <c r="AU93" s="40"/>
      <c r="AV93" s="48">
        <f>ROUNDUP(IF(AT93&gt;80, ((AT93-80)+AT93)/100*$AR$85,AT93/100*$AR$85),)</f>
        <v>4</v>
      </c>
      <c r="BG93" s="51" t="s">
        <v>156</v>
      </c>
      <c r="BI93" s="48">
        <f>VLOOKUP($U$2,'PCB Data'!$A$2:$EX$202,41,FALSE)</f>
        <v>0</v>
      </c>
      <c r="BJ93" s="40"/>
      <c r="BK93" s="48">
        <f>ROUNDUP(IF(BI93&gt;80, ((BI93-80)+BI93)/100*$BG$85,BI93/100*$BG$85),)</f>
        <v>0</v>
      </c>
    </row>
    <row r="94" spans="2:63" x14ac:dyDescent="0.25">
      <c r="B94" s="684"/>
      <c r="AR94" s="6"/>
      <c r="AT94" s="15"/>
      <c r="AU94" s="40"/>
      <c r="AV94" s="55"/>
      <c r="BG94" s="6"/>
      <c r="BI94" s="15"/>
      <c r="BJ94" s="40"/>
      <c r="BK94" s="55"/>
    </row>
    <row r="95" spans="2:63" x14ac:dyDescent="0.25">
      <c r="B95" s="684"/>
      <c r="AR95" s="52" t="s">
        <v>157</v>
      </c>
      <c r="AT95" s="48">
        <f>VLOOKUP($U$2,'PCB Data'!$A$2:$EX$202,3,FALSE)</f>
        <v>93</v>
      </c>
      <c r="AU95" s="40"/>
      <c r="AV95" s="48">
        <f>ROUNDUP(IF(AT95&gt;80, ((AT95-80)+AT95)/100*$AR$85,AT95/100*$AR$85),)</f>
        <v>6</v>
      </c>
      <c r="BG95" s="52" t="s">
        <v>157</v>
      </c>
      <c r="BI95" s="48">
        <f>VLOOKUP($U$2,'PCB Data'!$A$2:$EX$202,5,FALSE)</f>
        <v>61</v>
      </c>
      <c r="BJ95" s="40"/>
      <c r="BK95" s="48">
        <f>ROUNDUP(IF(BI95&gt;80, ((BI95-80)+BI95)/100*$BG$85,BI95/100*$BG$85),)</f>
        <v>1</v>
      </c>
    </row>
    <row r="96" spans="2:63" x14ac:dyDescent="0.25">
      <c r="B96" s="684"/>
      <c r="AT96" s="40"/>
      <c r="AU96" s="40"/>
      <c r="AV96" s="40"/>
      <c r="BI96" s="40"/>
      <c r="BJ96" s="40"/>
      <c r="BK96" s="40"/>
    </row>
    <row r="97" spans="2:78" ht="15" customHeight="1" x14ac:dyDescent="0.25">
      <c r="B97" s="684"/>
      <c r="C97" s="688"/>
      <c r="D97" s="690"/>
      <c r="E97" s="690"/>
      <c r="F97" s="690"/>
      <c r="G97" s="690"/>
      <c r="H97" s="690"/>
      <c r="I97" s="690"/>
      <c r="J97" s="690"/>
      <c r="K97" s="691"/>
      <c r="S97" s="670"/>
      <c r="T97" s="671"/>
      <c r="U97" s="671"/>
      <c r="V97" s="671"/>
      <c r="W97" s="671"/>
      <c r="X97" s="671"/>
      <c r="Y97" s="671"/>
      <c r="Z97" s="671"/>
      <c r="AA97" s="671"/>
      <c r="AB97" s="672"/>
      <c r="AJ97" s="670" t="s">
        <v>166</v>
      </c>
      <c r="AK97" s="671"/>
      <c r="AL97" s="671"/>
      <c r="AM97" s="671"/>
      <c r="AN97" s="671"/>
      <c r="AO97" s="671"/>
      <c r="AP97" s="672"/>
      <c r="AT97" s="40"/>
      <c r="AU97" s="40"/>
      <c r="AV97" s="40"/>
      <c r="AY97" s="670" t="s">
        <v>167</v>
      </c>
      <c r="AZ97" s="671"/>
      <c r="BA97" s="671"/>
      <c r="BB97" s="671"/>
      <c r="BC97" s="671"/>
      <c r="BD97" s="671"/>
      <c r="BE97" s="671"/>
      <c r="BF97" s="671"/>
      <c r="BG97" s="671"/>
      <c r="BH97" s="671"/>
      <c r="BI97" s="671"/>
      <c r="BJ97" s="671"/>
      <c r="BK97" s="672"/>
    </row>
    <row r="98" spans="2:78" x14ac:dyDescent="0.25">
      <c r="B98" s="684"/>
      <c r="C98" s="692"/>
      <c r="D98" s="693"/>
      <c r="E98" s="693"/>
      <c r="F98" s="693"/>
      <c r="G98" s="693"/>
      <c r="H98" s="693"/>
      <c r="I98" s="693"/>
      <c r="J98" s="693"/>
      <c r="K98" s="694"/>
      <c r="S98" s="628"/>
      <c r="T98" s="676"/>
      <c r="U98" s="676"/>
      <c r="V98" s="676"/>
      <c r="W98" s="676"/>
      <c r="X98" s="676"/>
      <c r="Y98" s="676"/>
      <c r="Z98" s="676"/>
      <c r="AA98" s="676"/>
      <c r="AB98" s="621"/>
      <c r="AJ98" s="628"/>
      <c r="AK98" s="676"/>
      <c r="AL98" s="676"/>
      <c r="AM98" s="676"/>
      <c r="AN98" s="676"/>
      <c r="AO98" s="676"/>
      <c r="AP98" s="621"/>
      <c r="AT98" s="40"/>
      <c r="AU98" s="40"/>
      <c r="AV98" s="40"/>
      <c r="AY98" s="628"/>
      <c r="AZ98" s="676"/>
      <c r="BA98" s="676"/>
      <c r="BB98" s="676"/>
      <c r="BC98" s="676"/>
      <c r="BD98" s="676"/>
      <c r="BE98" s="676"/>
      <c r="BF98" s="676"/>
      <c r="BG98" s="676"/>
      <c r="BH98" s="676"/>
      <c r="BI98" s="676"/>
      <c r="BJ98" s="676"/>
      <c r="BK98" s="621"/>
    </row>
    <row r="99" spans="2:78" x14ac:dyDescent="0.25">
      <c r="B99" s="685"/>
      <c r="C99" s="695"/>
      <c r="D99" s="696"/>
      <c r="E99" s="696"/>
      <c r="F99" s="696"/>
      <c r="G99" s="696"/>
      <c r="H99" s="696"/>
      <c r="I99" s="696"/>
      <c r="J99" s="696"/>
      <c r="K99" s="697"/>
      <c r="S99" s="673"/>
      <c r="T99" s="674"/>
      <c r="U99" s="674"/>
      <c r="V99" s="674"/>
      <c r="W99" s="674"/>
      <c r="X99" s="674"/>
      <c r="Y99" s="674"/>
      <c r="Z99" s="674"/>
      <c r="AA99" s="674"/>
      <c r="AB99" s="675"/>
      <c r="AJ99" s="673"/>
      <c r="AK99" s="674"/>
      <c r="AL99" s="674"/>
      <c r="AM99" s="674"/>
      <c r="AN99" s="674"/>
      <c r="AO99" s="674"/>
      <c r="AP99" s="675"/>
      <c r="AT99" s="40"/>
      <c r="AU99" s="40"/>
      <c r="AV99" s="40"/>
      <c r="AY99" s="673"/>
      <c r="AZ99" s="674"/>
      <c r="BA99" s="674"/>
      <c r="BB99" s="674"/>
      <c r="BC99" s="674"/>
      <c r="BD99" s="674"/>
      <c r="BE99" s="674"/>
      <c r="BF99" s="674"/>
      <c r="BG99" s="674"/>
      <c r="BH99" s="674"/>
      <c r="BI99" s="674"/>
      <c r="BJ99" s="674"/>
      <c r="BK99" s="675"/>
    </row>
    <row r="100" spans="2:78" ht="15.75" thickBot="1" x14ac:dyDescent="0.3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53"/>
      <c r="AU100" s="53"/>
      <c r="AV100" s="53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53"/>
      <c r="BJ100" s="53"/>
      <c r="BK100" s="53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</row>
    <row r="101" spans="2:78" ht="15.75" thickTop="1" x14ac:dyDescent="0.25">
      <c r="AT101" s="40"/>
      <c r="AU101" s="40"/>
      <c r="AV101" s="40"/>
      <c r="BI101" s="40"/>
      <c r="BJ101" s="40"/>
      <c r="BK101" s="40"/>
    </row>
    <row r="102" spans="2:78" ht="15" customHeight="1" x14ac:dyDescent="0.25">
      <c r="B102" s="683" t="s">
        <v>168</v>
      </c>
      <c r="O102" s="632" t="s">
        <v>152</v>
      </c>
      <c r="Q102" s="18"/>
      <c r="AF102" s="668" t="s">
        <v>154</v>
      </c>
      <c r="AH102" s="668" t="s">
        <v>155</v>
      </c>
      <c r="AR102" s="58" t="s">
        <v>163</v>
      </c>
      <c r="AT102" s="632" t="s">
        <v>161</v>
      </c>
      <c r="AU102" s="40"/>
      <c r="AV102" s="668" t="s">
        <v>164</v>
      </c>
      <c r="BG102" s="58" t="s">
        <v>163</v>
      </c>
      <c r="BI102" s="632" t="s">
        <v>161</v>
      </c>
      <c r="BJ102" s="40"/>
      <c r="BK102" s="668" t="s">
        <v>164</v>
      </c>
      <c r="BV102" s="58" t="s">
        <v>163</v>
      </c>
      <c r="BX102" s="632" t="s">
        <v>161</v>
      </c>
      <c r="BY102" s="40"/>
      <c r="BZ102" s="668" t="s">
        <v>164</v>
      </c>
    </row>
    <row r="103" spans="2:78" x14ac:dyDescent="0.25">
      <c r="B103" s="684"/>
      <c r="O103" s="634"/>
      <c r="Q103" s="18"/>
      <c r="AF103" s="669"/>
      <c r="AH103" s="669"/>
      <c r="AR103" s="59">
        <v>1</v>
      </c>
      <c r="AT103" s="634"/>
      <c r="AU103" s="40"/>
      <c r="AV103" s="669"/>
      <c r="BG103" s="59">
        <v>1</v>
      </c>
      <c r="BI103" s="634"/>
      <c r="BJ103" s="40"/>
      <c r="BK103" s="669"/>
      <c r="BV103" s="59">
        <v>1</v>
      </c>
      <c r="BX103" s="634"/>
      <c r="BY103" s="40"/>
      <c r="BZ103" s="669"/>
    </row>
    <row r="104" spans="2:78" x14ac:dyDescent="0.25">
      <c r="B104" s="684"/>
      <c r="AT104" s="40"/>
      <c r="AU104" s="40"/>
      <c r="AV104" s="40"/>
      <c r="BI104" s="40"/>
      <c r="BJ104" s="40"/>
      <c r="BK104" s="40"/>
      <c r="BX104" s="40"/>
      <c r="BY104" s="40"/>
      <c r="BZ104" s="40"/>
    </row>
    <row r="105" spans="2:78" ht="15" customHeight="1" x14ac:dyDescent="0.25">
      <c r="B105" s="684"/>
      <c r="M105" s="666" t="str">
        <f>M73</f>
        <v>Group Stretch</v>
      </c>
      <c r="O105" s="658">
        <f>VLOOKUP($U$2,'XFMR Data'!$A$2:$EE$202,21,FALSE)</f>
        <v>354</v>
      </c>
      <c r="Q105" s="62"/>
      <c r="AD105" s="666" t="str">
        <f>AD73</f>
        <v>Group Stretch</v>
      </c>
      <c r="AF105" s="658">
        <f>VLOOKUP($U$2,'XFMR Data'!$A$2:$EV$202,69,FALSE)</f>
        <v>0</v>
      </c>
      <c r="AH105" s="658">
        <f>VLOOKUP($U$2,'XFMR Data'!$A$2:$EV$202,75,FALSE)</f>
        <v>10.516853932584269</v>
      </c>
      <c r="AR105" s="47" t="str">
        <f>AR73</f>
        <v>Group Stretch</v>
      </c>
      <c r="AT105" s="48">
        <f>VLOOKUP($U$2,'XFMR Data'!$A$2:$EV$202,27,FALSE)</f>
        <v>92.2</v>
      </c>
      <c r="AU105" s="40"/>
      <c r="AV105" s="48">
        <f>ROUNDUP(IF(AT105&gt;80, ((AT105-80)+AT105)/100*$AR$103,AT105/100*$AR$103),)</f>
        <v>2</v>
      </c>
      <c r="BG105" s="47" t="str">
        <f>BG73</f>
        <v>Group Stretch</v>
      </c>
      <c r="BI105" s="48">
        <f>VLOOKUP($U$2,'XFMR Data'!$A$2:$EV$202,39,FALSE)</f>
        <v>0</v>
      </c>
      <c r="BJ105" s="40"/>
      <c r="BK105" s="48">
        <f>ROUNDUP(IF(BI105&gt;80, ((BI105-80)+BI105)/100*$BG$103,BI105/100*$BG$103),)</f>
        <v>0</v>
      </c>
      <c r="BV105" s="47" t="str">
        <f>BG105</f>
        <v>Group Stretch</v>
      </c>
      <c r="BX105" s="48">
        <f>VLOOKUP($U$2,'XFMR Data'!$A$2:$EV$202,51,FALSE)</f>
        <v>0</v>
      </c>
      <c r="BY105" s="40"/>
      <c r="BZ105" s="48">
        <f>ROUNDUP(IF(BX105&gt;80, ((BX105-80)+BX105)/100*$BV$103,BX105/100*$BV$103),)</f>
        <v>0</v>
      </c>
    </row>
    <row r="106" spans="2:78" x14ac:dyDescent="0.25">
      <c r="B106" s="684"/>
      <c r="M106" s="667"/>
      <c r="O106" s="659"/>
      <c r="Q106" s="62"/>
      <c r="AD106" s="667"/>
      <c r="AF106" s="659"/>
      <c r="AH106" s="659"/>
      <c r="AR106" s="6"/>
      <c r="AT106" s="15"/>
      <c r="AU106" s="40"/>
      <c r="AV106" s="55"/>
      <c r="BG106" s="6"/>
      <c r="BI106" s="15"/>
      <c r="BJ106" s="40"/>
      <c r="BK106" s="55"/>
      <c r="BV106" s="6"/>
      <c r="BX106" s="15"/>
      <c r="BY106" s="40"/>
      <c r="BZ106" s="55"/>
    </row>
    <row r="107" spans="2:78" x14ac:dyDescent="0.25">
      <c r="B107" s="684"/>
      <c r="AR107" s="49" t="str">
        <f>AR75</f>
        <v>SEC Stretch</v>
      </c>
      <c r="AT107" s="48">
        <f>VLOOKUP($U$2,'XFMR Data'!$A$2:$EV$202,26,FALSE)</f>
        <v>0</v>
      </c>
      <c r="AU107" s="40"/>
      <c r="AV107" s="48">
        <f>ROUNDUP(IF(AT107&gt;80, ((AT107-80)+AT107)/100*$AR$103,AT107/100*$AR$103),)</f>
        <v>0</v>
      </c>
      <c r="BG107" s="49" t="str">
        <f>BG75</f>
        <v>SEC Stretch</v>
      </c>
      <c r="BI107" s="48">
        <f>VLOOKUP($U$2,'XFMR Data'!$A$2:$EV$202,38,FALSE)</f>
        <v>188.64</v>
      </c>
      <c r="BJ107" s="40"/>
      <c r="BK107" s="48">
        <f>ROUNDUP(IF(BI107&gt;80, ((BI107-80)+BI107)/100*$BG$103,BI107/100*$BG$103),)</f>
        <v>3</v>
      </c>
      <c r="BV107" s="49" t="str">
        <f>BG107</f>
        <v>SEC Stretch</v>
      </c>
      <c r="BX107" s="48">
        <f>VLOOKUP($U$2,'XFMR Data'!$A$2:$EV$202,50,FALSE)</f>
        <v>178.27199999999999</v>
      </c>
      <c r="BY107" s="40"/>
      <c r="BZ107" s="48">
        <f>ROUNDUP(IF(BX107&gt;80, ((BX107-80)+BX107)/100*$BV$103,BX107/100*$BV$103),)</f>
        <v>3</v>
      </c>
    </row>
    <row r="108" spans="2:78" ht="15" customHeight="1" x14ac:dyDescent="0.25">
      <c r="B108" s="684"/>
      <c r="M108" s="660" t="str">
        <f>M76</f>
        <v>SEC Stretch</v>
      </c>
      <c r="O108" s="658">
        <f>VLOOKUP($U$2,'XFMR Data'!$A$2:$EE$202,20,FALSE)</f>
        <v>351</v>
      </c>
      <c r="Q108" s="62"/>
      <c r="AD108" s="660" t="str">
        <f>AD76</f>
        <v>SEC Stretch</v>
      </c>
      <c r="AF108" s="658">
        <f>VLOOKUP($U$2,'XFMR Data'!$A$2:$EV$202,68,FALSE)</f>
        <v>169.05599999999998</v>
      </c>
      <c r="AH108" s="658">
        <f>VLOOKUP($U$2,'XFMR Data'!$A$2:$EV$202,74,FALSE)</f>
        <v>510.33599999999996</v>
      </c>
      <c r="AR108" s="40"/>
      <c r="AT108" s="15"/>
      <c r="AU108" s="40"/>
      <c r="AV108" s="55"/>
      <c r="BG108" s="40"/>
      <c r="BI108" s="15"/>
      <c r="BJ108" s="40"/>
      <c r="BK108" s="55"/>
      <c r="BV108" s="40"/>
      <c r="BX108" s="15"/>
      <c r="BY108" s="40"/>
      <c r="BZ108" s="55"/>
    </row>
    <row r="109" spans="2:78" x14ac:dyDescent="0.25">
      <c r="B109" s="684"/>
      <c r="M109" s="661"/>
      <c r="O109" s="659"/>
      <c r="Q109" s="62"/>
      <c r="AD109" s="661"/>
      <c r="AF109" s="659"/>
      <c r="AH109" s="659"/>
      <c r="AR109" s="50" t="str">
        <f>AR77</f>
        <v>AM Stretch</v>
      </c>
      <c r="AT109" s="48">
        <f>VLOOKUP($U$2,'XFMR Data'!$A$2:$EV$202,25,FALSE)</f>
        <v>0</v>
      </c>
      <c r="AU109" s="40"/>
      <c r="AV109" s="48">
        <f>ROUNDUP(IF(AT109&gt;80, ((AT109-80)+AT109)/100*$AR$103,AT109/100*$AR$103),)</f>
        <v>0</v>
      </c>
      <c r="BG109" s="50" t="str">
        <f>BG77</f>
        <v>AM Stretch</v>
      </c>
      <c r="BI109" s="48">
        <f>VLOOKUP($U$2,'XFMR Data'!$A$2:$EV$202,37,FALSE)</f>
        <v>213.21614583333337</v>
      </c>
      <c r="BJ109" s="40"/>
      <c r="BK109" s="48">
        <f>ROUNDUP(IF(BI109&gt;80, ((BI109-80)+BI109)/100*$BG$103,BI109/100*$BG$103),)</f>
        <v>4</v>
      </c>
      <c r="BV109" s="50" t="str">
        <f>BG109</f>
        <v>AM Stretch</v>
      </c>
      <c r="BX109" s="48">
        <f>VLOOKUP($U$2,'XFMR Data'!$A$2:$EV$202,49,FALSE)</f>
        <v>201.49739583333337</v>
      </c>
      <c r="BY109" s="40"/>
      <c r="BZ109" s="48">
        <f>ROUNDUP(IF(BX109&gt;80, ((BX109-80)+BX109)/100*$BV$103,BX109/100*$BV$103),)</f>
        <v>4</v>
      </c>
    </row>
    <row r="110" spans="2:78" x14ac:dyDescent="0.25">
      <c r="B110" s="684"/>
      <c r="AR110" s="40"/>
      <c r="AV110" s="57"/>
      <c r="BG110" s="40"/>
      <c r="BK110" s="57"/>
      <c r="BV110" s="40"/>
      <c r="BZ110" s="57"/>
    </row>
    <row r="111" spans="2:78" ht="15" customHeight="1" x14ac:dyDescent="0.25">
      <c r="B111" s="684"/>
      <c r="M111" s="662" t="str">
        <f>M79</f>
        <v>AM Stretch</v>
      </c>
      <c r="O111" s="658">
        <f>VLOOKUP($U$2,'XFMR Data'!$A$2:$EE$202,19,FALSE)</f>
        <v>0</v>
      </c>
      <c r="Q111" s="62"/>
      <c r="AD111" s="662" t="str">
        <f>AD79</f>
        <v>AM Stretch</v>
      </c>
      <c r="AF111" s="658">
        <f>VLOOKUP($U$2,'XFMR Data'!$A$2:$EV$202,67,FALSE)</f>
        <v>191.08072916666663</v>
      </c>
      <c r="AH111" s="658">
        <f>VLOOKUP($U$2,'XFMR Data'!$A$2:$EV$202,73,FALSE)</f>
        <v>576.82291666666652</v>
      </c>
      <c r="AR111" s="51" t="s">
        <v>156</v>
      </c>
      <c r="AT111" s="48">
        <f>VLOOKUP($U$2,'XFMR Data'!$A$2:$EV$202,24,FALSE)</f>
        <v>0</v>
      </c>
      <c r="AU111" s="40"/>
      <c r="AV111" s="48">
        <f>ROUNDUP(IF(AT111&gt;80, ((AT111-80)+AT111)/100*$AR$103,AT111/100*$AR$103),)</f>
        <v>0</v>
      </c>
      <c r="BG111" s="51" t="s">
        <v>156</v>
      </c>
      <c r="BI111" s="48">
        <f>VLOOKUP($U$2,'XFMR Data'!$A$2:$EV$202,36,FALSE)</f>
        <v>170.39781333333329</v>
      </c>
      <c r="BJ111" s="40"/>
      <c r="BK111" s="48">
        <f>ROUNDUP(IF(BI111&gt;80, ((BI111-80)+BI111)/100*$BG$103,BI111/100*$BG$103),)</f>
        <v>3</v>
      </c>
      <c r="BV111" s="51" t="s">
        <v>156</v>
      </c>
      <c r="BX111" s="48">
        <f>VLOOKUP($U$2,'XFMR Data'!$A$2:$EV$202,48,FALSE)</f>
        <v>161.03243733333332</v>
      </c>
      <c r="BY111" s="40"/>
      <c r="BZ111" s="48">
        <f>ROUNDUP(IF(BX111&gt;80, ((BX111-80)+BX111)/100*$BV$103,BX111/100*$BV$103),)</f>
        <v>3</v>
      </c>
    </row>
    <row r="112" spans="2:78" x14ac:dyDescent="0.25">
      <c r="B112" s="684"/>
      <c r="M112" s="663"/>
      <c r="O112" s="659"/>
      <c r="Q112" s="62"/>
      <c r="AD112" s="663"/>
      <c r="AF112" s="659"/>
      <c r="AH112" s="659"/>
      <c r="AR112" s="6"/>
      <c r="AT112" s="40"/>
      <c r="AU112" s="40"/>
      <c r="AV112" s="56"/>
      <c r="BG112" s="6"/>
      <c r="BI112" s="40"/>
      <c r="BJ112" s="40"/>
      <c r="BK112" s="56"/>
      <c r="BV112" s="6"/>
      <c r="BX112" s="40"/>
      <c r="BY112" s="40"/>
      <c r="BZ112" s="56"/>
    </row>
    <row r="113" spans="2:78" x14ac:dyDescent="0.25">
      <c r="B113" s="684"/>
      <c r="AR113" s="52" t="s">
        <v>157</v>
      </c>
      <c r="AT113" s="48">
        <f>VLOOKUP($U$2,'XFMR Data'!$A$2:$EV$202,2,FALSE)</f>
        <v>91</v>
      </c>
      <c r="AU113" s="40"/>
      <c r="AV113" s="48">
        <f>ROUNDUP(IF(AT113&gt;80, ((AT113-80)+AT113)/100*$AR$103,AT113/100*$AR$103),)</f>
        <v>2</v>
      </c>
      <c r="BG113" s="52" t="s">
        <v>157</v>
      </c>
      <c r="BI113" s="48">
        <f>VLOOKUP($U$2,'XFMR Data'!$A$2:$EV$202,4,FALSE)</f>
        <v>110</v>
      </c>
      <c r="BJ113" s="40"/>
      <c r="BK113" s="48">
        <f>ROUNDUP(IF(BI113&gt;80, ((BI113-80)+BI113)/100*$BG$103,BI113/100*$BG$103),)</f>
        <v>2</v>
      </c>
      <c r="BV113" s="52" t="s">
        <v>157</v>
      </c>
      <c r="BX113" s="48">
        <f>VLOOKUP($U$2,'XFMR Data'!$A$2:$EV$202,6,FALSE)</f>
        <v>99</v>
      </c>
      <c r="BY113" s="40"/>
      <c r="BZ113" s="48">
        <f>ROUNDUP(IF(BX113&gt;80, ((BX113-80)+BX113)/100*$BV$103,BX113/100*$BV$103),)</f>
        <v>2</v>
      </c>
    </row>
    <row r="114" spans="2:78" ht="15" customHeight="1" x14ac:dyDescent="0.25">
      <c r="B114" s="684"/>
      <c r="M114" s="664" t="s">
        <v>158</v>
      </c>
      <c r="O114" s="658">
        <f>VLOOKUP($U$2,'XFMR Data'!$A$2:$EE$202,18,FALSE)</f>
        <v>66</v>
      </c>
      <c r="Q114" s="62"/>
      <c r="AD114" s="664" t="s">
        <v>158</v>
      </c>
      <c r="AF114" s="658">
        <f>VLOOKUP($U$2,'XFMR Data'!$A$2:$EV$202,66,FALSE)</f>
        <v>152.70765866666662</v>
      </c>
      <c r="AH114" s="658">
        <f>VLOOKUP($U$2,'XFMR Data'!$A$2:$EV$202,72,FALSE)</f>
        <v>460.98461866666656</v>
      </c>
      <c r="AT114" s="15"/>
      <c r="AU114" s="40"/>
      <c r="AV114" s="55"/>
      <c r="BI114" s="15"/>
      <c r="BJ114" s="40"/>
      <c r="BK114" s="55"/>
    </row>
    <row r="115" spans="2:78" x14ac:dyDescent="0.25">
      <c r="B115" s="684"/>
      <c r="M115" s="665"/>
      <c r="O115" s="659"/>
      <c r="Q115" s="62"/>
      <c r="AD115" s="665"/>
      <c r="AF115" s="659"/>
      <c r="AH115" s="659"/>
      <c r="AR115" s="58" t="s">
        <v>163</v>
      </c>
      <c r="AT115" s="632" t="s">
        <v>161</v>
      </c>
      <c r="AU115" s="40"/>
      <c r="AV115" s="668" t="s">
        <v>164</v>
      </c>
      <c r="BG115" s="58" t="s">
        <v>163</v>
      </c>
      <c r="BI115" s="632" t="s">
        <v>161</v>
      </c>
      <c r="BJ115" s="40"/>
      <c r="BK115" s="668" t="s">
        <v>164</v>
      </c>
    </row>
    <row r="116" spans="2:78" x14ac:dyDescent="0.25">
      <c r="B116" s="684"/>
      <c r="AR116" s="59">
        <v>1</v>
      </c>
      <c r="AT116" s="634"/>
      <c r="AU116" s="40"/>
      <c r="AV116" s="669"/>
      <c r="BG116" s="59">
        <v>1</v>
      </c>
      <c r="BI116" s="634"/>
      <c r="BJ116" s="40"/>
      <c r="BK116" s="669"/>
    </row>
    <row r="117" spans="2:78" x14ac:dyDescent="0.25">
      <c r="B117" s="684"/>
      <c r="M117" s="656" t="s">
        <v>157</v>
      </c>
      <c r="O117" s="658">
        <f>VLOOKUP($U$2,'XFMR Data'!$A$2:$EE$202,16,FALSE)</f>
        <v>0</v>
      </c>
      <c r="Q117" s="62"/>
      <c r="AD117" s="656" t="s">
        <v>157</v>
      </c>
      <c r="AF117" s="658">
        <f>VLOOKUP($U$2,'XFMR Data'!$A$2:$EV$202,64,FALSE)</f>
        <v>0</v>
      </c>
      <c r="AH117" s="658">
        <f>VLOOKUP($U$2,'XFMR Data'!$A$2:$EV$202,70,FALSE)</f>
        <v>0</v>
      </c>
    </row>
    <row r="118" spans="2:78" x14ac:dyDescent="0.25">
      <c r="B118" s="684"/>
      <c r="M118" s="657"/>
      <c r="O118" s="659"/>
      <c r="Q118" s="62"/>
      <c r="AD118" s="657"/>
      <c r="AF118" s="659"/>
      <c r="AH118" s="659"/>
      <c r="AR118" s="47" t="str">
        <f>AR87</f>
        <v>Group Stretch</v>
      </c>
      <c r="AT118" s="48">
        <f>VLOOKUP($U$2,'XFMR Data'!$A$2:$EV$202,33,FALSE)</f>
        <v>0</v>
      </c>
      <c r="AU118" s="40"/>
      <c r="AV118" s="48">
        <f>ROUNDUP(IF(AT118&gt;80, ((AT118-80)+AT118)/100*$AR$116,AT118/100*$AR$116),)</f>
        <v>0</v>
      </c>
      <c r="BG118" s="47" t="str">
        <f>BG87</f>
        <v>Group Stretch</v>
      </c>
      <c r="BI118" s="48">
        <f>VLOOKUP($U$2,'XFMR Data'!$A$2:$EV$202,45,FALSE)</f>
        <v>0</v>
      </c>
      <c r="BJ118" s="40"/>
      <c r="BK118" s="48">
        <f>ROUNDUP(IF(BI118&gt;80, ((BI118-80)+BI118)/100*$BG$116,BI118/100*$BG$116),)</f>
        <v>0</v>
      </c>
    </row>
    <row r="119" spans="2:78" x14ac:dyDescent="0.25">
      <c r="B119" s="684"/>
      <c r="AR119" s="6"/>
      <c r="AT119" s="15"/>
      <c r="AU119" s="40"/>
      <c r="AV119" s="55"/>
      <c r="BG119" s="6"/>
      <c r="BI119" s="15"/>
      <c r="BJ119" s="40"/>
      <c r="BK119" s="55"/>
    </row>
    <row r="120" spans="2:78" ht="15" customHeight="1" x14ac:dyDescent="0.25">
      <c r="B120" s="684"/>
      <c r="M120" s="12"/>
      <c r="O120" s="12"/>
      <c r="AD120" s="632" t="s">
        <v>159</v>
      </c>
      <c r="AF120" s="686" t="s">
        <v>165</v>
      </c>
      <c r="AR120" s="49" t="str">
        <f>AR107</f>
        <v>SEC Stretch</v>
      </c>
      <c r="AT120" s="48">
        <f>VLOOKUP($U$2,'XFMR Data'!$A$2:$EV$202,32,FALSE)</f>
        <v>150.56639999999999</v>
      </c>
      <c r="AU120" s="40"/>
      <c r="AV120" s="48">
        <f>ROUNDUP(IF(AT120&gt;80, ((AT120-80)+AT120)/100*$AR$116,AT120/100*$AR$116),)</f>
        <v>3</v>
      </c>
      <c r="BG120" s="49" t="str">
        <f>BG107</f>
        <v>SEC Stretch</v>
      </c>
      <c r="BI120" s="48">
        <f>VLOOKUP($U$2,'XFMR Data'!$A$2:$EV$202,44,FALSE)</f>
        <v>129.88799999999998</v>
      </c>
      <c r="BJ120" s="40"/>
      <c r="BK120" s="48">
        <f>ROUNDUP(IF(BI120&gt;80, ((BI120-80)+BI120)/100*$BG$116,BI120/100*$BG$116),)</f>
        <v>2</v>
      </c>
    </row>
    <row r="121" spans="2:78" x14ac:dyDescent="0.25">
      <c r="B121" s="684"/>
      <c r="M121" s="12"/>
      <c r="O121" s="12"/>
      <c r="AD121" s="634"/>
      <c r="AF121" s="687"/>
      <c r="AR121" s="40"/>
      <c r="AT121" s="15"/>
      <c r="AU121" s="40"/>
      <c r="AV121" s="55"/>
      <c r="BG121" s="40"/>
      <c r="BI121" s="15"/>
      <c r="BJ121" s="40"/>
      <c r="BK121" s="55"/>
    </row>
    <row r="122" spans="2:78" x14ac:dyDescent="0.25">
      <c r="B122" s="684"/>
      <c r="AR122" s="50" t="str">
        <f>AR109</f>
        <v>AM Stretch</v>
      </c>
      <c r="AT122" s="48">
        <f>VLOOKUP($U$2,'XFMR Data'!$A$2:$EV$202,31,FALSE)</f>
        <v>170.18229166666669</v>
      </c>
      <c r="AU122" s="40"/>
      <c r="AV122" s="48">
        <f>ROUNDUP(IF(AT122&gt;80, ((AT122-80)+AT122)/100*$AR$116,AT122/100*$AR$116),)</f>
        <v>3</v>
      </c>
      <c r="BG122" s="50" t="str">
        <f>BG109</f>
        <v>AM Stretch</v>
      </c>
      <c r="BI122" s="48">
        <f>VLOOKUP($U$2,'XFMR Data'!$A$2:$EV$202,43,FALSE)</f>
        <v>146.80989583333337</v>
      </c>
      <c r="BJ122" s="40"/>
      <c r="BK122" s="48">
        <f>ROUNDUP(IF(BI122&gt;80, ((BI122-80)+BI122)/100*$BG$116,BI122/100*$BG$116),)</f>
        <v>3</v>
      </c>
    </row>
    <row r="123" spans="2:78" x14ac:dyDescent="0.25">
      <c r="B123" s="684"/>
      <c r="AR123" s="40"/>
      <c r="AV123" s="57"/>
      <c r="BG123" s="40"/>
      <c r="BK123" s="57"/>
    </row>
    <row r="124" spans="2:78" x14ac:dyDescent="0.25">
      <c r="B124" s="684"/>
      <c r="AR124" s="51" t="s">
        <v>156</v>
      </c>
      <c r="AT124" s="48">
        <f>VLOOKUP($U$2,'XFMR Data'!$A$2:$EV$202,30,FALSE)</f>
        <v>136.00607146666664</v>
      </c>
      <c r="AU124" s="40"/>
      <c r="AV124" s="48">
        <f>ROUNDUP(IF(AT124&gt;80, ((AT124-80)+AT124)/100*$AR$116,AT124/100*$AR$116),)</f>
        <v>2</v>
      </c>
      <c r="BG124" s="51" t="s">
        <v>156</v>
      </c>
      <c r="BI124" s="48">
        <f>VLOOKUP($U$2,'XFMR Data'!$A$2:$EV$202,42,FALSE)</f>
        <v>117.3273493333333</v>
      </c>
      <c r="BJ124" s="40"/>
      <c r="BK124" s="48">
        <f>ROUNDUP(IF(BI124&gt;80, ((BI124-80)+BI124)/100*$BG$116,BI124/100*$BG$116),)</f>
        <v>2</v>
      </c>
    </row>
    <row r="125" spans="2:78" x14ac:dyDescent="0.25">
      <c r="B125" s="684"/>
      <c r="AR125" s="6"/>
      <c r="AT125" s="40"/>
      <c r="AU125" s="40"/>
      <c r="AV125" s="56"/>
      <c r="BG125" s="6"/>
      <c r="BI125" s="40"/>
      <c r="BJ125" s="40"/>
      <c r="BK125" s="56"/>
    </row>
    <row r="126" spans="2:78" x14ac:dyDescent="0.25">
      <c r="B126" s="684"/>
      <c r="AR126" s="52" t="s">
        <v>157</v>
      </c>
      <c r="AT126" s="48">
        <f>VLOOKUP($U$2,'XFMR Data'!$A$2:$EV$202,3,FALSE)</f>
        <v>88</v>
      </c>
      <c r="AU126" s="40"/>
      <c r="AV126" s="48">
        <f>ROUNDUP(IF(AT126&gt;80, ((AT126-80)+AT126)/100*$AR$116,AT126/100*$AR$116),)</f>
        <v>1</v>
      </c>
      <c r="BG126" s="52" t="s">
        <v>157</v>
      </c>
      <c r="BI126" s="48">
        <f>VLOOKUP($U$2,'XFMR Data'!$A$2:$EV$202,5,FALSE)</f>
        <v>73</v>
      </c>
      <c r="BJ126" s="40"/>
      <c r="BK126" s="48">
        <f>ROUNDUP(IF(BI126&gt;80, ((BI126-80)+BI126)/100*$BG$116,BI126/100*$BG$116),)</f>
        <v>1</v>
      </c>
    </row>
    <row r="127" spans="2:78" x14ac:dyDescent="0.25">
      <c r="B127" s="684"/>
    </row>
    <row r="128" spans="2:78" x14ac:dyDescent="0.25">
      <c r="B128" s="684"/>
      <c r="AT128" s="40"/>
      <c r="AU128" s="40"/>
      <c r="AV128" s="40"/>
    </row>
    <row r="129" spans="2:78" x14ac:dyDescent="0.25">
      <c r="B129" s="684"/>
      <c r="C129" s="688" t="s">
        <v>169</v>
      </c>
      <c r="D129" s="671"/>
      <c r="E129" s="671"/>
      <c r="F129" s="671"/>
      <c r="G129" s="671"/>
      <c r="H129" s="671"/>
      <c r="I129" s="671"/>
      <c r="J129" s="671"/>
      <c r="K129" s="672"/>
      <c r="S129" s="677" t="s">
        <v>170</v>
      </c>
      <c r="T129" s="678"/>
      <c r="U129" s="678"/>
      <c r="V129" s="678"/>
      <c r="W129" s="678"/>
      <c r="X129" s="678"/>
      <c r="Y129" s="678"/>
      <c r="Z129" s="678"/>
      <c r="AA129" s="678"/>
      <c r="AB129" s="679"/>
      <c r="AJ129" s="670"/>
      <c r="AK129" s="671"/>
      <c r="AL129" s="671"/>
      <c r="AM129" s="671"/>
      <c r="AN129" s="671"/>
      <c r="AO129" s="671"/>
      <c r="AP129" s="672"/>
      <c r="AY129" s="670"/>
      <c r="AZ129" s="671"/>
      <c r="BA129" s="671"/>
      <c r="BB129" s="671"/>
      <c r="BC129" s="671"/>
      <c r="BD129" s="671"/>
      <c r="BE129" s="672"/>
    </row>
    <row r="130" spans="2:78" x14ac:dyDescent="0.25">
      <c r="B130" s="685"/>
      <c r="C130" s="673"/>
      <c r="D130" s="674"/>
      <c r="E130" s="674"/>
      <c r="F130" s="674"/>
      <c r="G130" s="674"/>
      <c r="H130" s="674"/>
      <c r="I130" s="674"/>
      <c r="J130" s="674"/>
      <c r="K130" s="675"/>
      <c r="S130" s="680"/>
      <c r="T130" s="681"/>
      <c r="U130" s="681"/>
      <c r="V130" s="681"/>
      <c r="W130" s="681"/>
      <c r="X130" s="681"/>
      <c r="Y130" s="681"/>
      <c r="Z130" s="681"/>
      <c r="AA130" s="681"/>
      <c r="AB130" s="682"/>
      <c r="AJ130" s="673"/>
      <c r="AK130" s="674"/>
      <c r="AL130" s="674"/>
      <c r="AM130" s="674"/>
      <c r="AN130" s="674"/>
      <c r="AO130" s="674"/>
      <c r="AP130" s="675"/>
      <c r="AY130" s="673"/>
      <c r="AZ130" s="674"/>
      <c r="BA130" s="674"/>
      <c r="BB130" s="674"/>
      <c r="BC130" s="674"/>
      <c r="BD130" s="674"/>
      <c r="BE130" s="675"/>
    </row>
    <row r="131" spans="2:78" ht="15.75" thickBot="1" x14ac:dyDescent="0.3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</row>
    <row r="132" spans="2:78" ht="15.75" thickTop="1" x14ac:dyDescent="0.25"/>
  </sheetData>
  <mergeCells count="185">
    <mergeCell ref="C65:K67"/>
    <mergeCell ref="B38:B67"/>
    <mergeCell ref="AJ65:AP67"/>
    <mergeCell ref="C97:K99"/>
    <mergeCell ref="B70:B99"/>
    <mergeCell ref="S97:AB99"/>
    <mergeCell ref="AJ97:AP99"/>
    <mergeCell ref="AD88:AD89"/>
    <mergeCell ref="AF88:AF89"/>
    <mergeCell ref="AF79:AF80"/>
    <mergeCell ref="AH79:AH80"/>
    <mergeCell ref="AF70:AF71"/>
    <mergeCell ref="AH70:AH71"/>
    <mergeCell ref="AD73:AD74"/>
    <mergeCell ref="AF73:AF74"/>
    <mergeCell ref="AH73:AH74"/>
    <mergeCell ref="AD82:AD83"/>
    <mergeCell ref="AF82:AF83"/>
    <mergeCell ref="AH82:AH83"/>
    <mergeCell ref="AD85:AD86"/>
    <mergeCell ref="AF85:AF86"/>
    <mergeCell ref="AH85:AH86"/>
    <mergeCell ref="O50:O51"/>
    <mergeCell ref="Q50:Q51"/>
    <mergeCell ref="U2:V3"/>
    <mergeCell ref="AH19:AH20"/>
    <mergeCell ref="AF19:AF20"/>
    <mergeCell ref="AF22:AF23"/>
    <mergeCell ref="AH22:AH23"/>
    <mergeCell ref="AD53:AD54"/>
    <mergeCell ref="AF53:AF54"/>
    <mergeCell ref="AF56:AF57"/>
    <mergeCell ref="AD47:AD48"/>
    <mergeCell ref="AF47:AF48"/>
    <mergeCell ref="AH47:AH48"/>
    <mergeCell ref="AD50:AD51"/>
    <mergeCell ref="AF50:AF51"/>
    <mergeCell ref="AH50:AH51"/>
    <mergeCell ref="AD41:AD42"/>
    <mergeCell ref="AH53:AH54"/>
    <mergeCell ref="AD56:AD57"/>
    <mergeCell ref="AY129:BE130"/>
    <mergeCell ref="AJ129:AP130"/>
    <mergeCell ref="AF102:AF103"/>
    <mergeCell ref="AH102:AH103"/>
    <mergeCell ref="AD105:AD106"/>
    <mergeCell ref="AF105:AF106"/>
    <mergeCell ref="AH105:AH106"/>
    <mergeCell ref="AT102:AT103"/>
    <mergeCell ref="AV102:AV103"/>
    <mergeCell ref="AD120:AD121"/>
    <mergeCell ref="AF120:AF121"/>
    <mergeCell ref="AD114:AD115"/>
    <mergeCell ref="AF114:AF115"/>
    <mergeCell ref="AH114:AH115"/>
    <mergeCell ref="AD117:AD118"/>
    <mergeCell ref="AF117:AF118"/>
    <mergeCell ref="AH117:AH118"/>
    <mergeCell ref="AD108:AD109"/>
    <mergeCell ref="AF108:AF109"/>
    <mergeCell ref="AH108:AH109"/>
    <mergeCell ref="AD111:AD112"/>
    <mergeCell ref="AF111:AF112"/>
    <mergeCell ref="AH111:AH112"/>
    <mergeCell ref="S129:AB130"/>
    <mergeCell ref="M73:M74"/>
    <mergeCell ref="AD76:AD77"/>
    <mergeCell ref="B7:B35"/>
    <mergeCell ref="C34:K35"/>
    <mergeCell ref="AH7:AH8"/>
    <mergeCell ref="AF7:AF8"/>
    <mergeCell ref="AH10:AH11"/>
    <mergeCell ref="AF10:AF11"/>
    <mergeCell ref="AH13:AH14"/>
    <mergeCell ref="AF13:AF14"/>
    <mergeCell ref="AD10:AD11"/>
    <mergeCell ref="AD13:AD14"/>
    <mergeCell ref="AD16:AD17"/>
    <mergeCell ref="AD19:AD20"/>
    <mergeCell ref="AD22:AD23"/>
    <mergeCell ref="AH16:AH17"/>
    <mergeCell ref="AF16:AF17"/>
    <mergeCell ref="AF25:AF26"/>
    <mergeCell ref="AD25:AD26"/>
    <mergeCell ref="AF38:AF39"/>
    <mergeCell ref="AH38:AH39"/>
    <mergeCell ref="B102:B130"/>
    <mergeCell ref="C129:K130"/>
    <mergeCell ref="BK7:BK8"/>
    <mergeCell ref="BI20:BI21"/>
    <mergeCell ref="BK20:BK21"/>
    <mergeCell ref="BI70:BI71"/>
    <mergeCell ref="BK70:BK71"/>
    <mergeCell ref="AT20:AT21"/>
    <mergeCell ref="AV20:AV21"/>
    <mergeCell ref="AT52:AT53"/>
    <mergeCell ref="AV52:AV53"/>
    <mergeCell ref="BI7:BI8"/>
    <mergeCell ref="AY34:BE35"/>
    <mergeCell ref="AT38:AT39"/>
    <mergeCell ref="AV38:AV39"/>
    <mergeCell ref="AT7:AT8"/>
    <mergeCell ref="AV7:AV8"/>
    <mergeCell ref="AT70:AT71"/>
    <mergeCell ref="AV70:AV71"/>
    <mergeCell ref="BK84:BK85"/>
    <mergeCell ref="BI102:BI103"/>
    <mergeCell ref="BK102:BK103"/>
    <mergeCell ref="BI115:BI116"/>
    <mergeCell ref="BK115:BK116"/>
    <mergeCell ref="BX102:BX103"/>
    <mergeCell ref="BZ102:BZ103"/>
    <mergeCell ref="S34:AB35"/>
    <mergeCell ref="AT84:AT85"/>
    <mergeCell ref="AV84:AV85"/>
    <mergeCell ref="AT115:AT116"/>
    <mergeCell ref="AV115:AV116"/>
    <mergeCell ref="BI84:BI85"/>
    <mergeCell ref="AD44:AD45"/>
    <mergeCell ref="AF44:AF45"/>
    <mergeCell ref="AH44:AH45"/>
    <mergeCell ref="AJ34:AP35"/>
    <mergeCell ref="AF41:AF42"/>
    <mergeCell ref="AH41:AH42"/>
    <mergeCell ref="AF76:AF77"/>
    <mergeCell ref="AH76:AH77"/>
    <mergeCell ref="AD79:AD80"/>
    <mergeCell ref="AY97:BK99"/>
    <mergeCell ref="S65:AH67"/>
    <mergeCell ref="M19:M20"/>
    <mergeCell ref="O19:O20"/>
    <mergeCell ref="Q19:Q20"/>
    <mergeCell ref="M22:M23"/>
    <mergeCell ref="O22:O23"/>
    <mergeCell ref="Q22:Q23"/>
    <mergeCell ref="O38:O39"/>
    <mergeCell ref="Q38:Q39"/>
    <mergeCell ref="O7:O8"/>
    <mergeCell ref="Q7:Q8"/>
    <mergeCell ref="M10:M11"/>
    <mergeCell ref="O10:O11"/>
    <mergeCell ref="Q10:Q11"/>
    <mergeCell ref="M13:M14"/>
    <mergeCell ref="O13:O14"/>
    <mergeCell ref="Q13:Q14"/>
    <mergeCell ref="M16:M17"/>
    <mergeCell ref="O16:O17"/>
    <mergeCell ref="Q16:Q17"/>
    <mergeCell ref="M53:M54"/>
    <mergeCell ref="O53:O54"/>
    <mergeCell ref="Q53:Q54"/>
    <mergeCell ref="O70:O71"/>
    <mergeCell ref="M41:M42"/>
    <mergeCell ref="O41:O42"/>
    <mergeCell ref="Q41:Q42"/>
    <mergeCell ref="M44:M45"/>
    <mergeCell ref="O44:O45"/>
    <mergeCell ref="Q44:Q45"/>
    <mergeCell ref="M47:M48"/>
    <mergeCell ref="O47:O48"/>
    <mergeCell ref="Q47:Q48"/>
    <mergeCell ref="D2:D4"/>
    <mergeCell ref="E2:R2"/>
    <mergeCell ref="E3:R4"/>
    <mergeCell ref="M117:M118"/>
    <mergeCell ref="O117:O118"/>
    <mergeCell ref="M108:M109"/>
    <mergeCell ref="O108:O109"/>
    <mergeCell ref="M111:M112"/>
    <mergeCell ref="O111:O112"/>
    <mergeCell ref="M114:M115"/>
    <mergeCell ref="O114:O115"/>
    <mergeCell ref="M85:M86"/>
    <mergeCell ref="O85:O86"/>
    <mergeCell ref="O102:O103"/>
    <mergeCell ref="M105:M106"/>
    <mergeCell ref="O105:O106"/>
    <mergeCell ref="O73:O74"/>
    <mergeCell ref="M76:M77"/>
    <mergeCell ref="O76:O77"/>
    <mergeCell ref="M79:M80"/>
    <mergeCell ref="O79:O80"/>
    <mergeCell ref="M82:M83"/>
    <mergeCell ref="O82:O83"/>
    <mergeCell ref="M50:M51"/>
  </mergeCells>
  <conditionalFormatting sqref="Q10">
    <cfRule type="cellIs" dxfId="330" priority="270" operator="equal">
      <formula>$M$8</formula>
    </cfRule>
    <cfRule type="cellIs" dxfId="329" priority="275" operator="lessThan">
      <formula>$M$8</formula>
    </cfRule>
    <cfRule type="cellIs" dxfId="328" priority="276" operator="greaterThan">
      <formula>$M$8</formula>
    </cfRule>
  </conditionalFormatting>
  <conditionalFormatting sqref="Q13">
    <cfRule type="cellIs" dxfId="327" priority="267" operator="equal">
      <formula>$M$8</formula>
    </cfRule>
    <cfRule type="cellIs" dxfId="326" priority="268" operator="lessThan">
      <formula>$M$8</formula>
    </cfRule>
    <cfRule type="cellIs" dxfId="325" priority="269" operator="greaterThan">
      <formula>$M$8</formula>
    </cfRule>
  </conditionalFormatting>
  <conditionalFormatting sqref="Q16">
    <cfRule type="cellIs" dxfId="324" priority="264" operator="equal">
      <formula>$M$8</formula>
    </cfRule>
    <cfRule type="cellIs" dxfId="323" priority="265" operator="lessThan">
      <formula>$M$8</formula>
    </cfRule>
    <cfRule type="cellIs" dxfId="322" priority="266" operator="greaterThan">
      <formula>$M$8</formula>
    </cfRule>
  </conditionalFormatting>
  <conditionalFormatting sqref="Q19">
    <cfRule type="cellIs" dxfId="321" priority="261" operator="equal">
      <formula>$M$8</formula>
    </cfRule>
    <cfRule type="cellIs" dxfId="320" priority="262" operator="lessThan">
      <formula>$M$8</formula>
    </cfRule>
    <cfRule type="cellIs" dxfId="319" priority="263" operator="greaterThan">
      <formula>$M$8</formula>
    </cfRule>
  </conditionalFormatting>
  <conditionalFormatting sqref="Q22">
    <cfRule type="cellIs" dxfId="318" priority="258" operator="equal">
      <formula>$M$8</formula>
    </cfRule>
    <cfRule type="cellIs" dxfId="317" priority="259" operator="lessThan">
      <formula>$M$8</formula>
    </cfRule>
    <cfRule type="cellIs" dxfId="316" priority="260" operator="greaterThan">
      <formula>$M$8</formula>
    </cfRule>
  </conditionalFormatting>
  <conditionalFormatting sqref="AV10">
    <cfRule type="cellIs" dxfId="315" priority="255" operator="equal">
      <formula>$AR$8</formula>
    </cfRule>
    <cfRule type="cellIs" dxfId="314" priority="256" operator="lessThan">
      <formula>$AR$8</formula>
    </cfRule>
    <cfRule type="cellIs" dxfId="313" priority="257" operator="greaterThan">
      <formula>$AR$8</formula>
    </cfRule>
  </conditionalFormatting>
  <conditionalFormatting sqref="AV12">
    <cfRule type="cellIs" dxfId="312" priority="252" operator="equal">
      <formula>$AR$8</formula>
    </cfRule>
    <cfRule type="cellIs" dxfId="311" priority="253" operator="lessThan">
      <formula>$AR$8</formula>
    </cfRule>
    <cfRule type="cellIs" dxfId="310" priority="254" operator="greaterThan">
      <formula>$AR$8</formula>
    </cfRule>
  </conditionalFormatting>
  <conditionalFormatting sqref="AV14">
    <cfRule type="cellIs" dxfId="309" priority="249" operator="equal">
      <formula>$AR$8</formula>
    </cfRule>
    <cfRule type="cellIs" dxfId="308" priority="250" operator="lessThan">
      <formula>$AR$8</formula>
    </cfRule>
    <cfRule type="cellIs" dxfId="307" priority="251" operator="greaterThan">
      <formula>$AR$8</formula>
    </cfRule>
  </conditionalFormatting>
  <conditionalFormatting sqref="AV16">
    <cfRule type="cellIs" dxfId="306" priority="246" operator="equal">
      <formula>$AR$8</formula>
    </cfRule>
    <cfRule type="cellIs" dxfId="305" priority="247" operator="lessThan">
      <formula>$AR$8</formula>
    </cfRule>
    <cfRule type="cellIs" dxfId="304" priority="248" operator="greaterThan">
      <formula>$AR$8</formula>
    </cfRule>
  </conditionalFormatting>
  <conditionalFormatting sqref="AV18">
    <cfRule type="cellIs" dxfId="303" priority="243" operator="equal">
      <formula>$AR$8</formula>
    </cfRule>
    <cfRule type="cellIs" dxfId="302" priority="244" operator="lessThan">
      <formula>$AR$8</formula>
    </cfRule>
    <cfRule type="cellIs" dxfId="301" priority="245" operator="greaterThan">
      <formula>$AR$8</formula>
    </cfRule>
  </conditionalFormatting>
  <conditionalFormatting sqref="AV23">
    <cfRule type="cellIs" dxfId="300" priority="240" operator="equal">
      <formula>$AR$21</formula>
    </cfRule>
    <cfRule type="cellIs" dxfId="299" priority="241" operator="lessThan">
      <formula>$AR$21</formula>
    </cfRule>
    <cfRule type="cellIs" dxfId="298" priority="242" operator="greaterThan">
      <formula>$AR$21</formula>
    </cfRule>
  </conditionalFormatting>
  <conditionalFormatting sqref="AV25">
    <cfRule type="cellIs" dxfId="297" priority="237" operator="equal">
      <formula>$AR$21</formula>
    </cfRule>
    <cfRule type="cellIs" dxfId="296" priority="238" operator="lessThan">
      <formula>$AR$21</formula>
    </cfRule>
    <cfRule type="cellIs" dxfId="295" priority="239" operator="greaterThan">
      <formula>$AR$21</formula>
    </cfRule>
  </conditionalFormatting>
  <conditionalFormatting sqref="AV27">
    <cfRule type="cellIs" dxfId="294" priority="234" operator="equal">
      <formula>$AR$21</formula>
    </cfRule>
    <cfRule type="cellIs" dxfId="293" priority="235" operator="lessThan">
      <formula>$AR$21</formula>
    </cfRule>
    <cfRule type="cellIs" dxfId="292" priority="236" operator="greaterThan">
      <formula>$AR$21</formula>
    </cfRule>
  </conditionalFormatting>
  <conditionalFormatting sqref="AV29">
    <cfRule type="cellIs" dxfId="291" priority="231" operator="equal">
      <formula>$AR$21</formula>
    </cfRule>
    <cfRule type="cellIs" dxfId="290" priority="232" operator="lessThan">
      <formula>$AR$21</formula>
    </cfRule>
    <cfRule type="cellIs" dxfId="289" priority="233" operator="greaterThan">
      <formula>$AR$21</formula>
    </cfRule>
  </conditionalFormatting>
  <conditionalFormatting sqref="AV31">
    <cfRule type="cellIs" dxfId="288" priority="228" operator="equal">
      <formula>$AR$21</formula>
    </cfRule>
    <cfRule type="cellIs" dxfId="287" priority="229" operator="lessThan">
      <formula>$AR$21</formula>
    </cfRule>
    <cfRule type="cellIs" dxfId="286" priority="230" operator="greaterThan">
      <formula>$AR$21</formula>
    </cfRule>
  </conditionalFormatting>
  <conditionalFormatting sqref="BK10">
    <cfRule type="cellIs" dxfId="285" priority="225" operator="equal">
      <formula>1</formula>
    </cfRule>
    <cfRule type="cellIs" dxfId="284" priority="226" operator="lessThan">
      <formula>$BG$8</formula>
    </cfRule>
    <cfRule type="cellIs" dxfId="283" priority="227" operator="greaterThan">
      <formula>$BG$8</formula>
    </cfRule>
  </conditionalFormatting>
  <conditionalFormatting sqref="BK12">
    <cfRule type="cellIs" dxfId="282" priority="222" operator="equal">
      <formula>1</formula>
    </cfRule>
    <cfRule type="cellIs" dxfId="281" priority="223" operator="lessThan">
      <formula>$BG$8</formula>
    </cfRule>
    <cfRule type="cellIs" dxfId="280" priority="224" operator="greaterThan">
      <formula>$BG$8</formula>
    </cfRule>
  </conditionalFormatting>
  <conditionalFormatting sqref="BK14">
    <cfRule type="cellIs" dxfId="279" priority="219" operator="equal">
      <formula>1</formula>
    </cfRule>
    <cfRule type="cellIs" dxfId="278" priority="220" operator="lessThan">
      <formula>$BG$8</formula>
    </cfRule>
    <cfRule type="cellIs" dxfId="277" priority="221" operator="greaterThan">
      <formula>$BG$8</formula>
    </cfRule>
  </conditionalFormatting>
  <conditionalFormatting sqref="BK16">
    <cfRule type="cellIs" dxfId="276" priority="216" operator="equal">
      <formula>1</formula>
    </cfRule>
    <cfRule type="cellIs" dxfId="275" priority="217" operator="lessThan">
      <formula>$BG$8</formula>
    </cfRule>
    <cfRule type="cellIs" dxfId="274" priority="218" operator="greaterThan">
      <formula>$BG$8</formula>
    </cfRule>
  </conditionalFormatting>
  <conditionalFormatting sqref="BK18">
    <cfRule type="cellIs" dxfId="273" priority="213" operator="equal">
      <formula>1</formula>
    </cfRule>
    <cfRule type="cellIs" dxfId="272" priority="214" operator="lessThan">
      <formula>$BG$8</formula>
    </cfRule>
    <cfRule type="cellIs" dxfId="271" priority="215" operator="greaterThan">
      <formula>$BG$8</formula>
    </cfRule>
  </conditionalFormatting>
  <conditionalFormatting sqref="BK23">
    <cfRule type="cellIs" dxfId="270" priority="210" operator="equal">
      <formula>$BG$21</formula>
    </cfRule>
    <cfRule type="cellIs" dxfId="269" priority="211" operator="lessThan">
      <formula>$BG$21</formula>
    </cfRule>
    <cfRule type="cellIs" dxfId="268" priority="212" operator="greaterThan">
      <formula>$BG$21</formula>
    </cfRule>
  </conditionalFormatting>
  <conditionalFormatting sqref="BK25">
    <cfRule type="cellIs" dxfId="267" priority="207" operator="equal">
      <formula>$BG$21</formula>
    </cfRule>
    <cfRule type="cellIs" dxfId="266" priority="208" operator="lessThan">
      <formula>$BG$21</formula>
    </cfRule>
    <cfRule type="cellIs" dxfId="265" priority="209" operator="greaterThan">
      <formula>$BG$21</formula>
    </cfRule>
  </conditionalFormatting>
  <conditionalFormatting sqref="BK27">
    <cfRule type="cellIs" dxfId="264" priority="204" operator="equal">
      <formula>$BG$21</formula>
    </cfRule>
    <cfRule type="cellIs" dxfId="263" priority="205" operator="lessThan">
      <formula>$BG$21</formula>
    </cfRule>
    <cfRule type="cellIs" dxfId="262" priority="206" operator="greaterThan">
      <formula>$BG$21</formula>
    </cfRule>
  </conditionalFormatting>
  <conditionalFormatting sqref="BK29">
    <cfRule type="cellIs" dxfId="261" priority="201" operator="equal">
      <formula>$BG$21</formula>
    </cfRule>
    <cfRule type="cellIs" dxfId="260" priority="202" operator="lessThan">
      <formula>$BG$21</formula>
    </cfRule>
    <cfRule type="cellIs" dxfId="259" priority="203" operator="greaterThan">
      <formula>$BG$21</formula>
    </cfRule>
  </conditionalFormatting>
  <conditionalFormatting sqref="BK31">
    <cfRule type="cellIs" dxfId="258" priority="198" operator="equal">
      <formula>$BG$21</formula>
    </cfRule>
    <cfRule type="cellIs" dxfId="257" priority="199" operator="lessThan">
      <formula>$BG$21</formula>
    </cfRule>
    <cfRule type="cellIs" dxfId="256" priority="200" operator="greaterThan">
      <formula>$BG$21</formula>
    </cfRule>
  </conditionalFormatting>
  <conditionalFormatting sqref="Q41:Q42">
    <cfRule type="cellIs" dxfId="255" priority="195" operator="equal">
      <formula>$M$39</formula>
    </cfRule>
    <cfRule type="cellIs" dxfId="254" priority="196" operator="lessThan">
      <formula>$M$39</formula>
    </cfRule>
    <cfRule type="cellIs" dxfId="253" priority="197" operator="greaterThan">
      <formula>$M$39</formula>
    </cfRule>
  </conditionalFormatting>
  <conditionalFormatting sqref="Q44:Q45">
    <cfRule type="cellIs" dxfId="252" priority="192" operator="equal">
      <formula>$M$39</formula>
    </cfRule>
    <cfRule type="cellIs" dxfId="251" priority="193" operator="lessThan">
      <formula>$M$39</formula>
    </cfRule>
    <cfRule type="cellIs" dxfId="250" priority="194" operator="greaterThan">
      <formula>$M$39</formula>
    </cfRule>
  </conditionalFormatting>
  <conditionalFormatting sqref="Q47:Q48">
    <cfRule type="cellIs" dxfId="249" priority="189" operator="equal">
      <formula>$M$39</formula>
    </cfRule>
    <cfRule type="cellIs" dxfId="248" priority="190" operator="lessThan">
      <formula>$M$39</formula>
    </cfRule>
    <cfRule type="cellIs" dxfId="247" priority="191" operator="greaterThan">
      <formula>$M$39</formula>
    </cfRule>
  </conditionalFormatting>
  <conditionalFormatting sqref="Q50:Q51">
    <cfRule type="cellIs" dxfId="246" priority="186" operator="equal">
      <formula>$M$39</formula>
    </cfRule>
    <cfRule type="cellIs" dxfId="245" priority="187" operator="lessThan">
      <formula>$M$39</formula>
    </cfRule>
    <cfRule type="cellIs" dxfId="244" priority="188" operator="greaterThan">
      <formula>$M$39</formula>
    </cfRule>
  </conditionalFormatting>
  <conditionalFormatting sqref="Q53:Q54">
    <cfRule type="cellIs" dxfId="243" priority="183" operator="equal">
      <formula>$M$39</formula>
    </cfRule>
    <cfRule type="cellIs" dxfId="242" priority="184" operator="lessThan">
      <formula>$M$39</formula>
    </cfRule>
    <cfRule type="cellIs" dxfId="241" priority="185" operator="greaterThan">
      <formula>$M$39</formula>
    </cfRule>
  </conditionalFormatting>
  <conditionalFormatting sqref="AV41">
    <cfRule type="cellIs" dxfId="240" priority="180" operator="equal">
      <formula>$AR$39</formula>
    </cfRule>
    <cfRule type="cellIs" dxfId="239" priority="181" operator="lessThan">
      <formula>$AR$39</formula>
    </cfRule>
    <cfRule type="cellIs" dxfId="238" priority="182" operator="greaterThan">
      <formula>$AR$39</formula>
    </cfRule>
  </conditionalFormatting>
  <conditionalFormatting sqref="AV43">
    <cfRule type="cellIs" dxfId="237" priority="177" operator="equal">
      <formula>$AR$39</formula>
    </cfRule>
    <cfRule type="cellIs" dxfId="236" priority="178" operator="lessThan">
      <formula>$AR$39</formula>
    </cfRule>
    <cfRule type="cellIs" dxfId="235" priority="179" operator="greaterThan">
      <formula>$AR$39</formula>
    </cfRule>
  </conditionalFormatting>
  <conditionalFormatting sqref="AV45">
    <cfRule type="cellIs" dxfId="234" priority="174" operator="equal">
      <formula>$AR$39</formula>
    </cfRule>
    <cfRule type="cellIs" dxfId="233" priority="175" operator="lessThan">
      <formula>$AR$39</formula>
    </cfRule>
    <cfRule type="cellIs" dxfId="232" priority="176" operator="greaterThan">
      <formula>$AR$39</formula>
    </cfRule>
  </conditionalFormatting>
  <conditionalFormatting sqref="AV47">
    <cfRule type="cellIs" dxfId="231" priority="171" operator="equal">
      <formula>$AR$39</formula>
    </cfRule>
    <cfRule type="cellIs" dxfId="230" priority="172" operator="lessThan">
      <formula>$AR$39</formula>
    </cfRule>
    <cfRule type="cellIs" dxfId="229" priority="173" operator="greaterThan">
      <formula>$AR$39</formula>
    </cfRule>
  </conditionalFormatting>
  <conditionalFormatting sqref="AV49">
    <cfRule type="cellIs" dxfId="228" priority="168" operator="equal">
      <formula>$AR$39</formula>
    </cfRule>
    <cfRule type="cellIs" dxfId="227" priority="169" operator="lessThan">
      <formula>$AR$39</formula>
    </cfRule>
    <cfRule type="cellIs" dxfId="226" priority="170" operator="greaterThan">
      <formula>$AR$39</formula>
    </cfRule>
  </conditionalFormatting>
  <conditionalFormatting sqref="AV55">
    <cfRule type="cellIs" dxfId="225" priority="165" operator="equal">
      <formula>$AR$53</formula>
    </cfRule>
    <cfRule type="cellIs" dxfId="224" priority="166" operator="lessThan">
      <formula>$AR$53</formula>
    </cfRule>
    <cfRule type="cellIs" dxfId="223" priority="167" operator="greaterThan">
      <formula>$AR$53</formula>
    </cfRule>
  </conditionalFormatting>
  <conditionalFormatting sqref="AV57">
    <cfRule type="cellIs" dxfId="222" priority="162" operator="equal">
      <formula>$AR$53</formula>
    </cfRule>
    <cfRule type="cellIs" dxfId="221" priority="163" operator="lessThan">
      <formula>$AR$53</formula>
    </cfRule>
    <cfRule type="cellIs" dxfId="220" priority="164" operator="greaterThan">
      <formula>$AR$53</formula>
    </cfRule>
  </conditionalFormatting>
  <conditionalFormatting sqref="AV59">
    <cfRule type="cellIs" dxfId="219" priority="159" operator="equal">
      <formula>$AR$53</formula>
    </cfRule>
    <cfRule type="cellIs" dxfId="218" priority="160" operator="lessThan">
      <formula>$AR$53</formula>
    </cfRule>
    <cfRule type="cellIs" dxfId="217" priority="161" operator="greaterThan">
      <formula>$AR$53</formula>
    </cfRule>
  </conditionalFormatting>
  <conditionalFormatting sqref="AV61">
    <cfRule type="cellIs" dxfId="216" priority="156" operator="equal">
      <formula>$AR$53</formula>
    </cfRule>
    <cfRule type="cellIs" dxfId="215" priority="157" operator="lessThan">
      <formula>$AR$53</formula>
    </cfRule>
    <cfRule type="cellIs" dxfId="214" priority="158" operator="greaterThan">
      <formula>$AR$53</formula>
    </cfRule>
  </conditionalFormatting>
  <conditionalFormatting sqref="AV63">
    <cfRule type="cellIs" dxfId="213" priority="153" operator="equal">
      <formula>$AR$53</formula>
    </cfRule>
    <cfRule type="cellIs" dxfId="212" priority="154" operator="lessThan">
      <formula>$AR$53</formula>
    </cfRule>
    <cfRule type="cellIs" dxfId="211" priority="155" operator="greaterThan">
      <formula>$AR$53</formula>
    </cfRule>
  </conditionalFormatting>
  <conditionalFormatting sqref="AV73">
    <cfRule type="cellIs" dxfId="210" priority="150" operator="equal">
      <formula>$AR$71</formula>
    </cfRule>
    <cfRule type="cellIs" dxfId="209" priority="151" operator="lessThan">
      <formula>$AR$71</formula>
    </cfRule>
    <cfRule type="cellIs" dxfId="208" priority="152" operator="greaterThan">
      <formula>$AR$71</formula>
    </cfRule>
  </conditionalFormatting>
  <conditionalFormatting sqref="AV75">
    <cfRule type="cellIs" dxfId="207" priority="147" operator="equal">
      <formula>$AR$71</formula>
    </cfRule>
    <cfRule type="cellIs" dxfId="206" priority="148" operator="lessThan">
      <formula>$AR$71</formula>
    </cfRule>
    <cfRule type="cellIs" dxfId="205" priority="149" operator="greaterThan">
      <formula>$AR$71</formula>
    </cfRule>
  </conditionalFormatting>
  <conditionalFormatting sqref="AV77">
    <cfRule type="cellIs" dxfId="204" priority="144" operator="equal">
      <formula>$AR$71</formula>
    </cfRule>
    <cfRule type="cellIs" dxfId="203" priority="145" operator="lessThan">
      <formula>$AR$71</formula>
    </cfRule>
    <cfRule type="cellIs" dxfId="202" priority="146" operator="greaterThan">
      <formula>$AR$71</formula>
    </cfRule>
  </conditionalFormatting>
  <conditionalFormatting sqref="AV79">
    <cfRule type="cellIs" dxfId="201" priority="141" operator="equal">
      <formula>$AR$71</formula>
    </cfRule>
    <cfRule type="cellIs" dxfId="200" priority="142" operator="lessThan">
      <formula>$AR$71</formula>
    </cfRule>
    <cfRule type="cellIs" dxfId="199" priority="143" operator="greaterThan">
      <formula>$AR$71</formula>
    </cfRule>
  </conditionalFormatting>
  <conditionalFormatting sqref="AV81">
    <cfRule type="cellIs" dxfId="198" priority="138" operator="equal">
      <formula>$AR$71</formula>
    </cfRule>
    <cfRule type="cellIs" dxfId="197" priority="139" operator="lessThan">
      <formula>$AR$71</formula>
    </cfRule>
    <cfRule type="cellIs" dxfId="196" priority="140" operator="greaterThan">
      <formula>$AR$71</formula>
    </cfRule>
  </conditionalFormatting>
  <conditionalFormatting sqref="AV87">
    <cfRule type="cellIs" dxfId="195" priority="135" operator="equal">
      <formula>$AR$85</formula>
    </cfRule>
    <cfRule type="cellIs" dxfId="194" priority="136" operator="lessThan">
      <formula>$AR$85</formula>
    </cfRule>
    <cfRule type="cellIs" dxfId="193" priority="137" operator="greaterThan">
      <formula>$AR$85</formula>
    </cfRule>
  </conditionalFormatting>
  <conditionalFormatting sqref="AV89">
    <cfRule type="cellIs" dxfId="192" priority="132" operator="equal">
      <formula>$AR$85</formula>
    </cfRule>
    <cfRule type="cellIs" dxfId="191" priority="133" operator="lessThan">
      <formula>$AR$85</formula>
    </cfRule>
    <cfRule type="cellIs" dxfId="190" priority="134" operator="greaterThan">
      <formula>$AR$85</formula>
    </cfRule>
  </conditionalFormatting>
  <conditionalFormatting sqref="AV91">
    <cfRule type="cellIs" dxfId="189" priority="129" operator="equal">
      <formula>$AR$85</formula>
    </cfRule>
    <cfRule type="cellIs" dxfId="188" priority="130" operator="lessThan">
      <formula>$AR$85</formula>
    </cfRule>
    <cfRule type="cellIs" dxfId="187" priority="131" operator="greaterThan">
      <formula>$AR$85</formula>
    </cfRule>
  </conditionalFormatting>
  <conditionalFormatting sqref="AV93">
    <cfRule type="cellIs" dxfId="186" priority="126" operator="equal">
      <formula>$AR$85</formula>
    </cfRule>
    <cfRule type="cellIs" dxfId="185" priority="127" operator="lessThan">
      <formula>$AR$85</formula>
    </cfRule>
    <cfRule type="cellIs" dxfId="184" priority="128" operator="greaterThan">
      <formula>$AR$85</formula>
    </cfRule>
  </conditionalFormatting>
  <conditionalFormatting sqref="AV95">
    <cfRule type="cellIs" dxfId="183" priority="123" operator="equal">
      <formula>$AR$85</formula>
    </cfRule>
    <cfRule type="cellIs" dxfId="182" priority="124" operator="lessThan">
      <formula>$AR$85</formula>
    </cfRule>
    <cfRule type="cellIs" dxfId="181" priority="125" operator="greaterThan">
      <formula>$AR$85</formula>
    </cfRule>
  </conditionalFormatting>
  <conditionalFormatting sqref="BK73">
    <cfRule type="cellIs" dxfId="180" priority="120" operator="equal">
      <formula>$BG$71</formula>
    </cfRule>
    <cfRule type="cellIs" dxfId="179" priority="121" operator="lessThan">
      <formula>$BG$71</formula>
    </cfRule>
    <cfRule type="cellIs" dxfId="178" priority="122" operator="greaterThan">
      <formula>$BG$71</formula>
    </cfRule>
  </conditionalFormatting>
  <conditionalFormatting sqref="BK75">
    <cfRule type="cellIs" dxfId="177" priority="117" operator="equal">
      <formula>$BG$71</formula>
    </cfRule>
    <cfRule type="cellIs" dxfId="176" priority="118" operator="lessThan">
      <formula>$BG$71</formula>
    </cfRule>
    <cfRule type="cellIs" dxfId="175" priority="119" operator="greaterThan">
      <formula>$BG$71</formula>
    </cfRule>
  </conditionalFormatting>
  <conditionalFormatting sqref="BK77">
    <cfRule type="cellIs" dxfId="174" priority="114" operator="equal">
      <formula>$BG$71</formula>
    </cfRule>
    <cfRule type="cellIs" dxfId="173" priority="115" operator="lessThan">
      <formula>$BG$71</formula>
    </cfRule>
    <cfRule type="cellIs" dxfId="172" priority="116" operator="greaterThan">
      <formula>$BG$71</formula>
    </cfRule>
  </conditionalFormatting>
  <conditionalFormatting sqref="BK79">
    <cfRule type="cellIs" dxfId="171" priority="111" operator="equal">
      <formula>$BG$71</formula>
    </cfRule>
    <cfRule type="cellIs" dxfId="170" priority="112" operator="lessThan">
      <formula>$BG$71</formula>
    </cfRule>
    <cfRule type="cellIs" dxfId="169" priority="113" operator="greaterThan">
      <formula>$BG$71</formula>
    </cfRule>
  </conditionalFormatting>
  <conditionalFormatting sqref="BK81">
    <cfRule type="cellIs" dxfId="168" priority="108" operator="equal">
      <formula>$BG$71</formula>
    </cfRule>
    <cfRule type="cellIs" dxfId="167" priority="109" operator="lessThan">
      <formula>$BG$71</formula>
    </cfRule>
    <cfRule type="cellIs" dxfId="166" priority="110" operator="greaterThan">
      <formula>$BG$71</formula>
    </cfRule>
  </conditionalFormatting>
  <conditionalFormatting sqref="BK87">
    <cfRule type="cellIs" dxfId="165" priority="105" operator="equal">
      <formula>$BG$85</formula>
    </cfRule>
    <cfRule type="cellIs" dxfId="164" priority="106" operator="lessThan">
      <formula>$BG$85</formula>
    </cfRule>
    <cfRule type="cellIs" dxfId="163" priority="107" operator="greaterThan">
      <formula>$BG$85</formula>
    </cfRule>
  </conditionalFormatting>
  <conditionalFormatting sqref="BK89">
    <cfRule type="cellIs" dxfId="162" priority="102" operator="equal">
      <formula>$BG$85</formula>
    </cfRule>
    <cfRule type="cellIs" dxfId="161" priority="103" operator="lessThan">
      <formula>$BG$85</formula>
    </cfRule>
    <cfRule type="cellIs" dxfId="160" priority="104" operator="greaterThan">
      <formula>$BG$85</formula>
    </cfRule>
  </conditionalFormatting>
  <conditionalFormatting sqref="BK91">
    <cfRule type="cellIs" dxfId="159" priority="99" operator="equal">
      <formula>$BG$85</formula>
    </cfRule>
    <cfRule type="cellIs" dxfId="158" priority="100" operator="lessThan">
      <formula>$BG$85</formula>
    </cfRule>
    <cfRule type="cellIs" dxfId="157" priority="101" operator="greaterThan">
      <formula>$BG$85</formula>
    </cfRule>
  </conditionalFormatting>
  <conditionalFormatting sqref="BK93">
    <cfRule type="cellIs" dxfId="156" priority="96" operator="equal">
      <formula>$BG$85</formula>
    </cfRule>
    <cfRule type="cellIs" dxfId="155" priority="97" operator="lessThan">
      <formula>$BG$85</formula>
    </cfRule>
    <cfRule type="cellIs" dxfId="154" priority="98" operator="greaterThan">
      <formula>$BG$85</formula>
    </cfRule>
  </conditionalFormatting>
  <conditionalFormatting sqref="BK95">
    <cfRule type="cellIs" dxfId="153" priority="93" operator="equal">
      <formula>$BG$85</formula>
    </cfRule>
    <cfRule type="cellIs" dxfId="152" priority="94" operator="lessThan">
      <formula>$BG$85</formula>
    </cfRule>
    <cfRule type="cellIs" dxfId="151" priority="95" operator="greaterThan">
      <formula>$BG$85</formula>
    </cfRule>
  </conditionalFormatting>
  <conditionalFormatting sqref="AV105">
    <cfRule type="cellIs" dxfId="150" priority="90" operator="equal">
      <formula>$AR$103</formula>
    </cfRule>
    <cfRule type="cellIs" dxfId="149" priority="91" operator="lessThan">
      <formula>$AR$103</formula>
    </cfRule>
    <cfRule type="cellIs" dxfId="148" priority="92" operator="greaterThan">
      <formula>$AR$103</formula>
    </cfRule>
  </conditionalFormatting>
  <conditionalFormatting sqref="AV107">
    <cfRule type="cellIs" dxfId="147" priority="87" operator="equal">
      <formula>$AR$103</formula>
    </cfRule>
    <cfRule type="cellIs" dxfId="146" priority="88" operator="lessThan">
      <formula>$AR$103</formula>
    </cfRule>
    <cfRule type="cellIs" dxfId="145" priority="89" operator="greaterThan">
      <formula>$AR$103</formula>
    </cfRule>
  </conditionalFormatting>
  <conditionalFormatting sqref="AV109">
    <cfRule type="cellIs" dxfId="144" priority="84" operator="equal">
      <formula>$AR$103</formula>
    </cfRule>
    <cfRule type="cellIs" dxfId="143" priority="85" operator="lessThan">
      <formula>$AR$103</formula>
    </cfRule>
    <cfRule type="cellIs" dxfId="142" priority="86" operator="greaterThan">
      <formula>$AR$103</formula>
    </cfRule>
  </conditionalFormatting>
  <conditionalFormatting sqref="AV111">
    <cfRule type="cellIs" dxfId="141" priority="81" operator="equal">
      <formula>$AR$103</formula>
    </cfRule>
    <cfRule type="cellIs" dxfId="140" priority="82" operator="lessThan">
      <formula>$AR$103</formula>
    </cfRule>
    <cfRule type="cellIs" dxfId="139" priority="83" operator="greaterThan">
      <formula>$AR$103</formula>
    </cfRule>
  </conditionalFormatting>
  <conditionalFormatting sqref="AV113">
    <cfRule type="cellIs" dxfId="138" priority="78" operator="equal">
      <formula>$AR$103</formula>
    </cfRule>
    <cfRule type="cellIs" dxfId="137" priority="79" operator="lessThan">
      <formula>$AR$103</formula>
    </cfRule>
    <cfRule type="cellIs" dxfId="136" priority="80" operator="greaterThan">
      <formula>$AR$103</formula>
    </cfRule>
  </conditionalFormatting>
  <conditionalFormatting sqref="AV118">
    <cfRule type="cellIs" dxfId="135" priority="75" operator="equal">
      <formula>$AR$116</formula>
    </cfRule>
    <cfRule type="cellIs" dxfId="134" priority="76" operator="lessThan">
      <formula>$AR$116</formula>
    </cfRule>
    <cfRule type="cellIs" dxfId="133" priority="77" operator="greaterThan">
      <formula>$AR$116</formula>
    </cfRule>
  </conditionalFormatting>
  <conditionalFormatting sqref="AV120">
    <cfRule type="cellIs" dxfId="132" priority="72" operator="equal">
      <formula>$AR$116</formula>
    </cfRule>
    <cfRule type="cellIs" dxfId="131" priority="73" operator="lessThan">
      <formula>$AR$116</formula>
    </cfRule>
    <cfRule type="cellIs" dxfId="130" priority="74" operator="greaterThan">
      <formula>$AR$116</formula>
    </cfRule>
  </conditionalFormatting>
  <conditionalFormatting sqref="AV122">
    <cfRule type="cellIs" dxfId="129" priority="69" operator="equal">
      <formula>$AR$116</formula>
    </cfRule>
    <cfRule type="cellIs" dxfId="128" priority="70" operator="lessThan">
      <formula>$AR$116</formula>
    </cfRule>
    <cfRule type="cellIs" dxfId="127" priority="71" operator="greaterThan">
      <formula>$AR$116</formula>
    </cfRule>
  </conditionalFormatting>
  <conditionalFormatting sqref="AV124">
    <cfRule type="cellIs" dxfId="126" priority="66" operator="equal">
      <formula>$AR$116</formula>
    </cfRule>
    <cfRule type="cellIs" dxfId="125" priority="67" operator="lessThan">
      <formula>$AR$116</formula>
    </cfRule>
    <cfRule type="cellIs" dxfId="124" priority="68" operator="greaterThan">
      <formula>$AR$116</formula>
    </cfRule>
  </conditionalFormatting>
  <conditionalFormatting sqref="AV126">
    <cfRule type="cellIs" dxfId="123" priority="63" operator="equal">
      <formula>$AR$116</formula>
    </cfRule>
    <cfRule type="cellIs" dxfId="122" priority="64" operator="lessThan">
      <formula>$AR$116</formula>
    </cfRule>
    <cfRule type="cellIs" dxfId="121" priority="65" operator="greaterThan">
      <formula>$AR$116</formula>
    </cfRule>
  </conditionalFormatting>
  <conditionalFormatting sqref="BK113">
    <cfRule type="cellIs" dxfId="120" priority="48" operator="equal">
      <formula>$BG$103</formula>
    </cfRule>
    <cfRule type="cellIs" dxfId="119" priority="49" operator="lessThan">
      <formula>$BG$103</formula>
    </cfRule>
    <cfRule type="cellIs" dxfId="118" priority="50" operator="greaterThan">
      <formula>$BG$103</formula>
    </cfRule>
  </conditionalFormatting>
  <conditionalFormatting sqref="BK111">
    <cfRule type="cellIs" dxfId="117" priority="45" operator="equal">
      <formula>$BG$103</formula>
    </cfRule>
    <cfRule type="cellIs" dxfId="116" priority="46" operator="lessThan">
      <formula>$BG$103</formula>
    </cfRule>
    <cfRule type="cellIs" dxfId="115" priority="47" operator="greaterThan">
      <formula>$BG$103</formula>
    </cfRule>
  </conditionalFormatting>
  <conditionalFormatting sqref="BK109">
    <cfRule type="cellIs" dxfId="114" priority="42" operator="equal">
      <formula>$BG$103</formula>
    </cfRule>
    <cfRule type="cellIs" dxfId="113" priority="43" operator="lessThan">
      <formula>$BG$103</formula>
    </cfRule>
    <cfRule type="cellIs" dxfId="112" priority="44" operator="greaterThan">
      <formula>$BG$103</formula>
    </cfRule>
  </conditionalFormatting>
  <conditionalFormatting sqref="BK107">
    <cfRule type="cellIs" dxfId="111" priority="39" operator="equal">
      <formula>$BG$103</formula>
    </cfRule>
    <cfRule type="cellIs" dxfId="110" priority="40" operator="lessThan">
      <formula>$BG$103</formula>
    </cfRule>
    <cfRule type="cellIs" dxfId="109" priority="41" operator="greaterThan">
      <formula>$BG$103</formula>
    </cfRule>
  </conditionalFormatting>
  <conditionalFormatting sqref="BK105">
    <cfRule type="cellIs" dxfId="108" priority="36" operator="equal">
      <formula>$BG$103</formula>
    </cfRule>
    <cfRule type="cellIs" dxfId="107" priority="37" operator="lessThan">
      <formula>$BG$103</formula>
    </cfRule>
    <cfRule type="cellIs" dxfId="106" priority="38" operator="greaterThan">
      <formula>$BG$103</formula>
    </cfRule>
  </conditionalFormatting>
  <conditionalFormatting sqref="BK118">
    <cfRule type="cellIs" dxfId="105" priority="33" operator="equal">
      <formula>1</formula>
    </cfRule>
    <cfRule type="cellIs" dxfId="104" priority="34" operator="lessThan">
      <formula>$BG$116</formula>
    </cfRule>
    <cfRule type="cellIs" dxfId="103" priority="35" operator="greaterThan">
      <formula>$BG$116</formula>
    </cfRule>
  </conditionalFormatting>
  <conditionalFormatting sqref="BK120">
    <cfRule type="cellIs" dxfId="102" priority="30" operator="equal">
      <formula>1</formula>
    </cfRule>
    <cfRule type="cellIs" dxfId="101" priority="31" operator="lessThan">
      <formula>$BG$116</formula>
    </cfRule>
    <cfRule type="cellIs" dxfId="100" priority="32" operator="greaterThan">
      <formula>$BG$116</formula>
    </cfRule>
  </conditionalFormatting>
  <conditionalFormatting sqref="BK122">
    <cfRule type="cellIs" dxfId="99" priority="27" operator="equal">
      <formula>1</formula>
    </cfRule>
    <cfRule type="cellIs" dxfId="98" priority="28" operator="lessThan">
      <formula>$BG$116</formula>
    </cfRule>
    <cfRule type="cellIs" dxfId="97" priority="29" operator="greaterThan">
      <formula>$BG$116</formula>
    </cfRule>
  </conditionalFormatting>
  <conditionalFormatting sqref="BK124">
    <cfRule type="cellIs" dxfId="96" priority="24" operator="equal">
      <formula>1</formula>
    </cfRule>
    <cfRule type="cellIs" dxfId="95" priority="25" operator="lessThan">
      <formula>$BG$116</formula>
    </cfRule>
    <cfRule type="cellIs" dxfId="94" priority="26" operator="greaterThan">
      <formula>$BG$116</formula>
    </cfRule>
  </conditionalFormatting>
  <conditionalFormatting sqref="BK126">
    <cfRule type="cellIs" dxfId="93" priority="21" operator="equal">
      <formula>1</formula>
    </cfRule>
    <cfRule type="cellIs" dxfId="92" priority="22" operator="lessThan">
      <formula>$BG$116</formula>
    </cfRule>
    <cfRule type="cellIs" dxfId="91" priority="23" operator="greaterThan">
      <formula>$BG$116</formula>
    </cfRule>
  </conditionalFormatting>
  <conditionalFormatting sqref="BZ105">
    <cfRule type="cellIs" dxfId="90" priority="18" operator="equal">
      <formula>$BV$103</formula>
    </cfRule>
    <cfRule type="cellIs" dxfId="89" priority="19" operator="lessThan">
      <formula>$BV$103</formula>
    </cfRule>
    <cfRule type="cellIs" dxfId="88" priority="20" operator="greaterThan">
      <formula>$BV$103</formula>
    </cfRule>
  </conditionalFormatting>
  <conditionalFormatting sqref="BZ107">
    <cfRule type="cellIs" dxfId="87" priority="15" operator="equal">
      <formula>$BV$103</formula>
    </cfRule>
    <cfRule type="cellIs" dxfId="86" priority="16" operator="lessThan">
      <formula>$BV$103</formula>
    </cfRule>
    <cfRule type="cellIs" dxfId="85" priority="17" operator="greaterThan">
      <formula>$BV$103</formula>
    </cfRule>
  </conditionalFormatting>
  <conditionalFormatting sqref="BZ109">
    <cfRule type="cellIs" dxfId="84" priority="12" operator="equal">
      <formula>$BV$103</formula>
    </cfRule>
    <cfRule type="cellIs" dxfId="83" priority="13" operator="lessThan">
      <formula>$BV$103</formula>
    </cfRule>
    <cfRule type="cellIs" dxfId="82" priority="14" operator="greaterThan">
      <formula>$BV$103</formula>
    </cfRule>
  </conditionalFormatting>
  <conditionalFormatting sqref="BZ111">
    <cfRule type="cellIs" dxfId="81" priority="9" operator="equal">
      <formula>$BV$103</formula>
    </cfRule>
    <cfRule type="cellIs" dxfId="80" priority="10" operator="lessThan">
      <formula>$BV$103</formula>
    </cfRule>
    <cfRule type="cellIs" dxfId="79" priority="11" operator="greaterThan">
      <formula>$BV$103</formula>
    </cfRule>
  </conditionalFormatting>
  <conditionalFormatting sqref="BZ113">
    <cfRule type="cellIs" dxfId="78" priority="6" operator="equal">
      <formula>$BV$103</formula>
    </cfRule>
    <cfRule type="cellIs" dxfId="77" priority="7" operator="lessThan">
      <formula>$BV$103</formula>
    </cfRule>
    <cfRule type="cellIs" dxfId="76" priority="8" operator="greaterThan">
      <formula>$BV$103</formula>
    </cfRule>
  </conditionalFormatting>
  <conditionalFormatting sqref="AF41:AF42">
    <cfRule type="cellIs" dxfId="75" priority="5" operator="greaterThan">
      <formula>$AF$56</formula>
    </cfRule>
  </conditionalFormatting>
  <conditionalFormatting sqref="AF47:AF48">
    <cfRule type="cellIs" dxfId="74" priority="3" operator="greaterThan">
      <formula>$AF$56</formula>
    </cfRule>
  </conditionalFormatting>
  <conditionalFormatting sqref="AF50:AF51">
    <cfRule type="cellIs" dxfId="73" priority="2" operator="greaterThan">
      <formula>$AF$56</formula>
    </cfRule>
  </conditionalFormatting>
  <conditionalFormatting sqref="AF53:AF54">
    <cfRule type="cellIs" dxfId="72" priority="1" operator="greaterThan">
      <formula>$AF$56</formula>
    </cfRule>
  </conditionalFormatting>
  <pageMargins left="0.7" right="0.7" top="0.75" bottom="0.75" header="0.3" footer="0.3"/>
  <pageSetup paperSize="300" scale="3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A044-0243-4264-A0A8-F032184FA4A2}">
  <sheetPr>
    <tabColor theme="7" tint="0.59999389629810485"/>
    <pageSetUpPr fitToPage="1"/>
  </sheetPr>
  <dimension ref="A1:ED166"/>
  <sheetViews>
    <sheetView tabSelected="1" zoomScale="90" zoomScaleNormal="90" workbookViewId="0">
      <pane ySplit="5" topLeftCell="A46" activePane="bottomLeft" state="frozen"/>
      <selection activeCell="A66" sqref="A66"/>
      <selection pane="bottomLeft" activeCell="N127" sqref="N127"/>
    </sheetView>
  </sheetViews>
  <sheetFormatPr defaultRowHeight="15" outlineLevelRow="1" outlineLevelCol="1" x14ac:dyDescent="0.25"/>
  <cols>
    <col min="2" max="2" width="27" bestFit="1" customWidth="1"/>
    <col min="3" max="3" width="5.42578125" bestFit="1" customWidth="1"/>
    <col min="4" max="12" width="4.42578125" customWidth="1"/>
    <col min="13" max="13" width="10.28515625" customWidth="1" outlineLevel="1"/>
    <col min="14" max="14" width="8" customWidth="1"/>
    <col min="15" max="16" width="6.42578125" bestFit="1" customWidth="1"/>
    <col min="17" max="17" width="6.42578125" customWidth="1" outlineLevel="1"/>
    <col min="18" max="18" width="8.5703125" customWidth="1"/>
    <col min="19" max="19" width="5.28515625" customWidth="1" outlineLevel="1"/>
    <col min="20" max="20" width="7" customWidth="1" outlineLevel="1"/>
    <col min="21" max="21" width="6.28515625" customWidth="1"/>
    <col min="22" max="22" width="7" style="40" customWidth="1"/>
    <col min="23" max="25" width="4.42578125" bestFit="1" customWidth="1"/>
    <col min="26" max="28" width="4" bestFit="1" customWidth="1"/>
    <col min="29" max="30" width="4.42578125" bestFit="1" customWidth="1"/>
    <col min="31" max="34" width="4" bestFit="1" customWidth="1"/>
    <col min="35" max="35" width="5" customWidth="1"/>
    <col min="36" max="46" width="4" bestFit="1" customWidth="1"/>
    <col min="47" max="47" width="4.85546875" bestFit="1" customWidth="1"/>
    <col min="48" max="58" width="4" bestFit="1" customWidth="1"/>
    <col min="59" max="59" width="4.85546875" bestFit="1" customWidth="1"/>
    <col min="60" max="70" width="4" bestFit="1" customWidth="1"/>
    <col min="71" max="71" width="5.140625" bestFit="1" customWidth="1"/>
    <col min="72" max="82" width="4" bestFit="1" customWidth="1"/>
    <col min="83" max="83" width="5.140625" bestFit="1" customWidth="1"/>
    <col min="84" max="94" width="4" bestFit="1" customWidth="1"/>
    <col min="95" max="95" width="4.85546875" customWidth="1"/>
    <col min="96" max="106" width="4" bestFit="1" customWidth="1"/>
    <col min="107" max="107" width="4.85546875" bestFit="1" customWidth="1"/>
    <col min="108" max="118" width="4" bestFit="1" customWidth="1"/>
    <col min="119" max="119" width="4.85546875" customWidth="1"/>
    <col min="120" max="130" width="4" bestFit="1" customWidth="1"/>
    <col min="131" max="131" width="4" customWidth="1"/>
    <col min="132" max="134" width="4" bestFit="1" customWidth="1"/>
  </cols>
  <sheetData>
    <row r="1" spans="2:134" ht="15" customHeight="1" x14ac:dyDescent="0.25">
      <c r="B1" t="s">
        <v>171</v>
      </c>
      <c r="M1" s="718" t="s">
        <v>172</v>
      </c>
      <c r="N1" s="718" t="s">
        <v>172</v>
      </c>
      <c r="O1" s="698" t="s">
        <v>173</v>
      </c>
      <c r="P1" s="698" t="s">
        <v>174</v>
      </c>
      <c r="Q1" s="698" t="s">
        <v>175</v>
      </c>
      <c r="R1" s="718" t="s">
        <v>176</v>
      </c>
      <c r="S1" s="698" t="s">
        <v>177</v>
      </c>
      <c r="T1" s="698" t="s">
        <v>178</v>
      </c>
      <c r="U1" s="728" t="s">
        <v>179</v>
      </c>
      <c r="V1" s="728" t="s">
        <v>180</v>
      </c>
      <c r="W1" s="719" t="s">
        <v>181</v>
      </c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  <c r="DP1" s="720"/>
      <c r="DQ1" s="720"/>
      <c r="DR1" s="720"/>
      <c r="DS1" s="720"/>
      <c r="DT1" s="720"/>
      <c r="DU1" s="720"/>
      <c r="DV1" s="720"/>
      <c r="DW1" s="720"/>
      <c r="DX1" s="720"/>
      <c r="DY1" s="720"/>
      <c r="DZ1" s="720"/>
      <c r="EA1" s="720"/>
      <c r="EB1" s="720"/>
      <c r="EC1" s="720"/>
      <c r="ED1" s="721"/>
    </row>
    <row r="2" spans="2:134" ht="15" customHeight="1" x14ac:dyDescent="0.25">
      <c r="B2">
        <v>0.9</v>
      </c>
      <c r="C2" s="768" t="s">
        <v>182</v>
      </c>
      <c r="D2" s="768"/>
      <c r="E2" s="768"/>
      <c r="F2" s="768"/>
      <c r="G2" s="768"/>
      <c r="H2" s="768"/>
      <c r="I2" s="768"/>
      <c r="J2" s="768"/>
      <c r="K2" s="768"/>
      <c r="M2" s="718"/>
      <c r="N2" s="718"/>
      <c r="O2" s="698"/>
      <c r="P2" s="698"/>
      <c r="Q2" s="698"/>
      <c r="R2" s="718"/>
      <c r="S2" s="698"/>
      <c r="T2" s="698"/>
      <c r="U2" s="728"/>
      <c r="V2" s="728"/>
      <c r="W2" s="722"/>
      <c r="X2" s="723"/>
      <c r="Y2" s="723"/>
      <c r="Z2" s="723"/>
      <c r="AA2" s="723"/>
      <c r="AB2" s="723"/>
      <c r="AC2" s="723"/>
      <c r="AD2" s="723"/>
      <c r="AE2" s="723"/>
      <c r="AF2" s="723"/>
      <c r="AG2" s="723"/>
      <c r="AH2" s="723"/>
      <c r="AI2" s="723"/>
      <c r="AJ2" s="723"/>
      <c r="AK2" s="723"/>
      <c r="AL2" s="723"/>
      <c r="AM2" s="723"/>
      <c r="AN2" s="723"/>
      <c r="AO2" s="723"/>
      <c r="AP2" s="723"/>
      <c r="AQ2" s="723"/>
      <c r="AR2" s="723"/>
      <c r="AS2" s="723"/>
      <c r="AT2" s="723"/>
      <c r="AU2" s="723"/>
      <c r="AV2" s="723"/>
      <c r="AW2" s="723"/>
      <c r="AX2" s="723"/>
      <c r="AY2" s="723"/>
      <c r="AZ2" s="723"/>
      <c r="BA2" s="723"/>
      <c r="BB2" s="723"/>
      <c r="BC2" s="723"/>
      <c r="BD2" s="723"/>
      <c r="BE2" s="723"/>
      <c r="BF2" s="723"/>
      <c r="BG2" s="723"/>
      <c r="BH2" s="723"/>
      <c r="BI2" s="723"/>
      <c r="BJ2" s="723"/>
      <c r="BK2" s="723"/>
      <c r="BL2" s="723"/>
      <c r="BM2" s="723"/>
      <c r="BN2" s="723"/>
      <c r="BO2" s="723"/>
      <c r="BP2" s="723"/>
      <c r="BQ2" s="723"/>
      <c r="BR2" s="723"/>
      <c r="BS2" s="723"/>
      <c r="BT2" s="723"/>
      <c r="BU2" s="723"/>
      <c r="BV2" s="723"/>
      <c r="BW2" s="723"/>
      <c r="BX2" s="723"/>
      <c r="BY2" s="723"/>
      <c r="BZ2" s="723"/>
      <c r="CA2" s="723"/>
      <c r="CB2" s="723"/>
      <c r="CC2" s="723"/>
      <c r="CD2" s="723"/>
      <c r="CE2" s="723"/>
      <c r="CF2" s="723"/>
      <c r="CG2" s="723"/>
      <c r="CH2" s="723"/>
      <c r="CI2" s="723"/>
      <c r="CJ2" s="723"/>
      <c r="CK2" s="723"/>
      <c r="CL2" s="723"/>
      <c r="CM2" s="723"/>
      <c r="CN2" s="723"/>
      <c r="CO2" s="723"/>
      <c r="CP2" s="723"/>
      <c r="CQ2" s="723"/>
      <c r="CR2" s="723"/>
      <c r="CS2" s="723"/>
      <c r="CT2" s="723"/>
      <c r="CU2" s="723"/>
      <c r="CV2" s="723"/>
      <c r="CW2" s="723"/>
      <c r="CX2" s="723"/>
      <c r="CY2" s="723"/>
      <c r="CZ2" s="723"/>
      <c r="DA2" s="723"/>
      <c r="DB2" s="723"/>
      <c r="DC2" s="723"/>
      <c r="DD2" s="723"/>
      <c r="DE2" s="723"/>
      <c r="DF2" s="723"/>
      <c r="DG2" s="723"/>
      <c r="DH2" s="723"/>
      <c r="DI2" s="723"/>
      <c r="DJ2" s="723"/>
      <c r="DK2" s="723"/>
      <c r="DL2" s="723"/>
      <c r="DM2" s="723"/>
      <c r="DN2" s="723"/>
      <c r="DO2" s="723"/>
      <c r="DP2" s="723"/>
      <c r="DQ2" s="723"/>
      <c r="DR2" s="723"/>
      <c r="DS2" s="723"/>
      <c r="DT2" s="723"/>
      <c r="DU2" s="723"/>
      <c r="DV2" s="723"/>
      <c r="DW2" s="723"/>
      <c r="DX2" s="723"/>
      <c r="DY2" s="723"/>
      <c r="DZ2" s="723"/>
      <c r="EA2" s="723"/>
      <c r="EB2" s="723"/>
      <c r="EC2" s="723"/>
      <c r="ED2" s="724"/>
    </row>
    <row r="3" spans="2:134" x14ac:dyDescent="0.25">
      <c r="B3" t="s">
        <v>183</v>
      </c>
      <c r="C3" s="769" t="s">
        <v>184</v>
      </c>
      <c r="D3" s="769"/>
      <c r="E3" s="769"/>
      <c r="F3" s="769"/>
      <c r="G3" s="769"/>
      <c r="H3" s="769"/>
      <c r="I3" s="769"/>
      <c r="J3" s="769"/>
      <c r="K3" s="769"/>
      <c r="M3" s="718"/>
      <c r="N3" s="718"/>
      <c r="O3" s="698"/>
      <c r="P3" s="698"/>
      <c r="Q3" s="698"/>
      <c r="R3" s="718"/>
      <c r="S3" s="698"/>
      <c r="T3" s="698"/>
      <c r="U3" s="728"/>
      <c r="V3" s="728"/>
      <c r="W3" s="631">
        <f>W4</f>
        <v>2023</v>
      </c>
      <c r="X3" s="631"/>
      <c r="Y3" s="631"/>
      <c r="Z3" s="631">
        <f>Z4</f>
        <v>2023</v>
      </c>
      <c r="AA3" s="631"/>
      <c r="AB3" s="631"/>
      <c r="AC3" s="631">
        <f>AC4</f>
        <v>2023</v>
      </c>
      <c r="AD3" s="631"/>
      <c r="AE3" s="631"/>
      <c r="AF3" s="678">
        <f>AF4</f>
        <v>2024</v>
      </c>
      <c r="AG3" s="678"/>
      <c r="AH3" s="678"/>
      <c r="AI3" s="725">
        <f>AI4</f>
        <v>2024</v>
      </c>
      <c r="AJ3" s="678"/>
      <c r="AK3" s="678"/>
      <c r="AL3" s="631">
        <f>AL4</f>
        <v>2024</v>
      </c>
      <c r="AM3" s="631"/>
      <c r="AN3" s="631"/>
      <c r="AO3" s="631">
        <f>AO4</f>
        <v>2024</v>
      </c>
      <c r="AP3" s="631"/>
      <c r="AQ3" s="631"/>
      <c r="AR3" s="678">
        <f>AR4</f>
        <v>2025</v>
      </c>
      <c r="AS3" s="678"/>
      <c r="AT3" s="678"/>
      <c r="AU3" s="725">
        <f>AU4</f>
        <v>2025</v>
      </c>
      <c r="AV3" s="678"/>
      <c r="AW3" s="678"/>
      <c r="AX3" s="631">
        <f>AX4</f>
        <v>2025</v>
      </c>
      <c r="AY3" s="631"/>
      <c r="AZ3" s="631"/>
      <c r="BA3" s="631">
        <f>BA4</f>
        <v>2025</v>
      </c>
      <c r="BB3" s="631"/>
      <c r="BC3" s="631"/>
      <c r="BD3" s="678">
        <f>BD4</f>
        <v>2026</v>
      </c>
      <c r="BE3" s="678"/>
      <c r="BF3" s="678"/>
      <c r="BG3" s="725">
        <f>BG4</f>
        <v>2026</v>
      </c>
      <c r="BH3" s="678"/>
      <c r="BI3" s="678"/>
      <c r="BJ3" s="631">
        <f>BJ4</f>
        <v>2026</v>
      </c>
      <c r="BK3" s="631"/>
      <c r="BL3" s="631"/>
      <c r="BM3" s="631">
        <f>BM4</f>
        <v>2026</v>
      </c>
      <c r="BN3" s="631"/>
      <c r="BO3" s="631"/>
      <c r="BP3" s="678">
        <f>BP4</f>
        <v>2027</v>
      </c>
      <c r="BQ3" s="678"/>
      <c r="BR3" s="678"/>
      <c r="BS3" s="725">
        <f>BS4</f>
        <v>2027</v>
      </c>
      <c r="BT3" s="678"/>
      <c r="BU3" s="678"/>
      <c r="BV3" s="631">
        <f>BV4</f>
        <v>2027</v>
      </c>
      <c r="BW3" s="631"/>
      <c r="BX3" s="631"/>
      <c r="BY3" s="631">
        <f>BY4</f>
        <v>2027</v>
      </c>
      <c r="BZ3" s="631"/>
      <c r="CA3" s="631"/>
      <c r="CB3" s="678">
        <f>CB4</f>
        <v>2028</v>
      </c>
      <c r="CC3" s="678"/>
      <c r="CD3" s="678"/>
      <c r="CE3" s="725">
        <f>CE4</f>
        <v>2028</v>
      </c>
      <c r="CF3" s="678"/>
      <c r="CG3" s="678"/>
      <c r="CH3" s="631">
        <f>CH4</f>
        <v>2028</v>
      </c>
      <c r="CI3" s="631"/>
      <c r="CJ3" s="631"/>
      <c r="CK3" s="631">
        <f>CK4</f>
        <v>2028</v>
      </c>
      <c r="CL3" s="631"/>
      <c r="CM3" s="631"/>
      <c r="CN3" s="678">
        <f>CN4</f>
        <v>2029</v>
      </c>
      <c r="CO3" s="678"/>
      <c r="CP3" s="678"/>
      <c r="CQ3" s="725">
        <f>CQ4</f>
        <v>2029</v>
      </c>
      <c r="CR3" s="678"/>
      <c r="CS3" s="678"/>
      <c r="CT3" s="631">
        <f>CT4</f>
        <v>2029</v>
      </c>
      <c r="CU3" s="631"/>
      <c r="CV3" s="631"/>
      <c r="CW3" s="631">
        <f>CW4</f>
        <v>2029</v>
      </c>
      <c r="CX3" s="631"/>
      <c r="CY3" s="631"/>
      <c r="CZ3" s="678">
        <f>CZ4</f>
        <v>2030</v>
      </c>
      <c r="DA3" s="678"/>
      <c r="DB3" s="678"/>
      <c r="DC3" s="725">
        <f>DC4</f>
        <v>2030</v>
      </c>
      <c r="DD3" s="678"/>
      <c r="DE3" s="678"/>
      <c r="DF3" s="631">
        <f>DF4</f>
        <v>2030</v>
      </c>
      <c r="DG3" s="631"/>
      <c r="DH3" s="631"/>
      <c r="DI3" s="631">
        <f>DI4</f>
        <v>2030</v>
      </c>
      <c r="DJ3" s="631"/>
      <c r="DK3" s="631"/>
      <c r="DL3" s="678">
        <f>DL4</f>
        <v>2031</v>
      </c>
      <c r="DM3" s="678"/>
      <c r="DN3" s="678"/>
      <c r="DO3" s="725">
        <f>DO4</f>
        <v>2031</v>
      </c>
      <c r="DP3" s="678"/>
      <c r="DQ3" s="678"/>
      <c r="DR3" s="631">
        <f>DR4</f>
        <v>2031</v>
      </c>
      <c r="DS3" s="631"/>
      <c r="DT3" s="631"/>
      <c r="DU3" s="631">
        <f>DU4</f>
        <v>2031</v>
      </c>
      <c r="DV3" s="631"/>
      <c r="DW3" s="631"/>
      <c r="DX3" s="678">
        <f>DX4</f>
        <v>2032</v>
      </c>
      <c r="DY3" s="678"/>
      <c r="DZ3" s="678"/>
      <c r="EA3" s="725">
        <f>EA4</f>
        <v>2032</v>
      </c>
      <c r="EB3" s="678"/>
      <c r="EC3" s="678"/>
    </row>
    <row r="4" spans="2:134" x14ac:dyDescent="0.25">
      <c r="B4">
        <v>0.9</v>
      </c>
      <c r="C4" s="767" t="s">
        <v>185</v>
      </c>
      <c r="D4" s="767"/>
      <c r="E4" s="767"/>
      <c r="F4" s="767"/>
      <c r="G4" s="767"/>
      <c r="H4" s="767"/>
      <c r="I4" s="767"/>
      <c r="J4" s="767"/>
      <c r="K4" s="767"/>
      <c r="M4" s="718"/>
      <c r="N4" s="718"/>
      <c r="O4" s="698"/>
      <c r="P4" s="698"/>
      <c r="Q4" s="698"/>
      <c r="R4" s="718"/>
      <c r="S4" s="698"/>
      <c r="T4" s="698"/>
      <c r="U4" s="728"/>
      <c r="V4" s="728"/>
      <c r="W4" s="78">
        <f>YEAR(W5)</f>
        <v>2023</v>
      </c>
      <c r="X4" s="78">
        <f t="shared" ref="X4:CI4" si="0">YEAR(X5)</f>
        <v>2023</v>
      </c>
      <c r="Y4" s="78">
        <f t="shared" si="0"/>
        <v>2023</v>
      </c>
      <c r="Z4" s="78">
        <f t="shared" si="0"/>
        <v>2023</v>
      </c>
      <c r="AA4" s="78">
        <f t="shared" si="0"/>
        <v>2023</v>
      </c>
      <c r="AB4" s="78">
        <f t="shared" si="0"/>
        <v>2023</v>
      </c>
      <c r="AC4" s="78">
        <f t="shared" si="0"/>
        <v>2023</v>
      </c>
      <c r="AD4" s="78">
        <f t="shared" si="0"/>
        <v>2023</v>
      </c>
      <c r="AE4" s="78">
        <f t="shared" si="0"/>
        <v>2024</v>
      </c>
      <c r="AF4" s="78">
        <f t="shared" si="0"/>
        <v>2024</v>
      </c>
      <c r="AG4" s="78">
        <f t="shared" si="0"/>
        <v>2024</v>
      </c>
      <c r="AH4" s="78">
        <f t="shared" si="0"/>
        <v>2024</v>
      </c>
      <c r="AI4" s="131">
        <f t="shared" si="0"/>
        <v>2024</v>
      </c>
      <c r="AJ4" s="78">
        <f t="shared" si="0"/>
        <v>2024</v>
      </c>
      <c r="AK4" s="78">
        <f t="shared" si="0"/>
        <v>2024</v>
      </c>
      <c r="AL4" s="78">
        <f t="shared" si="0"/>
        <v>2024</v>
      </c>
      <c r="AM4" s="78">
        <f t="shared" si="0"/>
        <v>2024</v>
      </c>
      <c r="AN4" s="78">
        <f t="shared" si="0"/>
        <v>2024</v>
      </c>
      <c r="AO4" s="78">
        <f t="shared" si="0"/>
        <v>2024</v>
      </c>
      <c r="AP4" s="78">
        <f t="shared" si="0"/>
        <v>2024</v>
      </c>
      <c r="AQ4" s="78">
        <f t="shared" si="0"/>
        <v>2025</v>
      </c>
      <c r="AR4" s="78">
        <f t="shared" si="0"/>
        <v>2025</v>
      </c>
      <c r="AS4" s="78">
        <f t="shared" si="0"/>
        <v>2025</v>
      </c>
      <c r="AT4" s="78">
        <f t="shared" si="0"/>
        <v>2025</v>
      </c>
      <c r="AU4" s="131">
        <f t="shared" si="0"/>
        <v>2025</v>
      </c>
      <c r="AV4" s="78">
        <f t="shared" si="0"/>
        <v>2025</v>
      </c>
      <c r="AW4" s="78">
        <f t="shared" si="0"/>
        <v>2025</v>
      </c>
      <c r="AX4" s="78">
        <f t="shared" si="0"/>
        <v>2025</v>
      </c>
      <c r="AY4" s="78">
        <f t="shared" si="0"/>
        <v>2025</v>
      </c>
      <c r="AZ4" s="78">
        <f t="shared" si="0"/>
        <v>2025</v>
      </c>
      <c r="BA4" s="78">
        <f t="shared" si="0"/>
        <v>2025</v>
      </c>
      <c r="BB4" s="78">
        <f t="shared" si="0"/>
        <v>2025</v>
      </c>
      <c r="BC4" s="78">
        <f t="shared" si="0"/>
        <v>2026</v>
      </c>
      <c r="BD4" s="78">
        <f t="shared" si="0"/>
        <v>2026</v>
      </c>
      <c r="BE4" s="78">
        <f t="shared" si="0"/>
        <v>2026</v>
      </c>
      <c r="BF4" s="78">
        <f t="shared" si="0"/>
        <v>2026</v>
      </c>
      <c r="BG4" s="131">
        <f t="shared" si="0"/>
        <v>2026</v>
      </c>
      <c r="BH4" s="78">
        <f t="shared" si="0"/>
        <v>2026</v>
      </c>
      <c r="BI4" s="78">
        <f t="shared" si="0"/>
        <v>2026</v>
      </c>
      <c r="BJ4" s="78">
        <f t="shared" si="0"/>
        <v>2026</v>
      </c>
      <c r="BK4" s="78">
        <f t="shared" si="0"/>
        <v>2026</v>
      </c>
      <c r="BL4" s="78">
        <f t="shared" si="0"/>
        <v>2026</v>
      </c>
      <c r="BM4" s="78">
        <f t="shared" si="0"/>
        <v>2026</v>
      </c>
      <c r="BN4" s="78">
        <f t="shared" si="0"/>
        <v>2026</v>
      </c>
      <c r="BO4" s="78">
        <f t="shared" si="0"/>
        <v>2027</v>
      </c>
      <c r="BP4" s="78">
        <f t="shared" si="0"/>
        <v>2027</v>
      </c>
      <c r="BQ4" s="78">
        <f t="shared" si="0"/>
        <v>2027</v>
      </c>
      <c r="BR4" s="78">
        <f t="shared" si="0"/>
        <v>2027</v>
      </c>
      <c r="BS4" s="131">
        <f t="shared" si="0"/>
        <v>2027</v>
      </c>
      <c r="BT4" s="78">
        <f t="shared" si="0"/>
        <v>2027</v>
      </c>
      <c r="BU4" s="78">
        <f t="shared" si="0"/>
        <v>2027</v>
      </c>
      <c r="BV4" s="78">
        <f t="shared" si="0"/>
        <v>2027</v>
      </c>
      <c r="BW4" s="78">
        <f t="shared" si="0"/>
        <v>2027</v>
      </c>
      <c r="BX4" s="78">
        <f t="shared" si="0"/>
        <v>2027</v>
      </c>
      <c r="BY4" s="78">
        <f t="shared" si="0"/>
        <v>2027</v>
      </c>
      <c r="BZ4" s="78">
        <f t="shared" si="0"/>
        <v>2027</v>
      </c>
      <c r="CA4" s="78">
        <f t="shared" si="0"/>
        <v>2028</v>
      </c>
      <c r="CB4" s="78">
        <f t="shared" si="0"/>
        <v>2028</v>
      </c>
      <c r="CC4" s="78">
        <f t="shared" si="0"/>
        <v>2028</v>
      </c>
      <c r="CD4" s="78">
        <f t="shared" si="0"/>
        <v>2028</v>
      </c>
      <c r="CE4" s="131">
        <f t="shared" si="0"/>
        <v>2028</v>
      </c>
      <c r="CF4" s="78">
        <f t="shared" si="0"/>
        <v>2028</v>
      </c>
      <c r="CG4" s="78">
        <f t="shared" si="0"/>
        <v>2028</v>
      </c>
      <c r="CH4" s="78">
        <f t="shared" si="0"/>
        <v>2028</v>
      </c>
      <c r="CI4" s="78">
        <f t="shared" si="0"/>
        <v>2028</v>
      </c>
      <c r="CJ4" s="78">
        <f t="shared" ref="CJ4:ED4" si="1">YEAR(CJ5)</f>
        <v>2028</v>
      </c>
      <c r="CK4" s="78">
        <f t="shared" si="1"/>
        <v>2028</v>
      </c>
      <c r="CL4" s="78">
        <f t="shared" si="1"/>
        <v>2028</v>
      </c>
      <c r="CM4" s="78">
        <f t="shared" si="1"/>
        <v>2029</v>
      </c>
      <c r="CN4" s="78">
        <f t="shared" si="1"/>
        <v>2029</v>
      </c>
      <c r="CO4" s="78">
        <f t="shared" si="1"/>
        <v>2029</v>
      </c>
      <c r="CP4" s="78">
        <f t="shared" si="1"/>
        <v>2029</v>
      </c>
      <c r="CQ4" s="131">
        <f t="shared" si="1"/>
        <v>2029</v>
      </c>
      <c r="CR4" s="78">
        <f t="shared" si="1"/>
        <v>2029</v>
      </c>
      <c r="CS4" s="78">
        <f t="shared" si="1"/>
        <v>2029</v>
      </c>
      <c r="CT4" s="78">
        <f t="shared" si="1"/>
        <v>2029</v>
      </c>
      <c r="CU4" s="78">
        <f t="shared" si="1"/>
        <v>2029</v>
      </c>
      <c r="CV4" s="78">
        <f t="shared" si="1"/>
        <v>2029</v>
      </c>
      <c r="CW4" s="78">
        <f t="shared" si="1"/>
        <v>2029</v>
      </c>
      <c r="CX4" s="78">
        <f t="shared" si="1"/>
        <v>2029</v>
      </c>
      <c r="CY4" s="78">
        <f t="shared" si="1"/>
        <v>2030</v>
      </c>
      <c r="CZ4" s="78">
        <f t="shared" si="1"/>
        <v>2030</v>
      </c>
      <c r="DA4" s="78">
        <f t="shared" si="1"/>
        <v>2030</v>
      </c>
      <c r="DB4" s="78">
        <f t="shared" si="1"/>
        <v>2030</v>
      </c>
      <c r="DC4" s="131">
        <f t="shared" si="1"/>
        <v>2030</v>
      </c>
      <c r="DD4" s="78">
        <f t="shared" si="1"/>
        <v>2030</v>
      </c>
      <c r="DE4" s="78">
        <f t="shared" si="1"/>
        <v>2030</v>
      </c>
      <c r="DF4" s="78">
        <f t="shared" si="1"/>
        <v>2030</v>
      </c>
      <c r="DG4" s="78">
        <f t="shared" si="1"/>
        <v>2030</v>
      </c>
      <c r="DH4" s="78">
        <f t="shared" si="1"/>
        <v>2030</v>
      </c>
      <c r="DI4" s="78">
        <f t="shared" si="1"/>
        <v>2030</v>
      </c>
      <c r="DJ4" s="78">
        <f t="shared" si="1"/>
        <v>2030</v>
      </c>
      <c r="DK4" s="78">
        <f t="shared" si="1"/>
        <v>2031</v>
      </c>
      <c r="DL4" s="78">
        <f t="shared" si="1"/>
        <v>2031</v>
      </c>
      <c r="DM4" s="78">
        <f t="shared" si="1"/>
        <v>2031</v>
      </c>
      <c r="DN4" s="78">
        <f t="shared" si="1"/>
        <v>2031</v>
      </c>
      <c r="DO4" s="131">
        <f t="shared" si="1"/>
        <v>2031</v>
      </c>
      <c r="DP4" s="78">
        <f t="shared" si="1"/>
        <v>2031</v>
      </c>
      <c r="DQ4" s="78">
        <f t="shared" si="1"/>
        <v>2031</v>
      </c>
      <c r="DR4" s="78">
        <f t="shared" si="1"/>
        <v>2031</v>
      </c>
      <c r="DS4" s="78">
        <f t="shared" si="1"/>
        <v>2031</v>
      </c>
      <c r="DT4" s="78">
        <f t="shared" si="1"/>
        <v>2031</v>
      </c>
      <c r="DU4" s="78">
        <f t="shared" si="1"/>
        <v>2031</v>
      </c>
      <c r="DV4" s="78">
        <f t="shared" si="1"/>
        <v>2031</v>
      </c>
      <c r="DW4" s="78">
        <f t="shared" si="1"/>
        <v>2032</v>
      </c>
      <c r="DX4" s="78">
        <f t="shared" si="1"/>
        <v>2032</v>
      </c>
      <c r="DY4" s="78">
        <f t="shared" si="1"/>
        <v>2032</v>
      </c>
      <c r="DZ4" s="78">
        <f t="shared" si="1"/>
        <v>2032</v>
      </c>
      <c r="EA4" s="131">
        <f t="shared" si="1"/>
        <v>2032</v>
      </c>
      <c r="EB4" s="78">
        <f t="shared" si="1"/>
        <v>2032</v>
      </c>
      <c r="EC4" s="78">
        <f t="shared" si="1"/>
        <v>2032</v>
      </c>
      <c r="ED4" s="78">
        <f t="shared" si="1"/>
        <v>2032</v>
      </c>
    </row>
    <row r="5" spans="2:134" ht="24.75" customHeight="1" x14ac:dyDescent="0.25">
      <c r="M5" s="718"/>
      <c r="N5" s="718"/>
      <c r="O5" s="698"/>
      <c r="P5" s="698"/>
      <c r="Q5" s="698"/>
      <c r="R5" s="718"/>
      <c r="S5" s="698"/>
      <c r="T5" s="698"/>
      <c r="U5" s="728"/>
      <c r="V5" s="728"/>
      <c r="W5" s="79">
        <v>45047</v>
      </c>
      <c r="X5" s="77">
        <f>DATE(YEAR(W5),MONTH(W5)+1,DAY(W5))</f>
        <v>45078</v>
      </c>
      <c r="Y5" s="77">
        <f t="shared" ref="Y5:CJ5" si="2">DATE(YEAR(X5),MONTH(X5)+1,DAY(X5))</f>
        <v>45108</v>
      </c>
      <c r="Z5" s="77">
        <f t="shared" si="2"/>
        <v>45139</v>
      </c>
      <c r="AA5" s="77">
        <f t="shared" si="2"/>
        <v>45170</v>
      </c>
      <c r="AB5" s="77">
        <f t="shared" si="2"/>
        <v>45200</v>
      </c>
      <c r="AC5" s="77">
        <f t="shared" si="2"/>
        <v>45231</v>
      </c>
      <c r="AD5" s="77">
        <f t="shared" si="2"/>
        <v>45261</v>
      </c>
      <c r="AE5" s="77">
        <f t="shared" si="2"/>
        <v>45292</v>
      </c>
      <c r="AF5" s="77">
        <f t="shared" si="2"/>
        <v>45323</v>
      </c>
      <c r="AG5" s="77">
        <f t="shared" si="2"/>
        <v>45352</v>
      </c>
      <c r="AH5" s="77">
        <f t="shared" si="2"/>
        <v>45383</v>
      </c>
      <c r="AI5" s="132">
        <f t="shared" si="2"/>
        <v>45413</v>
      </c>
      <c r="AJ5" s="77">
        <f t="shared" si="2"/>
        <v>45444</v>
      </c>
      <c r="AK5" s="77">
        <f t="shared" si="2"/>
        <v>45474</v>
      </c>
      <c r="AL5" s="77">
        <f t="shared" si="2"/>
        <v>45505</v>
      </c>
      <c r="AM5" s="77">
        <f t="shared" si="2"/>
        <v>45536</v>
      </c>
      <c r="AN5" s="77">
        <f t="shared" si="2"/>
        <v>45566</v>
      </c>
      <c r="AO5" s="77">
        <f t="shared" si="2"/>
        <v>45597</v>
      </c>
      <c r="AP5" s="77">
        <f t="shared" si="2"/>
        <v>45627</v>
      </c>
      <c r="AQ5" s="77">
        <f t="shared" si="2"/>
        <v>45658</v>
      </c>
      <c r="AR5" s="77">
        <f t="shared" si="2"/>
        <v>45689</v>
      </c>
      <c r="AS5" s="77">
        <f t="shared" si="2"/>
        <v>45717</v>
      </c>
      <c r="AT5" s="77">
        <f t="shared" si="2"/>
        <v>45748</v>
      </c>
      <c r="AU5" s="132">
        <f t="shared" si="2"/>
        <v>45778</v>
      </c>
      <c r="AV5" s="77">
        <f t="shared" si="2"/>
        <v>45809</v>
      </c>
      <c r="AW5" s="77">
        <f t="shared" si="2"/>
        <v>45839</v>
      </c>
      <c r="AX5" s="77">
        <f t="shared" si="2"/>
        <v>45870</v>
      </c>
      <c r="AY5" s="77">
        <f t="shared" si="2"/>
        <v>45901</v>
      </c>
      <c r="AZ5" s="77">
        <f t="shared" si="2"/>
        <v>45931</v>
      </c>
      <c r="BA5" s="77">
        <f t="shared" si="2"/>
        <v>45962</v>
      </c>
      <c r="BB5" s="77">
        <f t="shared" si="2"/>
        <v>45992</v>
      </c>
      <c r="BC5" s="77">
        <f t="shared" si="2"/>
        <v>46023</v>
      </c>
      <c r="BD5" s="77">
        <f t="shared" si="2"/>
        <v>46054</v>
      </c>
      <c r="BE5" s="77">
        <f t="shared" si="2"/>
        <v>46082</v>
      </c>
      <c r="BF5" s="77">
        <f t="shared" si="2"/>
        <v>46113</v>
      </c>
      <c r="BG5" s="132">
        <f t="shared" si="2"/>
        <v>46143</v>
      </c>
      <c r="BH5" s="77">
        <f t="shared" si="2"/>
        <v>46174</v>
      </c>
      <c r="BI5" s="77">
        <f t="shared" si="2"/>
        <v>46204</v>
      </c>
      <c r="BJ5" s="77">
        <f t="shared" si="2"/>
        <v>46235</v>
      </c>
      <c r="BK5" s="77">
        <f t="shared" si="2"/>
        <v>46266</v>
      </c>
      <c r="BL5" s="77">
        <f t="shared" si="2"/>
        <v>46296</v>
      </c>
      <c r="BM5" s="77">
        <f>DATE(YEAR(BL5),MONTH(BL5)+1,DAY(BL5))</f>
        <v>46327</v>
      </c>
      <c r="BN5" s="77">
        <f t="shared" si="2"/>
        <v>46357</v>
      </c>
      <c r="BO5" s="77">
        <f t="shared" si="2"/>
        <v>46388</v>
      </c>
      <c r="BP5" s="77">
        <f t="shared" si="2"/>
        <v>46419</v>
      </c>
      <c r="BQ5" s="77">
        <f t="shared" si="2"/>
        <v>46447</v>
      </c>
      <c r="BR5" s="77">
        <f t="shared" si="2"/>
        <v>46478</v>
      </c>
      <c r="BS5" s="132">
        <f t="shared" si="2"/>
        <v>46508</v>
      </c>
      <c r="BT5" s="77">
        <f t="shared" si="2"/>
        <v>46539</v>
      </c>
      <c r="BU5" s="77">
        <f t="shared" si="2"/>
        <v>46569</v>
      </c>
      <c r="BV5" s="77">
        <f t="shared" si="2"/>
        <v>46600</v>
      </c>
      <c r="BW5" s="77">
        <f t="shared" si="2"/>
        <v>46631</v>
      </c>
      <c r="BX5" s="77">
        <f t="shared" si="2"/>
        <v>46661</v>
      </c>
      <c r="BY5" s="77">
        <f t="shared" si="2"/>
        <v>46692</v>
      </c>
      <c r="BZ5" s="77">
        <f t="shared" si="2"/>
        <v>46722</v>
      </c>
      <c r="CA5" s="77">
        <f t="shared" si="2"/>
        <v>46753</v>
      </c>
      <c r="CB5" s="77">
        <f t="shared" si="2"/>
        <v>46784</v>
      </c>
      <c r="CC5" s="77">
        <f t="shared" si="2"/>
        <v>46813</v>
      </c>
      <c r="CD5" s="77">
        <f t="shared" si="2"/>
        <v>46844</v>
      </c>
      <c r="CE5" s="132">
        <f t="shared" si="2"/>
        <v>46874</v>
      </c>
      <c r="CF5" s="77">
        <f t="shared" si="2"/>
        <v>46905</v>
      </c>
      <c r="CG5" s="77">
        <f t="shared" si="2"/>
        <v>46935</v>
      </c>
      <c r="CH5" s="77">
        <f t="shared" si="2"/>
        <v>46966</v>
      </c>
      <c r="CI5" s="77">
        <f t="shared" si="2"/>
        <v>46997</v>
      </c>
      <c r="CJ5" s="77">
        <f t="shared" si="2"/>
        <v>47027</v>
      </c>
      <c r="CK5" s="77">
        <f t="shared" ref="CK5:ED5" si="3">DATE(YEAR(CJ5),MONTH(CJ5)+1,DAY(CJ5))</f>
        <v>47058</v>
      </c>
      <c r="CL5" s="77">
        <f t="shared" si="3"/>
        <v>47088</v>
      </c>
      <c r="CM5" s="77">
        <f t="shared" si="3"/>
        <v>47119</v>
      </c>
      <c r="CN5" s="77">
        <f t="shared" si="3"/>
        <v>47150</v>
      </c>
      <c r="CO5" s="77">
        <f t="shared" si="3"/>
        <v>47178</v>
      </c>
      <c r="CP5" s="77">
        <f t="shared" si="3"/>
        <v>47209</v>
      </c>
      <c r="CQ5" s="132">
        <f t="shared" si="3"/>
        <v>47239</v>
      </c>
      <c r="CR5" s="77">
        <f t="shared" si="3"/>
        <v>47270</v>
      </c>
      <c r="CS5" s="77">
        <f t="shared" si="3"/>
        <v>47300</v>
      </c>
      <c r="CT5" s="77">
        <f t="shared" si="3"/>
        <v>47331</v>
      </c>
      <c r="CU5" s="77">
        <f t="shared" si="3"/>
        <v>47362</v>
      </c>
      <c r="CV5" s="77">
        <f t="shared" si="3"/>
        <v>47392</v>
      </c>
      <c r="CW5" s="77">
        <f t="shared" si="3"/>
        <v>47423</v>
      </c>
      <c r="CX5" s="77">
        <f t="shared" si="3"/>
        <v>47453</v>
      </c>
      <c r="CY5" s="77">
        <f t="shared" si="3"/>
        <v>47484</v>
      </c>
      <c r="CZ5" s="77">
        <f t="shared" si="3"/>
        <v>47515</v>
      </c>
      <c r="DA5" s="77">
        <f t="shared" si="3"/>
        <v>47543</v>
      </c>
      <c r="DB5" s="77">
        <f t="shared" si="3"/>
        <v>47574</v>
      </c>
      <c r="DC5" s="132">
        <f t="shared" si="3"/>
        <v>47604</v>
      </c>
      <c r="DD5" s="77">
        <f t="shared" si="3"/>
        <v>47635</v>
      </c>
      <c r="DE5" s="77">
        <f t="shared" si="3"/>
        <v>47665</v>
      </c>
      <c r="DF5" s="77">
        <f t="shared" si="3"/>
        <v>47696</v>
      </c>
      <c r="DG5" s="77">
        <f t="shared" si="3"/>
        <v>47727</v>
      </c>
      <c r="DH5" s="77">
        <f t="shared" si="3"/>
        <v>47757</v>
      </c>
      <c r="DI5" s="77">
        <f t="shared" si="3"/>
        <v>47788</v>
      </c>
      <c r="DJ5" s="77">
        <f t="shared" si="3"/>
        <v>47818</v>
      </c>
      <c r="DK5" s="77">
        <f t="shared" si="3"/>
        <v>47849</v>
      </c>
      <c r="DL5" s="77">
        <f t="shared" si="3"/>
        <v>47880</v>
      </c>
      <c r="DM5" s="77">
        <f t="shared" si="3"/>
        <v>47908</v>
      </c>
      <c r="DN5" s="77">
        <f t="shared" si="3"/>
        <v>47939</v>
      </c>
      <c r="DO5" s="132">
        <f t="shared" si="3"/>
        <v>47969</v>
      </c>
      <c r="DP5" s="77">
        <f t="shared" si="3"/>
        <v>48000</v>
      </c>
      <c r="DQ5" s="77">
        <f t="shared" si="3"/>
        <v>48030</v>
      </c>
      <c r="DR5" s="77">
        <f t="shared" si="3"/>
        <v>48061</v>
      </c>
      <c r="DS5" s="77">
        <f t="shared" si="3"/>
        <v>48092</v>
      </c>
      <c r="DT5" s="77">
        <f t="shared" si="3"/>
        <v>48122</v>
      </c>
      <c r="DU5" s="77">
        <f t="shared" si="3"/>
        <v>48153</v>
      </c>
      <c r="DV5" s="77">
        <f t="shared" si="3"/>
        <v>48183</v>
      </c>
      <c r="DW5" s="77">
        <f t="shared" si="3"/>
        <v>48214</v>
      </c>
      <c r="DX5" s="77">
        <f t="shared" si="3"/>
        <v>48245</v>
      </c>
      <c r="DY5" s="77">
        <f t="shared" si="3"/>
        <v>48274</v>
      </c>
      <c r="DZ5" s="77">
        <f t="shared" si="3"/>
        <v>48305</v>
      </c>
      <c r="EA5" s="132">
        <f t="shared" si="3"/>
        <v>48335</v>
      </c>
      <c r="EB5" s="77">
        <f t="shared" si="3"/>
        <v>48366</v>
      </c>
      <c r="EC5" s="77">
        <f t="shared" si="3"/>
        <v>48396</v>
      </c>
      <c r="ED5" s="77">
        <f t="shared" si="3"/>
        <v>48427</v>
      </c>
    </row>
    <row r="6" spans="2:134" s="11" customFormat="1" x14ac:dyDescent="0.25">
      <c r="M6" s="134"/>
      <c r="N6" s="134"/>
      <c r="O6" s="134"/>
      <c r="P6" s="134"/>
      <c r="Q6" s="134"/>
      <c r="R6" s="134"/>
      <c r="S6" s="134"/>
      <c r="T6" s="134"/>
      <c r="U6" s="199"/>
      <c r="V6" s="135"/>
      <c r="AI6" s="198"/>
      <c r="AU6" s="198"/>
      <c r="BG6" s="198"/>
      <c r="BS6" s="198"/>
      <c r="CE6" s="198"/>
      <c r="CQ6" s="198"/>
      <c r="DC6" s="198"/>
      <c r="DO6" s="198"/>
      <c r="EA6" s="198"/>
    </row>
    <row r="7" spans="2:134" s="93" customFormat="1" hidden="1" outlineLevel="1" x14ac:dyDescent="0.25">
      <c r="N7" s="93" t="s">
        <v>186</v>
      </c>
      <c r="V7" s="40">
        <f>SUM(V44,V58,V72,V96)</f>
        <v>78</v>
      </c>
      <c r="W7" s="40">
        <f t="shared" ref="W7:CH7" si="4">SUM(W44,W58,W72,W96)</f>
        <v>75.049591036414569</v>
      </c>
      <c r="X7" s="40">
        <f t="shared" si="4"/>
        <v>75.049591036414569</v>
      </c>
      <c r="Y7" s="40">
        <f t="shared" si="4"/>
        <v>75.049591036414569</v>
      </c>
      <c r="Z7" s="40">
        <f t="shared" si="4"/>
        <v>81.857389355742285</v>
      </c>
      <c r="AA7" s="40">
        <f t="shared" si="4"/>
        <v>81.857389355742285</v>
      </c>
      <c r="AB7" s="40">
        <f t="shared" si="4"/>
        <v>81.857389355742285</v>
      </c>
      <c r="AC7" s="40">
        <f t="shared" si="4"/>
        <v>86.694633053221295</v>
      </c>
      <c r="AD7" s="40">
        <f t="shared" si="4"/>
        <v>86.694633053221295</v>
      </c>
      <c r="AE7" s="7">
        <f>SUM(AE44,AE58,AE72,AE96)</f>
        <v>86.694633053221295</v>
      </c>
      <c r="AF7" s="40">
        <f t="shared" si="4"/>
        <v>86.694633053221295</v>
      </c>
      <c r="AG7" s="40">
        <f t="shared" si="4"/>
        <v>86.694633053221295</v>
      </c>
      <c r="AH7" s="40">
        <f t="shared" si="4"/>
        <v>86.694633053221295</v>
      </c>
      <c r="AI7" s="201">
        <f t="shared" si="4"/>
        <v>86.758800851540627</v>
      </c>
      <c r="AJ7" s="40">
        <f t="shared" si="4"/>
        <v>86.823353656649857</v>
      </c>
      <c r="AK7" s="40">
        <f t="shared" si="4"/>
        <v>90.88829377858977</v>
      </c>
      <c r="AL7" s="40">
        <f t="shared" si="4"/>
        <v>90.953623541261294</v>
      </c>
      <c r="AM7" s="40">
        <f t="shared" si="4"/>
        <v>91.019345282508866</v>
      </c>
      <c r="AN7" s="40">
        <f t="shared" si="4"/>
        <v>91.085461354203929</v>
      </c>
      <c r="AO7" s="40">
        <f t="shared" si="4"/>
        <v>91.151974122329136</v>
      </c>
      <c r="AP7" s="40">
        <f t="shared" si="4"/>
        <v>91.218885967063116</v>
      </c>
      <c r="AQ7" s="40">
        <f t="shared" si="4"/>
        <v>92.286199282865482</v>
      </c>
      <c r="AR7" s="40">
        <f t="shared" si="4"/>
        <v>93.353916478562681</v>
      </c>
      <c r="AS7" s="40">
        <f t="shared" si="4"/>
        <v>93.422039977434082</v>
      </c>
      <c r="AT7" s="40">
        <f t="shared" si="4"/>
        <v>94.490572217298663</v>
      </c>
      <c r="AU7" s="201">
        <f t="shared" si="4"/>
        <v>94.559515650602464</v>
      </c>
      <c r="AV7" s="40">
        <f t="shared" si="4"/>
        <v>94.628872744506069</v>
      </c>
      <c r="AW7" s="40">
        <f t="shared" si="4"/>
        <v>95.698645980973112</v>
      </c>
      <c r="AX7" s="40">
        <f t="shared" si="4"/>
        <v>96.768837856858937</v>
      </c>
      <c r="AY7" s="40">
        <f t="shared" si="4"/>
        <v>96.839450884000115</v>
      </c>
      <c r="AZ7" s="40">
        <f t="shared" si="4"/>
        <v>96.910487589304111</v>
      </c>
      <c r="BA7" s="40">
        <f t="shared" si="4"/>
        <v>96.981950514839937</v>
      </c>
      <c r="BB7" s="40">
        <f t="shared" si="4"/>
        <v>97.053842217928974</v>
      </c>
      <c r="BC7" s="40">
        <f t="shared" si="4"/>
        <v>99.126165271236545</v>
      </c>
      <c r="BD7" s="40">
        <f t="shared" si="4"/>
        <v>99.19892226286396</v>
      </c>
      <c r="BE7" s="40">
        <f t="shared" si="4"/>
        <v>100.27211579644114</v>
      </c>
      <c r="BF7" s="40">
        <f t="shared" si="4"/>
        <v>100.34574849121978</v>
      </c>
      <c r="BG7" s="201">
        <f t="shared" si="4"/>
        <v>101.4198229821671</v>
      </c>
      <c r="BH7" s="40">
        <f t="shared" si="4"/>
        <v>102.49434192006011</v>
      </c>
      <c r="BI7" s="40">
        <f t="shared" si="4"/>
        <v>102.56930797158049</v>
      </c>
      <c r="BJ7" s="40">
        <f t="shared" si="4"/>
        <v>102.64472381940996</v>
      </c>
      <c r="BK7" s="40">
        <f t="shared" si="4"/>
        <v>104.72059216232643</v>
      </c>
      <c r="BL7" s="40">
        <f t="shared" si="4"/>
        <v>104.79691571530037</v>
      </c>
      <c r="BM7" s="40">
        <f t="shared" si="4"/>
        <v>105.87369720959217</v>
      </c>
      <c r="BN7" s="40">
        <f t="shared" si="4"/>
        <v>105.95093939284973</v>
      </c>
      <c r="BO7" s="40">
        <f t="shared" si="4"/>
        <v>106.02864502920683</v>
      </c>
      <c r="BP7" s="40">
        <f t="shared" si="4"/>
        <v>107.10681689938207</v>
      </c>
      <c r="BQ7" s="40">
        <f t="shared" si="4"/>
        <v>107.18545780077837</v>
      </c>
      <c r="BR7" s="40">
        <f t="shared" si="4"/>
        <v>107.26457054758303</v>
      </c>
      <c r="BS7" s="201">
        <f t="shared" si="4"/>
        <v>109.34415797086852</v>
      </c>
      <c r="BT7" s="40">
        <f t="shared" si="4"/>
        <v>109.42422291869373</v>
      </c>
      <c r="BU7" s="40">
        <f t="shared" si="4"/>
        <v>109.50476825620591</v>
      </c>
      <c r="BV7" s="40">
        <f t="shared" si="4"/>
        <v>110.58579686574313</v>
      </c>
      <c r="BW7" s="40">
        <f t="shared" si="4"/>
        <v>111.66731164693761</v>
      </c>
      <c r="BX7" s="40">
        <f t="shared" si="4"/>
        <v>111.74931551681924</v>
      </c>
      <c r="BY7" s="40">
        <f t="shared" si="4"/>
        <v>111.83181140992014</v>
      </c>
      <c r="BZ7" s="40">
        <f t="shared" si="4"/>
        <v>112.91480227837965</v>
      </c>
      <c r="CA7" s="40">
        <f t="shared" si="4"/>
        <v>113.99829109204994</v>
      </c>
      <c r="CB7" s="40">
        <f t="shared" si="4"/>
        <v>116.08228083860224</v>
      </c>
      <c r="CC7" s="40">
        <f t="shared" si="4"/>
        <v>116.16677452363385</v>
      </c>
      <c r="CD7" s="40">
        <f t="shared" si="4"/>
        <v>116.25177517077566</v>
      </c>
      <c r="CE7" s="201">
        <f t="shared" si="4"/>
        <v>116.33728582180031</v>
      </c>
      <c r="CF7" s="40">
        <f t="shared" si="4"/>
        <v>116.42330953673111</v>
      </c>
      <c r="CG7" s="40">
        <f t="shared" si="4"/>
        <v>119.5098493939515</v>
      </c>
      <c r="CH7" s="40">
        <f t="shared" si="4"/>
        <v>119.59690849031522</v>
      </c>
      <c r="CI7" s="40">
        <f t="shared" ref="CI7:ED7" si="5">SUM(CI44,CI58,CI72,CI96)</f>
        <v>119.6844899412571</v>
      </c>
      <c r="CJ7" s="40">
        <f t="shared" si="5"/>
        <v>119.77259688090463</v>
      </c>
      <c r="CK7" s="40">
        <f t="shared" si="5"/>
        <v>119.86123246219007</v>
      </c>
      <c r="CL7" s="40">
        <f t="shared" si="5"/>
        <v>121.9503998569632</v>
      </c>
      <c r="CM7" s="40">
        <f t="shared" si="5"/>
        <v>122.04010225610499</v>
      </c>
      <c r="CN7" s="40">
        <f t="shared" si="5"/>
        <v>123.13034286964162</v>
      </c>
      <c r="CO7" s="40">
        <f t="shared" si="5"/>
        <v>123.22112492685947</v>
      </c>
      <c r="CP7" s="40">
        <f t="shared" si="5"/>
        <v>124.31245167642062</v>
      </c>
      <c r="CQ7" s="201">
        <f t="shared" si="5"/>
        <v>125.40432638647914</v>
      </c>
      <c r="CR7" s="40">
        <f t="shared" si="5"/>
        <v>125.49675234479804</v>
      </c>
      <c r="CS7" s="40">
        <f t="shared" si="5"/>
        <v>126.5897328588668</v>
      </c>
      <c r="CT7" s="40">
        <f t="shared" si="5"/>
        <v>127.68327125602002</v>
      </c>
      <c r="CU7" s="40">
        <f t="shared" si="5"/>
        <v>128.77737088355613</v>
      </c>
      <c r="CV7" s="40">
        <f t="shared" si="5"/>
        <v>129.87203510885746</v>
      </c>
      <c r="CW7" s="40">
        <f t="shared" si="5"/>
        <v>129.96726731951063</v>
      </c>
      <c r="CX7" s="40">
        <f t="shared" si="5"/>
        <v>130.06307092342769</v>
      </c>
      <c r="CY7" s="40">
        <f t="shared" si="5"/>
        <v>131.15944934896825</v>
      </c>
      <c r="CZ7" s="40">
        <f t="shared" si="5"/>
        <v>131.25640604506205</v>
      </c>
      <c r="DA7" s="40">
        <f t="shared" si="5"/>
        <v>133.35394448133243</v>
      </c>
      <c r="DB7" s="40">
        <f t="shared" si="5"/>
        <v>133.45206814822041</v>
      </c>
      <c r="DC7" s="201">
        <f t="shared" si="5"/>
        <v>134.55078055710976</v>
      </c>
      <c r="DD7" s="40">
        <f t="shared" si="5"/>
        <v>134.6500852404524</v>
      </c>
      <c r="DE7" s="40">
        <f t="shared" si="5"/>
        <v>135.74998575189511</v>
      </c>
      <c r="DF7" s="40">
        <f t="shared" si="5"/>
        <v>135.85048566640648</v>
      </c>
      <c r="DG7" s="40">
        <f t="shared" si="5"/>
        <v>137.95158858040494</v>
      </c>
      <c r="DH7" s="40">
        <f t="shared" si="5"/>
        <v>138.05329811188736</v>
      </c>
      <c r="DI7" s="40">
        <f t="shared" si="5"/>
        <v>139.15561790055867</v>
      </c>
      <c r="DJ7" s="40">
        <f t="shared" si="5"/>
        <v>140.25855160796203</v>
      </c>
      <c r="DK7" s="40">
        <f t="shared" si="5"/>
        <v>141.3621029176098</v>
      </c>
      <c r="DL7" s="40">
        <f t="shared" si="5"/>
        <v>141.46627553511547</v>
      </c>
      <c r="DM7" s="40">
        <f t="shared" si="5"/>
        <v>142.57107318832615</v>
      </c>
      <c r="DN7" s="40">
        <f t="shared" si="5"/>
        <v>143.67649962745611</v>
      </c>
      <c r="DO7" s="201">
        <f t="shared" si="5"/>
        <v>144.78255862522084</v>
      </c>
      <c r="DP7" s="40">
        <f t="shared" si="5"/>
        <v>144.88925397697219</v>
      </c>
      <c r="DQ7" s="40">
        <f t="shared" si="5"/>
        <v>144.99658950083401</v>
      </c>
      <c r="DR7" s="40">
        <f t="shared" si="5"/>
        <v>147.10456903783901</v>
      </c>
      <c r="DS7" s="40">
        <f t="shared" si="5"/>
        <v>148.21319645206603</v>
      </c>
      <c r="DT7" s="40">
        <f t="shared" si="5"/>
        <v>148.32247563077846</v>
      </c>
      <c r="DU7" s="40">
        <f t="shared" si="5"/>
        <v>148.43241048456312</v>
      </c>
      <c r="DV7" s="40">
        <f t="shared" si="5"/>
        <v>150.54300494747048</v>
      </c>
      <c r="DW7" s="40">
        <f t="shared" si="5"/>
        <v>151.65426297715533</v>
      </c>
      <c r="DX7" s="40">
        <f t="shared" si="5"/>
        <v>152.76618855501823</v>
      </c>
      <c r="DY7" s="40">
        <f t="shared" si="5"/>
        <v>152.87878568634835</v>
      </c>
      <c r="DZ7" s="40">
        <f t="shared" si="5"/>
        <v>154.99205840046642</v>
      </c>
      <c r="EA7" s="201">
        <f t="shared" si="5"/>
        <v>155.10601075086925</v>
      </c>
      <c r="EB7" s="40">
        <f t="shared" si="5"/>
        <v>155.22064681537444</v>
      </c>
      <c r="EC7" s="40">
        <f t="shared" si="5"/>
        <v>157.33597069626671</v>
      </c>
      <c r="ED7" s="40">
        <f t="shared" si="5"/>
        <v>158.45198652044431</v>
      </c>
    </row>
    <row r="8" spans="2:134" s="93" customFormat="1" hidden="1" outlineLevel="1" x14ac:dyDescent="0.25">
      <c r="N8" s="93" t="s">
        <v>187</v>
      </c>
      <c r="V8" s="40">
        <f>V124</f>
        <v>10</v>
      </c>
      <c r="W8">
        <f>W124</f>
        <v>9.0073725490196086</v>
      </c>
      <c r="X8">
        <f t="shared" ref="X8:CI8" si="6">X124</f>
        <v>9.0073725490196086</v>
      </c>
      <c r="Y8">
        <f t="shared" si="6"/>
        <v>9.0073725490196086</v>
      </c>
      <c r="Z8">
        <f t="shared" si="6"/>
        <v>9.091182072829131</v>
      </c>
      <c r="AA8">
        <f t="shared" si="6"/>
        <v>9.091182072829131</v>
      </c>
      <c r="AB8">
        <f t="shared" si="6"/>
        <v>9.091182072829131</v>
      </c>
      <c r="AC8">
        <f t="shared" si="6"/>
        <v>7.9842016806722693</v>
      </c>
      <c r="AD8">
        <f t="shared" si="6"/>
        <v>7.9842016806722693</v>
      </c>
      <c r="AE8">
        <f t="shared" si="6"/>
        <v>7.9842016806722693</v>
      </c>
      <c r="AF8">
        <f t="shared" si="6"/>
        <v>7.9842016806722693</v>
      </c>
      <c r="AG8">
        <f t="shared" si="6"/>
        <v>7.9842016806722693</v>
      </c>
      <c r="AH8">
        <f t="shared" si="6"/>
        <v>7.9842016806722693</v>
      </c>
      <c r="AI8" s="133">
        <f t="shared" si="6"/>
        <v>7.9901068907563024</v>
      </c>
      <c r="AJ8">
        <f t="shared" si="6"/>
        <v>7.9960475321008406</v>
      </c>
      <c r="AK8">
        <f t="shared" si="6"/>
        <v>9.0020238172934448</v>
      </c>
      <c r="AL8">
        <f t="shared" si="6"/>
        <v>9.0080359601972066</v>
      </c>
      <c r="AM8">
        <f t="shared" si="6"/>
        <v>9.0140841759583896</v>
      </c>
      <c r="AN8">
        <f t="shared" si="6"/>
        <v>9.0201686810141393</v>
      </c>
      <c r="AO8">
        <f t="shared" si="6"/>
        <v>9.0262896931002246</v>
      </c>
      <c r="AP8">
        <f t="shared" si="6"/>
        <v>9.0324474312588254</v>
      </c>
      <c r="AQ8">
        <f t="shared" si="6"/>
        <v>9.038642115846379</v>
      </c>
      <c r="AR8">
        <f t="shared" si="6"/>
        <v>9.0448739685414576</v>
      </c>
      <c r="AS8">
        <f t="shared" si="6"/>
        <v>9.0511432123527058</v>
      </c>
      <c r="AT8">
        <f t="shared" si="6"/>
        <v>9.0574500716268229</v>
      </c>
      <c r="AU8" s="133">
        <f t="shared" si="6"/>
        <v>9.0637947720565837</v>
      </c>
      <c r="AV8">
        <f t="shared" si="6"/>
        <v>9.0701775406889222</v>
      </c>
      <c r="AW8">
        <f t="shared" si="6"/>
        <v>9.0765986059330555</v>
      </c>
      <c r="AX8">
        <f t="shared" si="6"/>
        <v>9.0830581975686542</v>
      </c>
      <c r="AY8">
        <f t="shared" si="6"/>
        <v>9.089556546754066</v>
      </c>
      <c r="AZ8">
        <f t="shared" si="6"/>
        <v>9.0960938860345912</v>
      </c>
      <c r="BA8">
        <f t="shared" si="6"/>
        <v>9.1026704493507982</v>
      </c>
      <c r="BB8">
        <f t="shared" si="6"/>
        <v>9.1092864720469038</v>
      </c>
      <c r="BC8">
        <f t="shared" si="6"/>
        <v>9.1159421908791849</v>
      </c>
      <c r="BD8">
        <f t="shared" si="6"/>
        <v>9.1226378440244602</v>
      </c>
      <c r="BE8">
        <f t="shared" si="6"/>
        <v>9.1293736710886062</v>
      </c>
      <c r="BF8">
        <f t="shared" si="6"/>
        <v>9.1361499131151369</v>
      </c>
      <c r="BG8" s="133">
        <f t="shared" si="6"/>
        <v>10.142966812593828</v>
      </c>
      <c r="BH8">
        <f t="shared" si="6"/>
        <v>10.149824613469391</v>
      </c>
      <c r="BI8">
        <f t="shared" si="6"/>
        <v>10.156723561150208</v>
      </c>
      <c r="BJ8">
        <f t="shared" si="6"/>
        <v>10.16366390251711</v>
      </c>
      <c r="BK8">
        <f t="shared" si="6"/>
        <v>10.170645885932212</v>
      </c>
      <c r="BL8">
        <f t="shared" si="6"/>
        <v>10.177669761247806</v>
      </c>
      <c r="BM8">
        <f t="shared" si="6"/>
        <v>10.184735779815291</v>
      </c>
      <c r="BN8">
        <f t="shared" si="6"/>
        <v>10.191844194494184</v>
      </c>
      <c r="BO8">
        <f t="shared" si="6"/>
        <v>10.19899525966115</v>
      </c>
      <c r="BP8">
        <f t="shared" si="6"/>
        <v>10.206189231219115</v>
      </c>
      <c r="BQ8">
        <f t="shared" si="6"/>
        <v>10.213426366606431</v>
      </c>
      <c r="BR8">
        <f t="shared" si="6"/>
        <v>10.22070692480607</v>
      </c>
      <c r="BS8" s="133">
        <f t="shared" si="6"/>
        <v>10.228031166354905</v>
      </c>
      <c r="BT8">
        <f t="shared" si="6"/>
        <v>10.235399353353035</v>
      </c>
      <c r="BU8">
        <f t="shared" si="6"/>
        <v>10.242811749473153</v>
      </c>
      <c r="BV8">
        <f t="shared" si="6"/>
        <v>10.250268619969992</v>
      </c>
      <c r="BW8">
        <f t="shared" si="6"/>
        <v>10.257770231689811</v>
      </c>
      <c r="BX8">
        <f t="shared" si="6"/>
        <v>10.26531685307995</v>
      </c>
      <c r="BY8">
        <f t="shared" si="6"/>
        <v>10.272908754198431</v>
      </c>
      <c r="BZ8">
        <f t="shared" si="6"/>
        <v>10.280546206723621</v>
      </c>
      <c r="CA8">
        <f t="shared" si="6"/>
        <v>11.288229483963963</v>
      </c>
      <c r="CB8">
        <f t="shared" si="6"/>
        <v>11.295958860867747</v>
      </c>
      <c r="CC8">
        <f t="shared" si="6"/>
        <v>11.303734614032953</v>
      </c>
      <c r="CD8">
        <f t="shared" si="6"/>
        <v>11.311557021717151</v>
      </c>
      <c r="CE8" s="133">
        <f t="shared" si="6"/>
        <v>11.319426363847453</v>
      </c>
      <c r="CF8">
        <f t="shared" si="6"/>
        <v>11.327342922030539</v>
      </c>
      <c r="CG8">
        <f t="shared" si="6"/>
        <v>11.335306979562722</v>
      </c>
      <c r="CH8">
        <f t="shared" si="6"/>
        <v>11.343318821440098</v>
      </c>
      <c r="CI8">
        <f t="shared" si="6"/>
        <v>11.351378734368739</v>
      </c>
      <c r="CJ8">
        <f t="shared" ref="CJ8:ED8" si="7">CJ124</f>
        <v>11.359487006774952</v>
      </c>
      <c r="CK8">
        <f t="shared" si="7"/>
        <v>11.367643928815601</v>
      </c>
      <c r="CL8">
        <f t="shared" si="7"/>
        <v>11.375849792388495</v>
      </c>
      <c r="CM8">
        <f t="shared" si="7"/>
        <v>11.384104891142826</v>
      </c>
      <c r="CN8">
        <f t="shared" si="7"/>
        <v>11.392409520489682</v>
      </c>
      <c r="CO8">
        <f t="shared" si="7"/>
        <v>11.400763977612622</v>
      </c>
      <c r="CP8">
        <f t="shared" si="7"/>
        <v>11.409168561478296</v>
      </c>
      <c r="CQ8" s="133">
        <f t="shared" si="7"/>
        <v>11.417623572847166</v>
      </c>
      <c r="CR8">
        <f t="shared" si="7"/>
        <v>11.42612931428425</v>
      </c>
      <c r="CS8">
        <f t="shared" si="7"/>
        <v>12.434686090169954</v>
      </c>
      <c r="CT8">
        <f t="shared" si="7"/>
        <v>12.443294206710975</v>
      </c>
      <c r="CU8">
        <f t="shared" si="7"/>
        <v>12.451953971951241</v>
      </c>
      <c r="CV8">
        <f t="shared" si="7"/>
        <v>12.460665695782948</v>
      </c>
      <c r="CW8">
        <f t="shared" si="7"/>
        <v>12.469429689957645</v>
      </c>
      <c r="CX8">
        <f t="shared" si="7"/>
        <v>12.478246268097392</v>
      </c>
      <c r="CY8">
        <f t="shared" si="7"/>
        <v>12.487115745705976</v>
      </c>
      <c r="CZ8">
        <f t="shared" si="7"/>
        <v>12.496038440180211</v>
      </c>
      <c r="DA8">
        <f t="shared" si="7"/>
        <v>12.505014670821293</v>
      </c>
      <c r="DB8">
        <f t="shared" si="7"/>
        <v>12.51404475884622</v>
      </c>
      <c r="DC8" s="133">
        <f t="shared" si="7"/>
        <v>12.523129027399298</v>
      </c>
      <c r="DD8">
        <f t="shared" si="7"/>
        <v>12.532267801563693</v>
      </c>
      <c r="DE8">
        <f t="shared" si="7"/>
        <v>12.541461408373076</v>
      </c>
      <c r="DF8">
        <f t="shared" si="7"/>
        <v>12.550710176823314</v>
      </c>
      <c r="DG8">
        <f t="shared" si="7"/>
        <v>12.560014437884254</v>
      </c>
      <c r="DH8">
        <f t="shared" si="7"/>
        <v>12.569374524511559</v>
      </c>
      <c r="DI8">
        <f t="shared" si="7"/>
        <v>13.57879077165863</v>
      </c>
      <c r="DJ8">
        <f t="shared" si="7"/>
        <v>13.588263516288581</v>
      </c>
      <c r="DK8">
        <f t="shared" si="7"/>
        <v>13.597793097386312</v>
      </c>
      <c r="DL8">
        <f t="shared" si="7"/>
        <v>13.607379855970631</v>
      </c>
      <c r="DM8">
        <f t="shared" si="7"/>
        <v>13.617024135106455</v>
      </c>
      <c r="DN8">
        <f t="shared" si="7"/>
        <v>13.626726279917094</v>
      </c>
      <c r="DO8" s="133">
        <f t="shared" si="7"/>
        <v>13.636486637596596</v>
      </c>
      <c r="DP8">
        <f t="shared" si="7"/>
        <v>13.646305557422174</v>
      </c>
      <c r="DQ8">
        <f t="shared" si="7"/>
        <v>13.656183390766708</v>
      </c>
      <c r="DR8">
        <f t="shared" si="7"/>
        <v>13.666120491111307</v>
      </c>
      <c r="DS8">
        <f t="shared" si="7"/>
        <v>13.676117214057976</v>
      </c>
      <c r="DT8">
        <f t="shared" si="7"/>
        <v>13.686173917342323</v>
      </c>
      <c r="DU8">
        <f t="shared" si="7"/>
        <v>13.696290960846378</v>
      </c>
      <c r="DV8">
        <f t="shared" si="7"/>
        <v>13.706468706611457</v>
      </c>
      <c r="DW8">
        <f t="shared" si="7"/>
        <v>14.716707518851125</v>
      </c>
      <c r="DX8">
        <f t="shared" si="7"/>
        <v>14.727007763964231</v>
      </c>
      <c r="DY8">
        <f t="shared" si="7"/>
        <v>14.737369810548017</v>
      </c>
      <c r="DZ8">
        <f t="shared" si="7"/>
        <v>14.747794029411304</v>
      </c>
      <c r="EA8" s="133">
        <f t="shared" si="7"/>
        <v>14.758280793587772</v>
      </c>
      <c r="EB8">
        <f t="shared" si="7"/>
        <v>14.768830478349299</v>
      </c>
      <c r="EC8">
        <f t="shared" si="7"/>
        <v>14.779443461219396</v>
      </c>
      <c r="ED8">
        <f t="shared" si="7"/>
        <v>14.790120121986712</v>
      </c>
    </row>
    <row r="9" spans="2:134" s="40" customFormat="1" hidden="1" outlineLevel="1" x14ac:dyDescent="0.25">
      <c r="N9" s="93" t="s">
        <v>188</v>
      </c>
      <c r="V9" s="40">
        <f>SUM(V34,V48)</f>
        <v>10</v>
      </c>
      <c r="W9">
        <f>SUM(W34,W48)</f>
        <v>7</v>
      </c>
      <c r="X9">
        <f t="shared" ref="X9:CI9" si="8">SUM(X34,X48)</f>
        <v>7</v>
      </c>
      <c r="Y9">
        <f t="shared" si="8"/>
        <v>7</v>
      </c>
      <c r="Z9">
        <f t="shared" si="8"/>
        <v>7</v>
      </c>
      <c r="AA9">
        <f t="shared" si="8"/>
        <v>7</v>
      </c>
      <c r="AB9">
        <f t="shared" si="8"/>
        <v>7</v>
      </c>
      <c r="AC9">
        <f t="shared" si="8"/>
        <v>8</v>
      </c>
      <c r="AD9">
        <f t="shared" si="8"/>
        <v>8</v>
      </c>
      <c r="AE9">
        <f t="shared" si="8"/>
        <v>8</v>
      </c>
      <c r="AF9">
        <f t="shared" si="8"/>
        <v>8</v>
      </c>
      <c r="AG9">
        <f t="shared" si="8"/>
        <v>8</v>
      </c>
      <c r="AH9">
        <f t="shared" si="8"/>
        <v>8</v>
      </c>
      <c r="AI9" s="133">
        <f t="shared" si="8"/>
        <v>8</v>
      </c>
      <c r="AJ9">
        <f t="shared" si="8"/>
        <v>8</v>
      </c>
      <c r="AK9">
        <f t="shared" si="8"/>
        <v>8</v>
      </c>
      <c r="AL9">
        <f t="shared" si="8"/>
        <v>8</v>
      </c>
      <c r="AM9">
        <f t="shared" si="8"/>
        <v>8</v>
      </c>
      <c r="AN9">
        <f t="shared" si="8"/>
        <v>8</v>
      </c>
      <c r="AO9">
        <f t="shared" si="8"/>
        <v>8</v>
      </c>
      <c r="AP9">
        <f t="shared" si="8"/>
        <v>8</v>
      </c>
      <c r="AQ9">
        <f t="shared" si="8"/>
        <v>8</v>
      </c>
      <c r="AR9">
        <f t="shared" si="8"/>
        <v>8</v>
      </c>
      <c r="AS9">
        <f t="shared" si="8"/>
        <v>8</v>
      </c>
      <c r="AT9">
        <f t="shared" si="8"/>
        <v>8</v>
      </c>
      <c r="AU9" s="133">
        <f t="shared" si="8"/>
        <v>8</v>
      </c>
      <c r="AV9">
        <f t="shared" si="8"/>
        <v>8</v>
      </c>
      <c r="AW9">
        <f t="shared" si="8"/>
        <v>8</v>
      </c>
      <c r="AX9">
        <f t="shared" si="8"/>
        <v>8</v>
      </c>
      <c r="AY9">
        <f t="shared" si="8"/>
        <v>8</v>
      </c>
      <c r="AZ9">
        <f t="shared" si="8"/>
        <v>9</v>
      </c>
      <c r="BA9">
        <f t="shared" si="8"/>
        <v>9</v>
      </c>
      <c r="BB9">
        <f t="shared" si="8"/>
        <v>9</v>
      </c>
      <c r="BC9">
        <f t="shared" si="8"/>
        <v>9</v>
      </c>
      <c r="BD9">
        <f t="shared" si="8"/>
        <v>9</v>
      </c>
      <c r="BE9">
        <f t="shared" si="8"/>
        <v>9</v>
      </c>
      <c r="BF9">
        <f t="shared" si="8"/>
        <v>10</v>
      </c>
      <c r="BG9" s="133">
        <f t="shared" si="8"/>
        <v>10</v>
      </c>
      <c r="BH9">
        <f t="shared" si="8"/>
        <v>10</v>
      </c>
      <c r="BI9">
        <f t="shared" si="8"/>
        <v>10</v>
      </c>
      <c r="BJ9">
        <f t="shared" si="8"/>
        <v>10</v>
      </c>
      <c r="BK9">
        <f t="shared" si="8"/>
        <v>10</v>
      </c>
      <c r="BL9">
        <f t="shared" si="8"/>
        <v>10</v>
      </c>
      <c r="BM9">
        <f t="shared" si="8"/>
        <v>10</v>
      </c>
      <c r="BN9">
        <f t="shared" si="8"/>
        <v>10</v>
      </c>
      <c r="BO9">
        <f t="shared" si="8"/>
        <v>10</v>
      </c>
      <c r="BP9">
        <f t="shared" si="8"/>
        <v>10</v>
      </c>
      <c r="BQ9">
        <f t="shared" si="8"/>
        <v>10</v>
      </c>
      <c r="BR9">
        <f t="shared" si="8"/>
        <v>10</v>
      </c>
      <c r="BS9" s="133">
        <f t="shared" si="8"/>
        <v>11</v>
      </c>
      <c r="BT9">
        <f t="shared" si="8"/>
        <v>11</v>
      </c>
      <c r="BU9">
        <f t="shared" si="8"/>
        <v>11</v>
      </c>
      <c r="BV9">
        <f t="shared" si="8"/>
        <v>11</v>
      </c>
      <c r="BW9">
        <f t="shared" si="8"/>
        <v>11</v>
      </c>
      <c r="BX9">
        <f t="shared" si="8"/>
        <v>11</v>
      </c>
      <c r="BY9">
        <f t="shared" si="8"/>
        <v>11</v>
      </c>
      <c r="BZ9">
        <f t="shared" si="8"/>
        <v>11</v>
      </c>
      <c r="CA9">
        <f t="shared" si="8"/>
        <v>11</v>
      </c>
      <c r="CB9">
        <f t="shared" si="8"/>
        <v>11</v>
      </c>
      <c r="CC9">
        <f t="shared" si="8"/>
        <v>11</v>
      </c>
      <c r="CD9">
        <f t="shared" si="8"/>
        <v>11</v>
      </c>
      <c r="CE9" s="133">
        <f t="shared" si="8"/>
        <v>12</v>
      </c>
      <c r="CF9">
        <f t="shared" si="8"/>
        <v>12</v>
      </c>
      <c r="CG9">
        <f t="shared" si="8"/>
        <v>13</v>
      </c>
      <c r="CH9">
        <f t="shared" si="8"/>
        <v>13</v>
      </c>
      <c r="CI9">
        <f t="shared" si="8"/>
        <v>13</v>
      </c>
      <c r="CJ9">
        <f t="shared" ref="CJ9:ED9" si="9">SUM(CJ34,CJ48)</f>
        <v>13</v>
      </c>
      <c r="CK9">
        <f t="shared" si="9"/>
        <v>13</v>
      </c>
      <c r="CL9">
        <f t="shared" si="9"/>
        <v>13</v>
      </c>
      <c r="CM9">
        <f t="shared" si="9"/>
        <v>13</v>
      </c>
      <c r="CN9">
        <f t="shared" si="9"/>
        <v>13</v>
      </c>
      <c r="CO9">
        <f t="shared" si="9"/>
        <v>13</v>
      </c>
      <c r="CP9">
        <f t="shared" si="9"/>
        <v>13</v>
      </c>
      <c r="CQ9" s="133">
        <f t="shared" si="9"/>
        <v>13</v>
      </c>
      <c r="CR9">
        <f t="shared" si="9"/>
        <v>13</v>
      </c>
      <c r="CS9">
        <f t="shared" si="9"/>
        <v>13</v>
      </c>
      <c r="CT9">
        <f t="shared" si="9"/>
        <v>14</v>
      </c>
      <c r="CU9">
        <f t="shared" si="9"/>
        <v>14</v>
      </c>
      <c r="CV9">
        <f t="shared" si="9"/>
        <v>14</v>
      </c>
      <c r="CW9">
        <f t="shared" si="9"/>
        <v>14</v>
      </c>
      <c r="CX9">
        <f t="shared" si="9"/>
        <v>14</v>
      </c>
      <c r="CY9">
        <f t="shared" si="9"/>
        <v>14</v>
      </c>
      <c r="CZ9">
        <f t="shared" si="9"/>
        <v>15</v>
      </c>
      <c r="DA9">
        <f t="shared" si="9"/>
        <v>15</v>
      </c>
      <c r="DB9">
        <f t="shared" si="9"/>
        <v>15</v>
      </c>
      <c r="DC9" s="133">
        <f t="shared" si="9"/>
        <v>15</v>
      </c>
      <c r="DD9">
        <f t="shared" si="9"/>
        <v>15</v>
      </c>
      <c r="DE9">
        <f t="shared" si="9"/>
        <v>15</v>
      </c>
      <c r="DF9">
        <f t="shared" si="9"/>
        <v>15</v>
      </c>
      <c r="DG9">
        <f t="shared" si="9"/>
        <v>15</v>
      </c>
      <c r="DH9">
        <f t="shared" si="9"/>
        <v>15</v>
      </c>
      <c r="DI9">
        <f t="shared" si="9"/>
        <v>15</v>
      </c>
      <c r="DJ9">
        <f t="shared" si="9"/>
        <v>15</v>
      </c>
      <c r="DK9">
        <f t="shared" si="9"/>
        <v>15</v>
      </c>
      <c r="DL9">
        <f t="shared" si="9"/>
        <v>15</v>
      </c>
      <c r="DM9">
        <f t="shared" si="9"/>
        <v>15</v>
      </c>
      <c r="DN9">
        <f t="shared" si="9"/>
        <v>15</v>
      </c>
      <c r="DO9" s="133">
        <f t="shared" si="9"/>
        <v>15</v>
      </c>
      <c r="DP9">
        <f t="shared" si="9"/>
        <v>16</v>
      </c>
      <c r="DQ9">
        <f t="shared" si="9"/>
        <v>16</v>
      </c>
      <c r="DR9">
        <f t="shared" si="9"/>
        <v>16</v>
      </c>
      <c r="DS9">
        <f t="shared" si="9"/>
        <v>16</v>
      </c>
      <c r="DT9">
        <f t="shared" si="9"/>
        <v>16</v>
      </c>
      <c r="DU9">
        <f t="shared" si="9"/>
        <v>16</v>
      </c>
      <c r="DV9">
        <f t="shared" si="9"/>
        <v>16</v>
      </c>
      <c r="DW9">
        <f t="shared" si="9"/>
        <v>16</v>
      </c>
      <c r="DX9">
        <f t="shared" si="9"/>
        <v>16</v>
      </c>
      <c r="DY9">
        <f t="shared" si="9"/>
        <v>16</v>
      </c>
      <c r="DZ9">
        <f t="shared" si="9"/>
        <v>17</v>
      </c>
      <c r="EA9" s="133">
        <f t="shared" si="9"/>
        <v>17</v>
      </c>
      <c r="EB9">
        <f t="shared" si="9"/>
        <v>17</v>
      </c>
      <c r="EC9">
        <f t="shared" si="9"/>
        <v>17</v>
      </c>
      <c r="ED9">
        <f t="shared" si="9"/>
        <v>17</v>
      </c>
    </row>
    <row r="10" spans="2:134" s="40" customFormat="1" hidden="1" outlineLevel="1" x14ac:dyDescent="0.25">
      <c r="N10" s="93" t="s">
        <v>189</v>
      </c>
      <c r="V10" s="40">
        <f>V9*$A$78</f>
        <v>825</v>
      </c>
      <c r="W10"/>
      <c r="X10"/>
      <c r="Y10"/>
      <c r="Z10"/>
      <c r="AA10"/>
      <c r="AB10"/>
      <c r="AC10"/>
      <c r="AD10"/>
      <c r="AE10"/>
      <c r="AF10"/>
      <c r="AG10"/>
      <c r="AH10"/>
      <c r="AI10" s="201">
        <f>AI9*$A$78</f>
        <v>660</v>
      </c>
      <c r="AJ10"/>
      <c r="AK10"/>
      <c r="AL10"/>
      <c r="AM10"/>
      <c r="AN10"/>
      <c r="AO10"/>
      <c r="AP10"/>
      <c r="AQ10"/>
      <c r="AR10"/>
      <c r="AS10"/>
      <c r="AT10"/>
      <c r="AU10" s="201">
        <f>AU9*$A$78</f>
        <v>660</v>
      </c>
      <c r="AV10"/>
      <c r="AW10"/>
      <c r="AX10"/>
      <c r="AY10"/>
      <c r="AZ10"/>
      <c r="BA10"/>
      <c r="BB10"/>
      <c r="BC10"/>
      <c r="BD10"/>
      <c r="BE10"/>
      <c r="BF10"/>
      <c r="BG10" s="201">
        <f>BG9*$A$78</f>
        <v>825</v>
      </c>
      <c r="BH10"/>
      <c r="BI10"/>
      <c r="BJ10"/>
      <c r="BK10"/>
      <c r="BL10"/>
      <c r="BM10"/>
      <c r="BN10"/>
      <c r="BO10"/>
      <c r="BP10"/>
      <c r="BQ10"/>
      <c r="BR10"/>
      <c r="BS10" s="201">
        <f>BS9*$A$78</f>
        <v>907.5</v>
      </c>
      <c r="BT10"/>
      <c r="BU10"/>
      <c r="BV10"/>
      <c r="BW10"/>
      <c r="BX10"/>
      <c r="BY10"/>
      <c r="BZ10"/>
      <c r="CA10"/>
      <c r="CB10"/>
      <c r="CC10"/>
      <c r="CD10"/>
      <c r="CE10" s="201">
        <f>CE9*$A$78</f>
        <v>990</v>
      </c>
      <c r="CF10"/>
      <c r="CG10"/>
      <c r="CH10"/>
      <c r="CI10"/>
      <c r="CJ10"/>
      <c r="CK10"/>
      <c r="CL10"/>
      <c r="CM10"/>
      <c r="CN10"/>
      <c r="CO10"/>
      <c r="CP10"/>
      <c r="CQ10" s="201">
        <f>CQ9*$A$78</f>
        <v>1072.5</v>
      </c>
      <c r="CR10"/>
      <c r="CS10"/>
      <c r="CT10"/>
      <c r="CU10"/>
      <c r="CV10"/>
      <c r="CW10"/>
      <c r="CX10"/>
      <c r="CY10"/>
      <c r="CZ10"/>
      <c r="DA10"/>
      <c r="DB10"/>
      <c r="DC10" s="201">
        <f>DC9*$A$78</f>
        <v>1237.5</v>
      </c>
      <c r="DD10"/>
      <c r="DE10"/>
      <c r="DF10"/>
      <c r="DG10"/>
      <c r="DH10"/>
      <c r="DI10"/>
      <c r="DJ10"/>
      <c r="DK10"/>
      <c r="DL10"/>
      <c r="DM10"/>
      <c r="DN10"/>
      <c r="DO10" s="201">
        <f>DO9*$A$78</f>
        <v>1237.5</v>
      </c>
      <c r="DP10"/>
      <c r="DQ10"/>
      <c r="DR10"/>
      <c r="DS10"/>
      <c r="DT10"/>
      <c r="DU10"/>
      <c r="DV10"/>
      <c r="DW10"/>
      <c r="DX10"/>
      <c r="DY10"/>
      <c r="DZ10"/>
      <c r="EA10" s="201">
        <f>EA9*$A$78</f>
        <v>1402.5</v>
      </c>
      <c r="EB10"/>
      <c r="EC10"/>
      <c r="ED10"/>
    </row>
    <row r="11" spans="2:134" s="488" customFormat="1" hidden="1" outlineLevel="1" x14ac:dyDescent="0.25">
      <c r="N11" s="489" t="s">
        <v>190</v>
      </c>
      <c r="V11" s="488">
        <f>V64*$A$79</f>
        <v>717</v>
      </c>
      <c r="W11" s="490"/>
      <c r="X11" s="490"/>
      <c r="Y11" s="490"/>
      <c r="Z11" s="490"/>
      <c r="AA11" s="490"/>
      <c r="AB11" s="490"/>
      <c r="AC11" s="490"/>
      <c r="AD11" s="490"/>
      <c r="AE11" s="490"/>
      <c r="AF11" s="490"/>
      <c r="AG11" s="490"/>
      <c r="AH11" s="490"/>
      <c r="AI11" s="491">
        <f>AI64*$A$79</f>
        <v>478</v>
      </c>
      <c r="AJ11" s="490"/>
      <c r="AK11" s="490"/>
      <c r="AL11" s="490"/>
      <c r="AM11" s="490"/>
      <c r="AN11" s="490"/>
      <c r="AO11" s="490"/>
      <c r="AP11" s="490"/>
      <c r="AQ11" s="490"/>
      <c r="AR11" s="490"/>
      <c r="AS11" s="490"/>
      <c r="AT11" s="490"/>
      <c r="AU11" s="491">
        <f>AU64*$A$79</f>
        <v>478</v>
      </c>
      <c r="AV11" s="490"/>
      <c r="AW11" s="490"/>
      <c r="AX11" s="490"/>
      <c r="AY11" s="490"/>
      <c r="AZ11" s="490"/>
      <c r="BA11" s="490"/>
      <c r="BB11" s="490"/>
      <c r="BC11" s="490"/>
      <c r="BD11" s="490"/>
      <c r="BE11" s="490"/>
      <c r="BF11" s="490"/>
      <c r="BG11" s="491">
        <f>BG64*$A$79</f>
        <v>717</v>
      </c>
      <c r="BH11" s="490"/>
      <c r="BI11" s="490"/>
      <c r="BJ11" s="490"/>
      <c r="BK11" s="490"/>
      <c r="BL11" s="490"/>
      <c r="BM11" s="490"/>
      <c r="BN11" s="490"/>
      <c r="BO11" s="490"/>
      <c r="BP11" s="490"/>
      <c r="BQ11" s="490"/>
      <c r="BR11" s="490"/>
      <c r="BS11" s="491">
        <f>BS64*$A$79</f>
        <v>717</v>
      </c>
      <c r="BT11" s="490"/>
      <c r="BU11" s="490"/>
      <c r="BV11" s="490"/>
      <c r="BW11" s="490"/>
      <c r="BX11" s="490"/>
      <c r="BY11" s="490"/>
      <c r="BZ11" s="490"/>
      <c r="CA11" s="490"/>
      <c r="CB11" s="490"/>
      <c r="CC11" s="490"/>
      <c r="CD11" s="490"/>
      <c r="CE11" s="491">
        <f>CE64*$A$79</f>
        <v>717</v>
      </c>
      <c r="CF11" s="490"/>
      <c r="CG11" s="490"/>
      <c r="CH11" s="490"/>
      <c r="CI11" s="490"/>
      <c r="CJ11" s="490"/>
      <c r="CK11" s="490"/>
      <c r="CL11" s="490"/>
      <c r="CM11" s="490"/>
      <c r="CN11" s="490"/>
      <c r="CO11" s="490"/>
      <c r="CP11" s="490"/>
      <c r="CQ11" s="491">
        <f>CQ64*$A$79</f>
        <v>717</v>
      </c>
      <c r="CR11" s="490"/>
      <c r="CS11" s="490"/>
      <c r="CT11" s="490"/>
      <c r="CU11" s="490"/>
      <c r="CV11" s="490"/>
      <c r="CW11" s="490"/>
      <c r="CX11" s="490"/>
      <c r="CY11" s="490"/>
      <c r="CZ11" s="490"/>
      <c r="DA11" s="490"/>
      <c r="DB11" s="490"/>
      <c r="DC11" s="491">
        <f>DC64*$A$79</f>
        <v>956</v>
      </c>
      <c r="DD11" s="490"/>
      <c r="DE11" s="490"/>
      <c r="DF11" s="490"/>
      <c r="DG11" s="490"/>
      <c r="DH11" s="490"/>
      <c r="DI11" s="490"/>
      <c r="DJ11" s="490"/>
      <c r="DK11" s="490"/>
      <c r="DL11" s="490"/>
      <c r="DM11" s="490"/>
      <c r="DN11" s="490"/>
      <c r="DO11" s="491">
        <f>DO64*$A$79</f>
        <v>956</v>
      </c>
      <c r="DP11" s="490"/>
      <c r="DQ11" s="490"/>
      <c r="DR11" s="490"/>
      <c r="DS11" s="490"/>
      <c r="DT11" s="490"/>
      <c r="DU11" s="490"/>
      <c r="DV11" s="490"/>
      <c r="DW11" s="490"/>
      <c r="DX11" s="490"/>
      <c r="DY11" s="490"/>
      <c r="DZ11" s="490"/>
      <c r="EA11" s="491">
        <f>EA64*$A$79</f>
        <v>1195</v>
      </c>
      <c r="EB11" s="490"/>
      <c r="EC11" s="490"/>
      <c r="ED11" s="490"/>
    </row>
    <row r="12" spans="2:134" s="40" customFormat="1" hidden="1" outlineLevel="1" x14ac:dyDescent="0.25">
      <c r="N12" s="93" t="s">
        <v>191</v>
      </c>
      <c r="V12" s="40">
        <f>SUM(V66,V70)*$A$80</f>
        <v>640</v>
      </c>
      <c r="W12"/>
      <c r="X12"/>
      <c r="Y12"/>
      <c r="Z12"/>
      <c r="AA12"/>
      <c r="AB12"/>
      <c r="AC12"/>
      <c r="AD12"/>
      <c r="AE12"/>
      <c r="AF12"/>
      <c r="AG12"/>
      <c r="AH12"/>
      <c r="AI12" s="201">
        <f>SUM(AI66,AI70)*$A$80</f>
        <v>480</v>
      </c>
      <c r="AJ12"/>
      <c r="AK12"/>
      <c r="AL12"/>
      <c r="AM12"/>
      <c r="AN12"/>
      <c r="AO12"/>
      <c r="AP12"/>
      <c r="AQ12"/>
      <c r="AR12"/>
      <c r="AS12"/>
      <c r="AT12"/>
      <c r="AU12" s="201">
        <f>SUM(AU66,AU70)*$A$80</f>
        <v>560</v>
      </c>
      <c r="AV12"/>
      <c r="AW12"/>
      <c r="AX12"/>
      <c r="AY12"/>
      <c r="AZ12"/>
      <c r="BA12"/>
      <c r="BB12"/>
      <c r="BC12"/>
      <c r="BD12"/>
      <c r="BE12"/>
      <c r="BF12"/>
      <c r="BG12" s="201">
        <f>SUM(BG66,BG70)*$A$80</f>
        <v>560</v>
      </c>
      <c r="BH12"/>
      <c r="BI12"/>
      <c r="BJ12"/>
      <c r="BK12"/>
      <c r="BL12"/>
      <c r="BM12"/>
      <c r="BN12"/>
      <c r="BO12"/>
      <c r="BP12"/>
      <c r="BQ12"/>
      <c r="BR12"/>
      <c r="BS12" s="201">
        <f>SUM(BS66,BS70)*$A$80</f>
        <v>640</v>
      </c>
      <c r="BT12"/>
      <c r="BU12"/>
      <c r="BV12"/>
      <c r="BW12"/>
      <c r="BX12"/>
      <c r="BY12"/>
      <c r="BZ12"/>
      <c r="CA12"/>
      <c r="CB12"/>
      <c r="CC12"/>
      <c r="CD12"/>
      <c r="CE12" s="201">
        <f>SUM(CE66,CE70)*$A$80</f>
        <v>800</v>
      </c>
      <c r="CF12"/>
      <c r="CG12"/>
      <c r="CH12"/>
      <c r="CI12"/>
      <c r="CJ12"/>
      <c r="CK12"/>
      <c r="CL12"/>
      <c r="CM12"/>
      <c r="CN12"/>
      <c r="CO12"/>
      <c r="CP12"/>
      <c r="CQ12" s="201">
        <f>SUM(CQ66,CQ70)*$A$80</f>
        <v>880</v>
      </c>
      <c r="CR12"/>
      <c r="CS12"/>
      <c r="CT12"/>
      <c r="CU12"/>
      <c r="CV12"/>
      <c r="CW12"/>
      <c r="CX12"/>
      <c r="CY12"/>
      <c r="CZ12"/>
      <c r="DA12"/>
      <c r="DB12"/>
      <c r="DC12" s="201">
        <f>SUM(DC66,DC70)*$A$80</f>
        <v>960</v>
      </c>
      <c r="DD12"/>
      <c r="DE12"/>
      <c r="DF12"/>
      <c r="DG12"/>
      <c r="DH12"/>
      <c r="DI12"/>
      <c r="DJ12"/>
      <c r="DK12"/>
      <c r="DL12"/>
      <c r="DM12"/>
      <c r="DN12"/>
      <c r="DO12" s="201">
        <f>SUM(DO66,DO70)*$A$80</f>
        <v>1040</v>
      </c>
      <c r="DP12"/>
      <c r="DQ12"/>
      <c r="DR12"/>
      <c r="DS12"/>
      <c r="DT12"/>
      <c r="DU12"/>
      <c r="DV12"/>
      <c r="DW12"/>
      <c r="DX12"/>
      <c r="DY12"/>
      <c r="DZ12"/>
      <c r="EA12" s="201">
        <f>SUM(EA66,EA70)*$A$80</f>
        <v>1120</v>
      </c>
      <c r="EB12"/>
      <c r="EC12"/>
      <c r="ED12"/>
    </row>
    <row r="13" spans="2:134" s="488" customFormat="1" hidden="1" outlineLevel="1" x14ac:dyDescent="0.25">
      <c r="N13" s="489" t="s">
        <v>192</v>
      </c>
      <c r="V13" s="488">
        <f>SUM(V10:V12)</f>
        <v>2182</v>
      </c>
      <c r="W13" s="490"/>
      <c r="X13" s="490"/>
      <c r="Y13" s="490"/>
      <c r="Z13" s="490"/>
      <c r="AA13" s="490"/>
      <c r="AB13" s="490"/>
      <c r="AC13" s="490"/>
      <c r="AD13" s="490"/>
      <c r="AE13" s="490"/>
      <c r="AF13" s="490"/>
      <c r="AG13" s="490"/>
      <c r="AH13" s="490"/>
      <c r="AI13" s="491">
        <f>SUM(AI10:AI12)</f>
        <v>1618</v>
      </c>
      <c r="AJ13" s="490"/>
      <c r="AK13" s="490"/>
      <c r="AL13" s="490"/>
      <c r="AM13" s="490"/>
      <c r="AN13" s="490"/>
      <c r="AO13" s="490"/>
      <c r="AP13" s="490"/>
      <c r="AQ13" s="490"/>
      <c r="AR13" s="490"/>
      <c r="AS13" s="490"/>
      <c r="AT13" s="490"/>
      <c r="AU13" s="491">
        <f>SUM(AU10:AU12)</f>
        <v>1698</v>
      </c>
      <c r="AV13" s="490"/>
      <c r="AW13" s="490"/>
      <c r="AX13" s="490"/>
      <c r="AY13" s="490"/>
      <c r="AZ13" s="490"/>
      <c r="BA13" s="490"/>
      <c r="BB13" s="490"/>
      <c r="BC13" s="490"/>
      <c r="BD13" s="490"/>
      <c r="BE13" s="490"/>
      <c r="BF13" s="490"/>
      <c r="BG13" s="491">
        <f>SUM(BG10:BG12)</f>
        <v>2102</v>
      </c>
      <c r="BH13" s="490"/>
      <c r="BI13" s="490"/>
      <c r="BJ13" s="490"/>
      <c r="BK13" s="490"/>
      <c r="BL13" s="490"/>
      <c r="BM13" s="490"/>
      <c r="BN13" s="490"/>
      <c r="BO13" s="490"/>
      <c r="BP13" s="490"/>
      <c r="BQ13" s="490"/>
      <c r="BR13" s="490"/>
      <c r="BS13" s="491">
        <f>SUM(BS10:BS12)</f>
        <v>2264.5</v>
      </c>
      <c r="BT13" s="490"/>
      <c r="BU13" s="490"/>
      <c r="BV13" s="490"/>
      <c r="BW13" s="490"/>
      <c r="BX13" s="490"/>
      <c r="BY13" s="490"/>
      <c r="BZ13" s="490"/>
      <c r="CA13" s="490"/>
      <c r="CB13" s="490"/>
      <c r="CC13" s="490"/>
      <c r="CD13" s="490"/>
      <c r="CE13" s="491">
        <f>SUM(CE10:CE12)</f>
        <v>2507</v>
      </c>
      <c r="CF13" s="490"/>
      <c r="CG13" s="490"/>
      <c r="CH13" s="490"/>
      <c r="CI13" s="490"/>
      <c r="CJ13" s="490"/>
      <c r="CK13" s="490"/>
      <c r="CL13" s="490"/>
      <c r="CM13" s="490"/>
      <c r="CN13" s="490"/>
      <c r="CO13" s="490"/>
      <c r="CP13" s="490"/>
      <c r="CQ13" s="491">
        <f>SUM(CQ10:CQ12)</f>
        <v>2669.5</v>
      </c>
      <c r="CR13" s="490"/>
      <c r="CS13" s="490"/>
      <c r="CT13" s="490"/>
      <c r="CU13" s="490"/>
      <c r="CV13" s="490"/>
      <c r="CW13" s="490"/>
      <c r="CX13" s="490"/>
      <c r="CY13" s="490"/>
      <c r="CZ13" s="490"/>
      <c r="DA13" s="490"/>
      <c r="DB13" s="490"/>
      <c r="DC13" s="491">
        <f>SUM(DC10:DC12)</f>
        <v>3153.5</v>
      </c>
      <c r="DD13" s="490"/>
      <c r="DE13" s="490"/>
      <c r="DF13" s="490"/>
      <c r="DG13" s="490"/>
      <c r="DH13" s="490"/>
      <c r="DI13" s="490"/>
      <c r="DJ13" s="490"/>
      <c r="DK13" s="490"/>
      <c r="DL13" s="490"/>
      <c r="DM13" s="490"/>
      <c r="DN13" s="490"/>
      <c r="DO13" s="491">
        <f>SUM(DO10:DO12)</f>
        <v>3233.5</v>
      </c>
      <c r="DP13" s="490"/>
      <c r="DQ13" s="490"/>
      <c r="DR13" s="490"/>
      <c r="DS13" s="490"/>
      <c r="DT13" s="490"/>
      <c r="DU13" s="490"/>
      <c r="DV13" s="490"/>
      <c r="DW13" s="490"/>
      <c r="DX13" s="490"/>
      <c r="DY13" s="490"/>
      <c r="DZ13" s="490"/>
      <c r="EA13" s="491">
        <f>SUM(EA10:EA12)</f>
        <v>3717.5</v>
      </c>
      <c r="EB13" s="490"/>
      <c r="EC13" s="490"/>
      <c r="ED13" s="490"/>
    </row>
    <row r="14" spans="2:134" s="40" customFormat="1" hidden="1" outlineLevel="1" x14ac:dyDescent="0.25">
      <c r="N14" s="93" t="s">
        <v>193</v>
      </c>
      <c r="V14" s="40">
        <f>V100</f>
        <v>8</v>
      </c>
      <c r="W14"/>
      <c r="X14"/>
      <c r="Y14"/>
      <c r="Z14"/>
      <c r="AA14"/>
      <c r="AB14"/>
      <c r="AC14"/>
      <c r="AD14"/>
      <c r="AE14"/>
      <c r="AF14"/>
      <c r="AG14"/>
      <c r="AH14"/>
      <c r="AI14" s="201">
        <f>AI100</f>
        <v>0</v>
      </c>
      <c r="AJ14"/>
      <c r="AK14"/>
      <c r="AL14"/>
      <c r="AM14"/>
      <c r="AN14"/>
      <c r="AO14"/>
      <c r="AP14"/>
      <c r="AQ14"/>
      <c r="AR14"/>
      <c r="AS14"/>
      <c r="AT14"/>
      <c r="AU14" s="201">
        <f>AU100</f>
        <v>0</v>
      </c>
      <c r="AV14"/>
      <c r="AW14"/>
      <c r="AX14"/>
      <c r="AY14"/>
      <c r="AZ14"/>
      <c r="BA14"/>
      <c r="BB14"/>
      <c r="BC14"/>
      <c r="BD14"/>
      <c r="BE14"/>
      <c r="BF14"/>
      <c r="BG14" s="201">
        <f>BG100</f>
        <v>0</v>
      </c>
      <c r="BH14"/>
      <c r="BI14"/>
      <c r="BJ14"/>
      <c r="BK14"/>
      <c r="BL14"/>
      <c r="BM14"/>
      <c r="BN14"/>
      <c r="BO14"/>
      <c r="BP14"/>
      <c r="BQ14"/>
      <c r="BR14"/>
      <c r="BS14" s="201">
        <f>BS100</f>
        <v>0</v>
      </c>
      <c r="BT14"/>
      <c r="BU14"/>
      <c r="BV14"/>
      <c r="BW14"/>
      <c r="BX14"/>
      <c r="BY14"/>
      <c r="BZ14"/>
      <c r="CA14"/>
      <c r="CB14"/>
      <c r="CC14"/>
      <c r="CD14"/>
      <c r="CE14" s="201">
        <f>CE100</f>
        <v>0</v>
      </c>
      <c r="CF14"/>
      <c r="CG14"/>
      <c r="CH14"/>
      <c r="CI14"/>
      <c r="CJ14"/>
      <c r="CK14"/>
      <c r="CL14"/>
      <c r="CM14"/>
      <c r="CN14"/>
      <c r="CO14"/>
      <c r="CP14"/>
      <c r="CQ14" s="201">
        <f>CQ100</f>
        <v>0</v>
      </c>
      <c r="CR14"/>
      <c r="CS14"/>
      <c r="CT14"/>
      <c r="CU14"/>
      <c r="CV14"/>
      <c r="CW14"/>
      <c r="CX14"/>
      <c r="CY14"/>
      <c r="CZ14"/>
      <c r="DA14"/>
      <c r="DB14"/>
      <c r="DC14" s="201">
        <f>DC100</f>
        <v>0</v>
      </c>
      <c r="DD14"/>
      <c r="DE14"/>
      <c r="DF14"/>
      <c r="DG14"/>
      <c r="DH14"/>
      <c r="DI14"/>
      <c r="DJ14"/>
      <c r="DK14"/>
      <c r="DL14"/>
      <c r="DM14"/>
      <c r="DN14"/>
      <c r="DO14" s="201">
        <f>DO100</f>
        <v>0</v>
      </c>
      <c r="DP14"/>
      <c r="DQ14"/>
      <c r="DR14"/>
      <c r="DS14"/>
      <c r="DT14"/>
      <c r="DU14"/>
      <c r="DV14"/>
      <c r="DW14"/>
      <c r="DX14"/>
      <c r="DY14"/>
      <c r="DZ14"/>
      <c r="EA14" s="201">
        <f>EA100</f>
        <v>0</v>
      </c>
      <c r="EB14"/>
      <c r="EC14"/>
      <c r="ED14"/>
    </row>
    <row r="15" spans="2:134" s="488" customFormat="1" hidden="1" outlineLevel="1" x14ac:dyDescent="0.25">
      <c r="N15" s="489" t="s">
        <v>194</v>
      </c>
      <c r="V15" s="488">
        <f>V14*$A$78</f>
        <v>660</v>
      </c>
      <c r="W15" s="490"/>
      <c r="X15" s="490"/>
      <c r="Y15" s="490"/>
      <c r="Z15" s="490"/>
      <c r="AA15" s="490"/>
      <c r="AB15" s="490"/>
      <c r="AC15" s="490"/>
      <c r="AD15" s="490"/>
      <c r="AE15" s="490"/>
      <c r="AF15" s="490"/>
      <c r="AG15" s="490"/>
      <c r="AH15" s="490"/>
      <c r="AI15" s="491">
        <f>AI14*$A$78</f>
        <v>0</v>
      </c>
      <c r="AJ15" s="490"/>
      <c r="AK15" s="490"/>
      <c r="AL15" s="490"/>
      <c r="AM15" s="490"/>
      <c r="AN15" s="490"/>
      <c r="AO15" s="490"/>
      <c r="AP15" s="490"/>
      <c r="AQ15" s="490"/>
      <c r="AR15" s="490"/>
      <c r="AS15" s="490"/>
      <c r="AT15" s="490"/>
      <c r="AU15" s="491">
        <f>AU14*$A$78</f>
        <v>0</v>
      </c>
      <c r="AV15" s="490"/>
      <c r="AW15" s="490"/>
      <c r="AX15" s="490"/>
      <c r="AY15" s="490"/>
      <c r="AZ15" s="490"/>
      <c r="BA15" s="490"/>
      <c r="BB15" s="490"/>
      <c r="BC15" s="490"/>
      <c r="BD15" s="490"/>
      <c r="BE15" s="490"/>
      <c r="BF15" s="490"/>
      <c r="BG15" s="491">
        <f>BG14*$A$78</f>
        <v>0</v>
      </c>
      <c r="BH15" s="490"/>
      <c r="BI15" s="490"/>
      <c r="BJ15" s="490"/>
      <c r="BK15" s="490"/>
      <c r="BL15" s="490"/>
      <c r="BM15" s="490"/>
      <c r="BN15" s="490"/>
      <c r="BO15" s="490"/>
      <c r="BP15" s="490"/>
      <c r="BQ15" s="490"/>
      <c r="BR15" s="490"/>
      <c r="BS15" s="491">
        <f>BS14*$A$78</f>
        <v>0</v>
      </c>
      <c r="BT15" s="490"/>
      <c r="BU15" s="490"/>
      <c r="BV15" s="490"/>
      <c r="BW15" s="490"/>
      <c r="BX15" s="490"/>
      <c r="BY15" s="490"/>
      <c r="BZ15" s="490"/>
      <c r="CA15" s="490"/>
      <c r="CB15" s="490"/>
      <c r="CC15" s="490"/>
      <c r="CD15" s="490"/>
      <c r="CE15" s="491">
        <f>CE14*$A$78</f>
        <v>0</v>
      </c>
      <c r="CF15" s="490"/>
      <c r="CG15" s="490"/>
      <c r="CH15" s="490"/>
      <c r="CI15" s="490"/>
      <c r="CJ15" s="490"/>
      <c r="CK15" s="490"/>
      <c r="CL15" s="490"/>
      <c r="CM15" s="490"/>
      <c r="CN15" s="490"/>
      <c r="CO15" s="490"/>
      <c r="CP15" s="490"/>
      <c r="CQ15" s="491">
        <f>CQ14*$A$78</f>
        <v>0</v>
      </c>
      <c r="CR15" s="490"/>
      <c r="CS15" s="490"/>
      <c r="CT15" s="490"/>
      <c r="CU15" s="490"/>
      <c r="CV15" s="490"/>
      <c r="CW15" s="490"/>
      <c r="CX15" s="490"/>
      <c r="CY15" s="490"/>
      <c r="CZ15" s="490"/>
      <c r="DA15" s="490"/>
      <c r="DB15" s="490"/>
      <c r="DC15" s="491">
        <f>DC14*$A$78</f>
        <v>0</v>
      </c>
      <c r="DD15" s="490"/>
      <c r="DE15" s="490"/>
      <c r="DF15" s="490"/>
      <c r="DG15" s="490"/>
      <c r="DH15" s="490"/>
      <c r="DI15" s="490"/>
      <c r="DJ15" s="490"/>
      <c r="DK15" s="490"/>
      <c r="DL15" s="490"/>
      <c r="DM15" s="490"/>
      <c r="DN15" s="490"/>
      <c r="DO15" s="491">
        <f>DO14*$A$78</f>
        <v>0</v>
      </c>
      <c r="DP15" s="490"/>
      <c r="DQ15" s="490"/>
      <c r="DR15" s="490"/>
      <c r="DS15" s="490"/>
      <c r="DT15" s="490"/>
      <c r="DU15" s="490"/>
      <c r="DV15" s="490"/>
      <c r="DW15" s="490"/>
      <c r="DX15" s="490"/>
      <c r="DY15" s="490"/>
      <c r="DZ15" s="490"/>
      <c r="EA15" s="491">
        <f>EA14*$A$78</f>
        <v>0</v>
      </c>
      <c r="EB15" s="490"/>
      <c r="EC15" s="490"/>
      <c r="ED15" s="490"/>
    </row>
    <row r="16" spans="2:134" s="488" customFormat="1" hidden="1" outlineLevel="1" x14ac:dyDescent="0.25">
      <c r="N16" s="489" t="s">
        <v>195</v>
      </c>
      <c r="V16" s="488">
        <v>42</v>
      </c>
      <c r="W16" s="490"/>
      <c r="X16" s="490"/>
      <c r="Y16" s="490"/>
      <c r="Z16" s="490"/>
      <c r="AA16" s="490"/>
      <c r="AB16" s="490"/>
      <c r="AC16" s="490"/>
      <c r="AD16" s="490"/>
      <c r="AE16" s="490"/>
      <c r="AF16" s="490"/>
      <c r="AG16" s="490"/>
      <c r="AH16" s="490"/>
      <c r="AI16" s="491">
        <f>$V$16</f>
        <v>42</v>
      </c>
      <c r="AJ16" s="490"/>
      <c r="AK16" s="490"/>
      <c r="AL16" s="490"/>
      <c r="AM16" s="490"/>
      <c r="AN16" s="490"/>
      <c r="AO16" s="490"/>
      <c r="AP16" s="490"/>
      <c r="AQ16" s="490"/>
      <c r="AR16" s="490"/>
      <c r="AS16" s="490"/>
      <c r="AT16" s="490"/>
      <c r="AU16" s="491">
        <f>$V$16</f>
        <v>42</v>
      </c>
      <c r="AV16" s="490"/>
      <c r="AW16" s="490"/>
      <c r="AX16" s="490"/>
      <c r="AY16" s="490"/>
      <c r="AZ16" s="490"/>
      <c r="BA16" s="490"/>
      <c r="BB16" s="490"/>
      <c r="BC16" s="490"/>
      <c r="BD16" s="490"/>
      <c r="BE16" s="490"/>
      <c r="BF16" s="490"/>
      <c r="BG16" s="491">
        <f>$V$16</f>
        <v>42</v>
      </c>
      <c r="BH16" s="490"/>
      <c r="BI16" s="490"/>
      <c r="BJ16" s="490"/>
      <c r="BK16" s="490"/>
      <c r="BL16" s="490"/>
      <c r="BM16" s="490"/>
      <c r="BN16" s="490"/>
      <c r="BO16" s="490"/>
      <c r="BP16" s="490"/>
      <c r="BQ16" s="490"/>
      <c r="BR16" s="490"/>
      <c r="BS16" s="491">
        <f>$V$16</f>
        <v>42</v>
      </c>
      <c r="BT16" s="490"/>
      <c r="BU16" s="490"/>
      <c r="BV16" s="490"/>
      <c r="BW16" s="490"/>
      <c r="BX16" s="490"/>
      <c r="BY16" s="490"/>
      <c r="BZ16" s="490"/>
      <c r="CA16" s="490"/>
      <c r="CB16" s="490"/>
      <c r="CC16" s="490"/>
      <c r="CD16" s="490"/>
      <c r="CE16" s="491">
        <f>$V$16</f>
        <v>42</v>
      </c>
      <c r="CF16" s="490"/>
      <c r="CG16" s="490"/>
      <c r="CH16" s="490"/>
      <c r="CI16" s="490"/>
      <c r="CJ16" s="490"/>
      <c r="CK16" s="490"/>
      <c r="CL16" s="490"/>
      <c r="CM16" s="490"/>
      <c r="CN16" s="490"/>
      <c r="CO16" s="490"/>
      <c r="CP16" s="490"/>
      <c r="CQ16" s="491">
        <f>$V$16</f>
        <v>42</v>
      </c>
      <c r="CR16" s="490"/>
      <c r="CS16" s="490"/>
      <c r="CT16" s="490"/>
      <c r="CU16" s="490"/>
      <c r="CV16" s="490"/>
      <c r="CW16" s="490"/>
      <c r="CX16" s="490"/>
      <c r="CY16" s="490"/>
      <c r="CZ16" s="490"/>
      <c r="DA16" s="490"/>
      <c r="DB16" s="490"/>
      <c r="DC16" s="491">
        <f>$V$16</f>
        <v>42</v>
      </c>
      <c r="DD16" s="490"/>
      <c r="DE16" s="490"/>
      <c r="DF16" s="490"/>
      <c r="DG16" s="490"/>
      <c r="DH16" s="490"/>
      <c r="DI16" s="490"/>
      <c r="DJ16" s="490"/>
      <c r="DK16" s="490"/>
      <c r="DL16" s="490"/>
      <c r="DM16" s="490"/>
      <c r="DN16" s="490"/>
      <c r="DO16" s="491">
        <f>$V$16</f>
        <v>42</v>
      </c>
      <c r="DP16" s="490"/>
      <c r="DQ16" s="490"/>
      <c r="DR16" s="490"/>
      <c r="DS16" s="490"/>
      <c r="DT16" s="490"/>
      <c r="DU16" s="490"/>
      <c r="DV16" s="490"/>
      <c r="DW16" s="490"/>
      <c r="DX16" s="490"/>
      <c r="DY16" s="490"/>
      <c r="DZ16" s="490"/>
      <c r="EA16" s="491">
        <f>$V$16</f>
        <v>42</v>
      </c>
      <c r="EB16" s="490"/>
      <c r="EC16" s="490"/>
      <c r="ED16" s="490"/>
    </row>
    <row r="17" spans="10:134" s="488" customFormat="1" hidden="1" outlineLevel="1" x14ac:dyDescent="0.25">
      <c r="J17" s="488">
        <v>110</v>
      </c>
      <c r="N17" s="489" t="s">
        <v>196</v>
      </c>
      <c r="V17" s="488">
        <v>118</v>
      </c>
      <c r="W17" s="490"/>
      <c r="X17" s="490"/>
      <c r="Y17" s="490"/>
      <c r="Z17" s="490"/>
      <c r="AA17" s="490"/>
      <c r="AB17" s="490"/>
      <c r="AC17" s="490"/>
      <c r="AD17" s="490"/>
      <c r="AE17" s="490"/>
      <c r="AF17" s="490"/>
      <c r="AG17" s="490"/>
      <c r="AH17" s="490"/>
      <c r="AI17" s="491">
        <f>$V$17</f>
        <v>118</v>
      </c>
      <c r="AJ17" s="490"/>
      <c r="AK17" s="490"/>
      <c r="AL17" s="490"/>
      <c r="AM17" s="490"/>
      <c r="AN17" s="490"/>
      <c r="AO17" s="490"/>
      <c r="AP17" s="490"/>
      <c r="AQ17" s="490"/>
      <c r="AR17" s="490"/>
      <c r="AS17" s="490"/>
      <c r="AT17" s="490"/>
      <c r="AU17" s="491">
        <f>$V$17</f>
        <v>118</v>
      </c>
      <c r="AV17" s="490"/>
      <c r="AW17" s="490"/>
      <c r="AX17" s="490"/>
      <c r="AY17" s="490"/>
      <c r="AZ17" s="490"/>
      <c r="BA17" s="490"/>
      <c r="BB17" s="490"/>
      <c r="BC17" s="490"/>
      <c r="BD17" s="490"/>
      <c r="BE17" s="490"/>
      <c r="BF17" s="490"/>
      <c r="BG17" s="491">
        <f>$V$17</f>
        <v>118</v>
      </c>
      <c r="BH17" s="490"/>
      <c r="BI17" s="490"/>
      <c r="BJ17" s="490"/>
      <c r="BK17" s="490"/>
      <c r="BL17" s="490"/>
      <c r="BM17" s="490"/>
      <c r="BN17" s="490"/>
      <c r="BO17" s="490"/>
      <c r="BP17" s="490"/>
      <c r="BQ17" s="490"/>
      <c r="BR17" s="490"/>
      <c r="BS17" s="491">
        <f>$V$17</f>
        <v>118</v>
      </c>
      <c r="BT17" s="490"/>
      <c r="BU17" s="490"/>
      <c r="BV17" s="490"/>
      <c r="BW17" s="490"/>
      <c r="BX17" s="490"/>
      <c r="BY17" s="490"/>
      <c r="BZ17" s="490"/>
      <c r="CA17" s="490"/>
      <c r="CB17" s="490"/>
      <c r="CC17" s="490"/>
      <c r="CD17" s="490"/>
      <c r="CE17" s="491">
        <f>$V$17</f>
        <v>118</v>
      </c>
      <c r="CF17" s="490"/>
      <c r="CG17" s="490"/>
      <c r="CH17" s="490"/>
      <c r="CI17" s="490"/>
      <c r="CJ17" s="490"/>
      <c r="CK17" s="490"/>
      <c r="CL17" s="490"/>
      <c r="CM17" s="490"/>
      <c r="CN17" s="490"/>
      <c r="CO17" s="490"/>
      <c r="CP17" s="490"/>
      <c r="CQ17" s="491">
        <f>$V$17</f>
        <v>118</v>
      </c>
      <c r="CR17" s="490"/>
      <c r="CS17" s="490"/>
      <c r="CT17" s="490"/>
      <c r="CU17" s="490"/>
      <c r="CV17" s="490"/>
      <c r="CW17" s="490"/>
      <c r="CX17" s="490"/>
      <c r="CY17" s="490"/>
      <c r="CZ17" s="490"/>
      <c r="DA17" s="490"/>
      <c r="DB17" s="490"/>
      <c r="DC17" s="491">
        <f>$V$17</f>
        <v>118</v>
      </c>
      <c r="DD17" s="490"/>
      <c r="DE17" s="490"/>
      <c r="DF17" s="490"/>
      <c r="DG17" s="490"/>
      <c r="DH17" s="490"/>
      <c r="DI17" s="490"/>
      <c r="DJ17" s="490"/>
      <c r="DK17" s="490"/>
      <c r="DL17" s="490"/>
      <c r="DM17" s="490"/>
      <c r="DN17" s="490"/>
      <c r="DO17" s="491">
        <f>$V$17</f>
        <v>118</v>
      </c>
      <c r="DP17" s="490"/>
      <c r="DQ17" s="490"/>
      <c r="DR17" s="490"/>
      <c r="DS17" s="490"/>
      <c r="DT17" s="490"/>
      <c r="DU17" s="490"/>
      <c r="DV17" s="490"/>
      <c r="DW17" s="490"/>
      <c r="DX17" s="490"/>
      <c r="DY17" s="490"/>
      <c r="DZ17" s="490"/>
      <c r="EA17" s="491">
        <f>$V$17</f>
        <v>118</v>
      </c>
      <c r="EB17" s="490"/>
      <c r="EC17" s="490"/>
      <c r="ED17" s="490"/>
    </row>
    <row r="18" spans="10:134" s="488" customFormat="1" hidden="1" outlineLevel="1" x14ac:dyDescent="0.25">
      <c r="N18" s="489" t="s">
        <v>197</v>
      </c>
      <c r="V18" s="488">
        <v>42</v>
      </c>
      <c r="W18" s="490"/>
      <c r="X18" s="490"/>
      <c r="Y18" s="490"/>
      <c r="Z18" s="490"/>
      <c r="AA18" s="490"/>
      <c r="AB18" s="490"/>
      <c r="AC18" s="490"/>
      <c r="AD18" s="490"/>
      <c r="AE18" s="490"/>
      <c r="AF18" s="490"/>
      <c r="AG18" s="490"/>
      <c r="AH18" s="490"/>
      <c r="AI18" s="491">
        <f>$V$18</f>
        <v>42</v>
      </c>
      <c r="AJ18" s="490"/>
      <c r="AK18" s="490"/>
      <c r="AL18" s="490"/>
      <c r="AM18" s="490"/>
      <c r="AN18" s="490"/>
      <c r="AO18" s="490"/>
      <c r="AP18" s="490"/>
      <c r="AQ18" s="490"/>
      <c r="AR18" s="490"/>
      <c r="AS18" s="490"/>
      <c r="AT18" s="490"/>
      <c r="AU18" s="491">
        <f>$V$18</f>
        <v>42</v>
      </c>
      <c r="AV18" s="490"/>
      <c r="AW18" s="490"/>
      <c r="AX18" s="490"/>
      <c r="AY18" s="490"/>
      <c r="AZ18" s="490"/>
      <c r="BA18" s="490"/>
      <c r="BB18" s="490"/>
      <c r="BC18" s="490"/>
      <c r="BD18" s="490"/>
      <c r="BE18" s="490"/>
      <c r="BF18" s="490"/>
      <c r="BG18" s="491">
        <f>$V$18</f>
        <v>42</v>
      </c>
      <c r="BH18" s="490"/>
      <c r="BI18" s="490"/>
      <c r="BJ18" s="490"/>
      <c r="BK18" s="490"/>
      <c r="BL18" s="490"/>
      <c r="BM18" s="490"/>
      <c r="BN18" s="490"/>
      <c r="BO18" s="490"/>
      <c r="BP18" s="490"/>
      <c r="BQ18" s="490"/>
      <c r="BR18" s="490"/>
      <c r="BS18" s="491">
        <f>$V$18</f>
        <v>42</v>
      </c>
      <c r="BT18" s="490"/>
      <c r="BU18" s="490"/>
      <c r="BV18" s="490"/>
      <c r="BW18" s="490"/>
      <c r="BX18" s="490"/>
      <c r="BY18" s="490"/>
      <c r="BZ18" s="490"/>
      <c r="CA18" s="490"/>
      <c r="CB18" s="490"/>
      <c r="CC18" s="490"/>
      <c r="CD18" s="490"/>
      <c r="CE18" s="491">
        <f>$V$18</f>
        <v>42</v>
      </c>
      <c r="CF18" s="490"/>
      <c r="CG18" s="490"/>
      <c r="CH18" s="490"/>
      <c r="CI18" s="490"/>
      <c r="CJ18" s="490"/>
      <c r="CK18" s="490"/>
      <c r="CL18" s="490"/>
      <c r="CM18" s="490"/>
      <c r="CN18" s="490"/>
      <c r="CO18" s="490"/>
      <c r="CP18" s="490"/>
      <c r="CQ18" s="491">
        <f>$V$18</f>
        <v>42</v>
      </c>
      <c r="CR18" s="490"/>
      <c r="CS18" s="490"/>
      <c r="CT18" s="490"/>
      <c r="CU18" s="490"/>
      <c r="CV18" s="490"/>
      <c r="CW18" s="490"/>
      <c r="CX18" s="490"/>
      <c r="CY18" s="490"/>
      <c r="CZ18" s="490"/>
      <c r="DA18" s="490"/>
      <c r="DB18" s="490"/>
      <c r="DC18" s="491">
        <f>$V$18</f>
        <v>42</v>
      </c>
      <c r="DD18" s="490"/>
      <c r="DE18" s="490"/>
      <c r="DF18" s="490"/>
      <c r="DG18" s="490"/>
      <c r="DH18" s="490"/>
      <c r="DI18" s="490"/>
      <c r="DJ18" s="490"/>
      <c r="DK18" s="490"/>
      <c r="DL18" s="490"/>
      <c r="DM18" s="490"/>
      <c r="DN18" s="490"/>
      <c r="DO18" s="491">
        <f>$V$18</f>
        <v>42</v>
      </c>
      <c r="DP18" s="490"/>
      <c r="DQ18" s="490"/>
      <c r="DR18" s="490"/>
      <c r="DS18" s="490"/>
      <c r="DT18" s="490"/>
      <c r="DU18" s="490"/>
      <c r="DV18" s="490"/>
      <c r="DW18" s="490"/>
      <c r="DX18" s="490"/>
      <c r="DY18" s="490"/>
      <c r="DZ18" s="490"/>
      <c r="EA18" s="491">
        <f>$V$18</f>
        <v>42</v>
      </c>
      <c r="EB18" s="490"/>
      <c r="EC18" s="490"/>
      <c r="ED18" s="490"/>
    </row>
    <row r="19" spans="10:134" s="488" customFormat="1" hidden="1" outlineLevel="1" x14ac:dyDescent="0.25">
      <c r="J19" s="488">
        <v>261</v>
      </c>
      <c r="N19" s="489" t="s">
        <v>198</v>
      </c>
      <c r="V19" s="488">
        <v>280</v>
      </c>
      <c r="W19" s="490"/>
      <c r="X19" s="490"/>
      <c r="Y19" s="490"/>
      <c r="Z19" s="490"/>
      <c r="AA19" s="490"/>
      <c r="AB19" s="490"/>
      <c r="AC19" s="490"/>
      <c r="AD19" s="490"/>
      <c r="AE19" s="490"/>
      <c r="AF19" s="490"/>
      <c r="AG19" s="490"/>
      <c r="AH19" s="490"/>
      <c r="AI19" s="491">
        <f>$V$19</f>
        <v>280</v>
      </c>
      <c r="AJ19" s="490"/>
      <c r="AK19" s="490"/>
      <c r="AL19" s="490"/>
      <c r="AM19" s="490"/>
      <c r="AN19" s="490"/>
      <c r="AO19" s="490"/>
      <c r="AP19" s="490"/>
      <c r="AQ19" s="490"/>
      <c r="AR19" s="490"/>
      <c r="AS19" s="490"/>
      <c r="AT19" s="490"/>
      <c r="AU19" s="491">
        <f>$V$19</f>
        <v>280</v>
      </c>
      <c r="AV19" s="490"/>
      <c r="AW19" s="490"/>
      <c r="AX19" s="490"/>
      <c r="AY19" s="490"/>
      <c r="AZ19" s="490"/>
      <c r="BA19" s="490"/>
      <c r="BB19" s="490"/>
      <c r="BC19" s="490"/>
      <c r="BD19" s="490"/>
      <c r="BE19" s="490"/>
      <c r="BF19" s="490"/>
      <c r="BG19" s="491">
        <f>$V$19</f>
        <v>280</v>
      </c>
      <c r="BH19" s="490"/>
      <c r="BI19" s="490"/>
      <c r="BJ19" s="490"/>
      <c r="BK19" s="490"/>
      <c r="BL19" s="490"/>
      <c r="BM19" s="490"/>
      <c r="BN19" s="490"/>
      <c r="BO19" s="490"/>
      <c r="BP19" s="490"/>
      <c r="BQ19" s="490"/>
      <c r="BR19" s="490"/>
      <c r="BS19" s="491">
        <f>$V$19</f>
        <v>280</v>
      </c>
      <c r="BT19" s="490"/>
      <c r="BU19" s="490"/>
      <c r="BV19" s="490"/>
      <c r="BW19" s="490"/>
      <c r="BX19" s="490"/>
      <c r="BY19" s="490"/>
      <c r="BZ19" s="490"/>
      <c r="CA19" s="490"/>
      <c r="CB19" s="490"/>
      <c r="CC19" s="490"/>
      <c r="CD19" s="490"/>
      <c r="CE19" s="491">
        <f>$V$19</f>
        <v>280</v>
      </c>
      <c r="CF19" s="490"/>
      <c r="CG19" s="490"/>
      <c r="CH19" s="490"/>
      <c r="CI19" s="490"/>
      <c r="CJ19" s="490"/>
      <c r="CK19" s="490"/>
      <c r="CL19" s="490"/>
      <c r="CM19" s="490"/>
      <c r="CN19" s="490"/>
      <c r="CO19" s="490"/>
      <c r="CP19" s="490"/>
      <c r="CQ19" s="491">
        <f>$V$19</f>
        <v>280</v>
      </c>
      <c r="CR19" s="490"/>
      <c r="CS19" s="490"/>
      <c r="CT19" s="490"/>
      <c r="CU19" s="490"/>
      <c r="CV19" s="490"/>
      <c r="CW19" s="490"/>
      <c r="CX19" s="490"/>
      <c r="CY19" s="490"/>
      <c r="CZ19" s="490"/>
      <c r="DA19" s="490"/>
      <c r="DB19" s="490"/>
      <c r="DC19" s="491">
        <f>$V$19</f>
        <v>280</v>
      </c>
      <c r="DD19" s="490"/>
      <c r="DE19" s="490"/>
      <c r="DF19" s="490"/>
      <c r="DG19" s="490"/>
      <c r="DH19" s="490"/>
      <c r="DI19" s="490"/>
      <c r="DJ19" s="490"/>
      <c r="DK19" s="490"/>
      <c r="DL19" s="490"/>
      <c r="DM19" s="490"/>
      <c r="DN19" s="490"/>
      <c r="DO19" s="491">
        <f>$V$19</f>
        <v>280</v>
      </c>
      <c r="DP19" s="490"/>
      <c r="DQ19" s="490"/>
      <c r="DR19" s="490"/>
      <c r="DS19" s="490"/>
      <c r="DT19" s="490"/>
      <c r="DU19" s="490"/>
      <c r="DV19" s="490"/>
      <c r="DW19" s="490"/>
      <c r="DX19" s="490"/>
      <c r="DY19" s="490"/>
      <c r="DZ19" s="490"/>
      <c r="EA19" s="491">
        <f>$V$19</f>
        <v>280</v>
      </c>
      <c r="EB19" s="490"/>
      <c r="EC19" s="490"/>
      <c r="ED19" s="490"/>
    </row>
    <row r="20" spans="10:134" s="488" customFormat="1" hidden="1" outlineLevel="1" x14ac:dyDescent="0.25">
      <c r="J20" s="731">
        <v>263</v>
      </c>
      <c r="N20" s="489" t="s">
        <v>199</v>
      </c>
      <c r="V20" s="488">
        <f>A84</f>
        <v>200</v>
      </c>
      <c r="W20" s="490"/>
      <c r="X20" s="490"/>
      <c r="Y20" s="490"/>
      <c r="Z20" s="490"/>
      <c r="AA20" s="490"/>
      <c r="AB20" s="490"/>
      <c r="AC20" s="490"/>
      <c r="AD20" s="490"/>
      <c r="AE20" s="490"/>
      <c r="AF20" s="490"/>
      <c r="AG20" s="490"/>
      <c r="AH20" s="490"/>
      <c r="AI20" s="491">
        <f>$V$20</f>
        <v>200</v>
      </c>
      <c r="AJ20" s="490"/>
      <c r="AK20" s="490"/>
      <c r="AL20" s="490"/>
      <c r="AM20" s="490"/>
      <c r="AN20" s="490"/>
      <c r="AO20" s="490"/>
      <c r="AP20" s="490"/>
      <c r="AQ20" s="490"/>
      <c r="AR20" s="490"/>
      <c r="AS20" s="490"/>
      <c r="AT20" s="490"/>
      <c r="AU20" s="491">
        <f>$V$20</f>
        <v>200</v>
      </c>
      <c r="AV20" s="490"/>
      <c r="AW20" s="490"/>
      <c r="AX20" s="490"/>
      <c r="AY20" s="490"/>
      <c r="AZ20" s="490"/>
      <c r="BA20" s="490"/>
      <c r="BB20" s="490"/>
      <c r="BC20" s="490"/>
      <c r="BD20" s="490"/>
      <c r="BE20" s="490"/>
      <c r="BF20" s="490"/>
      <c r="BG20" s="491">
        <f>$V$20</f>
        <v>200</v>
      </c>
      <c r="BH20" s="490"/>
      <c r="BI20" s="490"/>
      <c r="BJ20" s="490"/>
      <c r="BK20" s="490"/>
      <c r="BL20" s="490"/>
      <c r="BM20" s="490"/>
      <c r="BN20" s="490"/>
      <c r="BO20" s="490"/>
      <c r="BP20" s="490"/>
      <c r="BQ20" s="490"/>
      <c r="BR20" s="490"/>
      <c r="BS20" s="491">
        <f>$V$20</f>
        <v>200</v>
      </c>
      <c r="BT20" s="490"/>
      <c r="BU20" s="490"/>
      <c r="BV20" s="490"/>
      <c r="BW20" s="490"/>
      <c r="BX20" s="490"/>
      <c r="BY20" s="490"/>
      <c r="BZ20" s="490"/>
      <c r="CA20" s="490"/>
      <c r="CB20" s="490"/>
      <c r="CC20" s="490"/>
      <c r="CD20" s="490"/>
      <c r="CE20" s="491">
        <f>$V$20</f>
        <v>200</v>
      </c>
      <c r="CF20" s="490"/>
      <c r="CG20" s="490"/>
      <c r="CH20" s="490"/>
      <c r="CI20" s="490"/>
      <c r="CJ20" s="490"/>
      <c r="CK20" s="490"/>
      <c r="CL20" s="490"/>
      <c r="CM20" s="490"/>
      <c r="CN20" s="490"/>
      <c r="CO20" s="490"/>
      <c r="CP20" s="490"/>
      <c r="CQ20" s="491">
        <f>$V$20</f>
        <v>200</v>
      </c>
      <c r="CR20" s="490"/>
      <c r="CS20" s="490"/>
      <c r="CT20" s="490"/>
      <c r="CU20" s="490"/>
      <c r="CV20" s="490"/>
      <c r="CW20" s="490"/>
      <c r="CX20" s="490"/>
      <c r="CY20" s="490"/>
      <c r="CZ20" s="490"/>
      <c r="DA20" s="490"/>
      <c r="DB20" s="490"/>
      <c r="DC20" s="491">
        <f>$V$20</f>
        <v>200</v>
      </c>
      <c r="DD20" s="490"/>
      <c r="DE20" s="490"/>
      <c r="DF20" s="490"/>
      <c r="DG20" s="490"/>
      <c r="DH20" s="490"/>
      <c r="DI20" s="490"/>
      <c r="DJ20" s="490"/>
      <c r="DK20" s="490"/>
      <c r="DL20" s="490"/>
      <c r="DM20" s="490"/>
      <c r="DN20" s="490"/>
      <c r="DO20" s="491">
        <f>$V$20</f>
        <v>200</v>
      </c>
      <c r="DP20" s="490"/>
      <c r="DQ20" s="490"/>
      <c r="DR20" s="490"/>
      <c r="DS20" s="490"/>
      <c r="DT20" s="490"/>
      <c r="DU20" s="490"/>
      <c r="DV20" s="490"/>
      <c r="DW20" s="490"/>
      <c r="DX20" s="490"/>
      <c r="DY20" s="490"/>
      <c r="DZ20" s="490"/>
      <c r="EA20" s="491">
        <f>$V$20</f>
        <v>200</v>
      </c>
      <c r="EB20" s="490"/>
      <c r="EC20" s="490"/>
      <c r="ED20" s="490"/>
    </row>
    <row r="21" spans="10:134" s="488" customFormat="1" hidden="1" outlineLevel="1" x14ac:dyDescent="0.25">
      <c r="J21" s="731"/>
      <c r="N21" s="489" t="s">
        <v>200</v>
      </c>
      <c r="V21" s="488">
        <f>A83</f>
        <v>100</v>
      </c>
      <c r="W21" s="490"/>
      <c r="X21" s="490"/>
      <c r="Y21" s="490"/>
      <c r="Z21" s="490"/>
      <c r="AA21" s="490"/>
      <c r="AB21" s="490"/>
      <c r="AC21" s="490"/>
      <c r="AD21" s="490"/>
      <c r="AE21" s="490"/>
      <c r="AF21" s="490"/>
      <c r="AG21" s="490"/>
      <c r="AH21" s="490"/>
      <c r="AI21" s="491">
        <f>$V$21</f>
        <v>100</v>
      </c>
      <c r="AJ21" s="490"/>
      <c r="AK21" s="490"/>
      <c r="AL21" s="490"/>
      <c r="AM21" s="490"/>
      <c r="AN21" s="490"/>
      <c r="AO21" s="490"/>
      <c r="AP21" s="490"/>
      <c r="AQ21" s="490"/>
      <c r="AR21" s="490"/>
      <c r="AS21" s="490"/>
      <c r="AT21" s="490"/>
      <c r="AU21" s="491">
        <f>$V$21</f>
        <v>100</v>
      </c>
      <c r="AV21" s="490"/>
      <c r="AW21" s="490"/>
      <c r="AX21" s="490"/>
      <c r="AY21" s="490"/>
      <c r="AZ21" s="490"/>
      <c r="BA21" s="490"/>
      <c r="BB21" s="490"/>
      <c r="BC21" s="490"/>
      <c r="BD21" s="490"/>
      <c r="BE21" s="490"/>
      <c r="BF21" s="490"/>
      <c r="BG21" s="491">
        <f>$V$21</f>
        <v>100</v>
      </c>
      <c r="BH21" s="490"/>
      <c r="BI21" s="490"/>
      <c r="BJ21" s="490"/>
      <c r="BK21" s="490"/>
      <c r="BL21" s="490"/>
      <c r="BM21" s="490"/>
      <c r="BN21" s="490"/>
      <c r="BO21" s="490"/>
      <c r="BP21" s="490"/>
      <c r="BQ21" s="490"/>
      <c r="BR21" s="490"/>
      <c r="BS21" s="491">
        <f>$V$21</f>
        <v>100</v>
      </c>
      <c r="BT21" s="490"/>
      <c r="BU21" s="490"/>
      <c r="BV21" s="490"/>
      <c r="BW21" s="490"/>
      <c r="BX21" s="490"/>
      <c r="BY21" s="490"/>
      <c r="BZ21" s="490"/>
      <c r="CA21" s="490"/>
      <c r="CB21" s="490"/>
      <c r="CC21" s="490"/>
      <c r="CD21" s="490"/>
      <c r="CE21" s="491">
        <f>$V$21</f>
        <v>100</v>
      </c>
      <c r="CF21" s="490"/>
      <c r="CG21" s="490"/>
      <c r="CH21" s="490"/>
      <c r="CI21" s="490"/>
      <c r="CJ21" s="490"/>
      <c r="CK21" s="490"/>
      <c r="CL21" s="490"/>
      <c r="CM21" s="490"/>
      <c r="CN21" s="490"/>
      <c r="CO21" s="490"/>
      <c r="CP21" s="490"/>
      <c r="CQ21" s="491">
        <f>$V$21</f>
        <v>100</v>
      </c>
      <c r="CR21" s="490"/>
      <c r="CS21" s="490"/>
      <c r="CT21" s="490"/>
      <c r="CU21" s="490"/>
      <c r="CV21" s="490"/>
      <c r="CW21" s="490"/>
      <c r="CX21" s="490"/>
      <c r="CY21" s="490"/>
      <c r="CZ21" s="490"/>
      <c r="DA21" s="490"/>
      <c r="DB21" s="490"/>
      <c r="DC21" s="491">
        <f>$V$21</f>
        <v>100</v>
      </c>
      <c r="DD21" s="490"/>
      <c r="DE21" s="490"/>
      <c r="DF21" s="490"/>
      <c r="DG21" s="490"/>
      <c r="DH21" s="490"/>
      <c r="DI21" s="490"/>
      <c r="DJ21" s="490"/>
      <c r="DK21" s="490"/>
      <c r="DL21" s="490"/>
      <c r="DM21" s="490"/>
      <c r="DN21" s="490"/>
      <c r="DO21" s="491">
        <f>$V$21</f>
        <v>100</v>
      </c>
      <c r="DP21" s="490"/>
      <c r="DQ21" s="490"/>
      <c r="DR21" s="490"/>
      <c r="DS21" s="490"/>
      <c r="DT21" s="490"/>
      <c r="DU21" s="490"/>
      <c r="DV21" s="490"/>
      <c r="DW21" s="490"/>
      <c r="DX21" s="490"/>
      <c r="DY21" s="490"/>
      <c r="DZ21" s="490"/>
      <c r="EA21" s="491">
        <f>$V$21</f>
        <v>100</v>
      </c>
      <c r="EB21" s="490"/>
      <c r="EC21" s="490"/>
      <c r="ED21" s="490"/>
    </row>
    <row r="22" spans="10:134" s="488" customFormat="1" hidden="1" outlineLevel="1" x14ac:dyDescent="0.25">
      <c r="N22" s="489" t="s">
        <v>201</v>
      </c>
      <c r="V22" s="488">
        <f>V114*$A$82</f>
        <v>28</v>
      </c>
      <c r="W22" s="490"/>
      <c r="X22" s="490"/>
      <c r="Y22" s="490"/>
      <c r="Z22" s="490"/>
      <c r="AA22" s="490"/>
      <c r="AB22" s="490"/>
      <c r="AC22" s="490"/>
      <c r="AD22" s="490"/>
      <c r="AE22" s="490"/>
      <c r="AF22" s="490"/>
      <c r="AG22" s="490"/>
      <c r="AH22" s="490"/>
      <c r="AI22" s="491">
        <f>AI114*$A$82</f>
        <v>0</v>
      </c>
      <c r="AJ22" s="490"/>
      <c r="AK22" s="490"/>
      <c r="AL22" s="490"/>
      <c r="AM22" s="490"/>
      <c r="AN22" s="490"/>
      <c r="AO22" s="490"/>
      <c r="AP22" s="490"/>
      <c r="AQ22" s="490"/>
      <c r="AR22" s="490"/>
      <c r="AS22" s="490"/>
      <c r="AT22" s="490"/>
      <c r="AU22" s="491">
        <f>AU114*$A$82</f>
        <v>0</v>
      </c>
      <c r="AV22" s="490"/>
      <c r="AW22" s="490"/>
      <c r="AX22" s="490"/>
      <c r="AY22" s="490"/>
      <c r="AZ22" s="490"/>
      <c r="BA22" s="490"/>
      <c r="BB22" s="490"/>
      <c r="BC22" s="490"/>
      <c r="BD22" s="490"/>
      <c r="BE22" s="490"/>
      <c r="BF22" s="490"/>
      <c r="BG22" s="491">
        <f>BG114*$A$82</f>
        <v>0</v>
      </c>
      <c r="BH22" s="490"/>
      <c r="BI22" s="490"/>
      <c r="BJ22" s="490"/>
      <c r="BK22" s="490"/>
      <c r="BL22" s="490"/>
      <c r="BM22" s="490"/>
      <c r="BN22" s="490"/>
      <c r="BO22" s="490"/>
      <c r="BP22" s="490"/>
      <c r="BQ22" s="490"/>
      <c r="BR22" s="490"/>
      <c r="BS22" s="491">
        <f>BS114*$A$82</f>
        <v>0</v>
      </c>
      <c r="BT22" s="490"/>
      <c r="BU22" s="490"/>
      <c r="BV22" s="490"/>
      <c r="BW22" s="490"/>
      <c r="BX22" s="490"/>
      <c r="BY22" s="490"/>
      <c r="BZ22" s="490"/>
      <c r="CA22" s="490"/>
      <c r="CB22" s="490"/>
      <c r="CC22" s="490"/>
      <c r="CD22" s="490"/>
      <c r="CE22" s="491">
        <f>CE114*$A$82</f>
        <v>0</v>
      </c>
      <c r="CF22" s="490"/>
      <c r="CG22" s="490"/>
      <c r="CH22" s="490"/>
      <c r="CI22" s="490"/>
      <c r="CJ22" s="490"/>
      <c r="CK22" s="490"/>
      <c r="CL22" s="490"/>
      <c r="CM22" s="490"/>
      <c r="CN22" s="490"/>
      <c r="CO22" s="490"/>
      <c r="CP22" s="490"/>
      <c r="CQ22" s="491">
        <f>CQ114*$A$82</f>
        <v>0</v>
      </c>
      <c r="CR22" s="490"/>
      <c r="CS22" s="490"/>
      <c r="CT22" s="490"/>
      <c r="CU22" s="490"/>
      <c r="CV22" s="490"/>
      <c r="CW22" s="490"/>
      <c r="CX22" s="490"/>
      <c r="CY22" s="490"/>
      <c r="CZ22" s="490"/>
      <c r="DA22" s="490"/>
      <c r="DB22" s="490"/>
      <c r="DC22" s="491">
        <f>DC114*$A$82</f>
        <v>0</v>
      </c>
      <c r="DD22" s="490"/>
      <c r="DE22" s="490"/>
      <c r="DF22" s="490"/>
      <c r="DG22" s="490"/>
      <c r="DH22" s="490"/>
      <c r="DI22" s="490"/>
      <c r="DJ22" s="490"/>
      <c r="DK22" s="490"/>
      <c r="DL22" s="490"/>
      <c r="DM22" s="490"/>
      <c r="DN22" s="490"/>
      <c r="DO22" s="491">
        <f>DO114*$A$82</f>
        <v>0</v>
      </c>
      <c r="DP22" s="490"/>
      <c r="DQ22" s="490"/>
      <c r="DR22" s="490"/>
      <c r="DS22" s="490"/>
      <c r="DT22" s="490"/>
      <c r="DU22" s="490"/>
      <c r="DV22" s="490"/>
      <c r="DW22" s="490"/>
      <c r="DX22" s="490"/>
      <c r="DY22" s="490"/>
      <c r="DZ22" s="490"/>
      <c r="EA22" s="491">
        <f>EA114*$A$82</f>
        <v>0</v>
      </c>
      <c r="EB22" s="490"/>
      <c r="EC22" s="490"/>
      <c r="ED22" s="490"/>
    </row>
    <row r="23" spans="10:134" s="488" customFormat="1" hidden="1" outlineLevel="1" x14ac:dyDescent="0.25">
      <c r="N23" s="489" t="s">
        <v>202</v>
      </c>
      <c r="V23" s="488">
        <v>529</v>
      </c>
      <c r="W23" s="490"/>
      <c r="X23" s="490"/>
      <c r="Y23" s="490"/>
      <c r="Z23" s="490"/>
      <c r="AA23" s="490"/>
      <c r="AB23" s="490"/>
      <c r="AC23" s="490"/>
      <c r="AD23" s="490"/>
      <c r="AE23" s="490"/>
      <c r="AF23" s="490"/>
      <c r="AG23" s="490"/>
      <c r="AH23" s="490"/>
      <c r="AI23" s="491">
        <f>$V$23</f>
        <v>529</v>
      </c>
      <c r="AJ23" s="490"/>
      <c r="AK23" s="490"/>
      <c r="AL23" s="490"/>
      <c r="AM23" s="490"/>
      <c r="AN23" s="490"/>
      <c r="AO23" s="490"/>
      <c r="AP23" s="490"/>
      <c r="AQ23" s="490"/>
      <c r="AR23" s="490"/>
      <c r="AS23" s="490"/>
      <c r="AT23" s="490"/>
      <c r="AU23" s="491">
        <f>$V$23</f>
        <v>529</v>
      </c>
      <c r="AV23" s="490"/>
      <c r="AW23" s="490"/>
      <c r="AX23" s="490"/>
      <c r="AY23" s="490"/>
      <c r="AZ23" s="490"/>
      <c r="BA23" s="490"/>
      <c r="BB23" s="490"/>
      <c r="BC23" s="490"/>
      <c r="BD23" s="490"/>
      <c r="BE23" s="490"/>
      <c r="BF23" s="490"/>
      <c r="BG23" s="491">
        <f>$V$23</f>
        <v>529</v>
      </c>
      <c r="BH23" s="490"/>
      <c r="BI23" s="490"/>
      <c r="BJ23" s="490"/>
      <c r="BK23" s="490"/>
      <c r="BL23" s="490"/>
      <c r="BM23" s="490"/>
      <c r="BN23" s="490"/>
      <c r="BO23" s="490"/>
      <c r="BP23" s="490"/>
      <c r="BQ23" s="490"/>
      <c r="BR23" s="490"/>
      <c r="BS23" s="491">
        <f>$V$23</f>
        <v>529</v>
      </c>
      <c r="BT23" s="490"/>
      <c r="BU23" s="490"/>
      <c r="BV23" s="490"/>
      <c r="BW23" s="490"/>
      <c r="BX23" s="490"/>
      <c r="BY23" s="490"/>
      <c r="BZ23" s="490"/>
      <c r="CA23" s="490"/>
      <c r="CB23" s="490"/>
      <c r="CC23" s="490"/>
      <c r="CD23" s="490"/>
      <c r="CE23" s="491">
        <f>$V$23</f>
        <v>529</v>
      </c>
      <c r="CF23" s="490"/>
      <c r="CG23" s="490"/>
      <c r="CH23" s="490"/>
      <c r="CI23" s="490"/>
      <c r="CJ23" s="490"/>
      <c r="CK23" s="490"/>
      <c r="CL23" s="490"/>
      <c r="CM23" s="490"/>
      <c r="CN23" s="490"/>
      <c r="CO23" s="490"/>
      <c r="CP23" s="490"/>
      <c r="CQ23" s="491">
        <f>$V$23</f>
        <v>529</v>
      </c>
      <c r="CR23" s="490"/>
      <c r="CS23" s="490"/>
      <c r="CT23" s="490"/>
      <c r="CU23" s="490"/>
      <c r="CV23" s="490"/>
      <c r="CW23" s="490"/>
      <c r="CX23" s="490"/>
      <c r="CY23" s="490"/>
      <c r="CZ23" s="490"/>
      <c r="DA23" s="490"/>
      <c r="DB23" s="490"/>
      <c r="DC23" s="491">
        <f>$V$23</f>
        <v>529</v>
      </c>
      <c r="DD23" s="490"/>
      <c r="DE23" s="490"/>
      <c r="DF23" s="490"/>
      <c r="DG23" s="490"/>
      <c r="DH23" s="490"/>
      <c r="DI23" s="490"/>
      <c r="DJ23" s="490"/>
      <c r="DK23" s="490"/>
      <c r="DL23" s="490"/>
      <c r="DM23" s="490"/>
      <c r="DN23" s="490"/>
      <c r="DO23" s="491">
        <f>$V$23</f>
        <v>529</v>
      </c>
      <c r="DP23" s="490"/>
      <c r="DQ23" s="490"/>
      <c r="DR23" s="490"/>
      <c r="DS23" s="490"/>
      <c r="DT23" s="490"/>
      <c r="DU23" s="490"/>
      <c r="DV23" s="490"/>
      <c r="DW23" s="490"/>
      <c r="DX23" s="490"/>
      <c r="DY23" s="490"/>
      <c r="DZ23" s="490"/>
      <c r="EA23" s="491">
        <f>$V$23</f>
        <v>529</v>
      </c>
      <c r="EB23" s="490"/>
      <c r="EC23" s="490"/>
      <c r="ED23" s="490"/>
    </row>
    <row r="24" spans="10:134" s="488" customFormat="1" hidden="1" outlineLevel="1" x14ac:dyDescent="0.25">
      <c r="J24" s="488">
        <v>266</v>
      </c>
      <c r="N24" s="489" t="s">
        <v>203</v>
      </c>
      <c r="V24" s="488">
        <f>A81</f>
        <v>400</v>
      </c>
      <c r="W24" s="490"/>
      <c r="X24" s="490"/>
      <c r="Y24" s="490"/>
      <c r="Z24" s="490"/>
      <c r="AA24" s="490"/>
      <c r="AB24" s="490"/>
      <c r="AC24" s="490"/>
      <c r="AD24" s="490"/>
      <c r="AE24" s="490"/>
      <c r="AF24" s="490"/>
      <c r="AG24" s="490"/>
      <c r="AH24" s="490"/>
      <c r="AI24" s="491">
        <f>$V$24</f>
        <v>400</v>
      </c>
      <c r="AJ24" s="490"/>
      <c r="AK24" s="490"/>
      <c r="AL24" s="490"/>
      <c r="AM24" s="490"/>
      <c r="AN24" s="490"/>
      <c r="AO24" s="490"/>
      <c r="AP24" s="490"/>
      <c r="AQ24" s="490"/>
      <c r="AR24" s="490"/>
      <c r="AS24" s="490"/>
      <c r="AT24" s="490"/>
      <c r="AU24" s="491">
        <f>$V$24</f>
        <v>400</v>
      </c>
      <c r="AV24" s="490"/>
      <c r="AW24" s="490"/>
      <c r="AX24" s="490"/>
      <c r="AY24" s="490"/>
      <c r="AZ24" s="490"/>
      <c r="BA24" s="490"/>
      <c r="BB24" s="490"/>
      <c r="BC24" s="490"/>
      <c r="BD24" s="490"/>
      <c r="BE24" s="490"/>
      <c r="BF24" s="490"/>
      <c r="BG24" s="491">
        <f>$V$24</f>
        <v>400</v>
      </c>
      <c r="BH24" s="490"/>
      <c r="BI24" s="490"/>
      <c r="BJ24" s="490"/>
      <c r="BK24" s="490"/>
      <c r="BL24" s="490"/>
      <c r="BM24" s="490"/>
      <c r="BN24" s="490"/>
      <c r="BO24" s="490"/>
      <c r="BP24" s="490"/>
      <c r="BQ24" s="490"/>
      <c r="BR24" s="490"/>
      <c r="BS24" s="491">
        <f>$V$24</f>
        <v>400</v>
      </c>
      <c r="BT24" s="490"/>
      <c r="BU24" s="490"/>
      <c r="BV24" s="490"/>
      <c r="BW24" s="490"/>
      <c r="BX24" s="490"/>
      <c r="BY24" s="490"/>
      <c r="BZ24" s="490"/>
      <c r="CA24" s="490"/>
      <c r="CB24" s="490"/>
      <c r="CC24" s="490"/>
      <c r="CD24" s="490"/>
      <c r="CE24" s="491">
        <f>$V$24</f>
        <v>400</v>
      </c>
      <c r="CF24" s="490"/>
      <c r="CG24" s="490"/>
      <c r="CH24" s="490"/>
      <c r="CI24" s="490"/>
      <c r="CJ24" s="490"/>
      <c r="CK24" s="490"/>
      <c r="CL24" s="490"/>
      <c r="CM24" s="490"/>
      <c r="CN24" s="490"/>
      <c r="CO24" s="490"/>
      <c r="CP24" s="490"/>
      <c r="CQ24" s="491">
        <f>$V$24</f>
        <v>400</v>
      </c>
      <c r="CR24" s="490"/>
      <c r="CS24" s="490"/>
      <c r="CT24" s="490"/>
      <c r="CU24" s="490"/>
      <c r="CV24" s="490"/>
      <c r="CW24" s="490"/>
      <c r="CX24" s="490"/>
      <c r="CY24" s="490"/>
      <c r="CZ24" s="490"/>
      <c r="DA24" s="490"/>
      <c r="DB24" s="490"/>
      <c r="DC24" s="491">
        <f>$V$24</f>
        <v>400</v>
      </c>
      <c r="DD24" s="490"/>
      <c r="DE24" s="490"/>
      <c r="DF24" s="490"/>
      <c r="DG24" s="490"/>
      <c r="DH24" s="490"/>
      <c r="DI24" s="490"/>
      <c r="DJ24" s="490"/>
      <c r="DK24" s="490"/>
      <c r="DL24" s="490"/>
      <c r="DM24" s="490"/>
      <c r="DN24" s="490"/>
      <c r="DO24" s="491">
        <f>$V$24</f>
        <v>400</v>
      </c>
      <c r="DP24" s="490"/>
      <c r="DQ24" s="490"/>
      <c r="DR24" s="490"/>
      <c r="DS24" s="490"/>
      <c r="DT24" s="490"/>
      <c r="DU24" s="490"/>
      <c r="DV24" s="490"/>
      <c r="DW24" s="490"/>
      <c r="DX24" s="490"/>
      <c r="DY24" s="490"/>
      <c r="DZ24" s="490"/>
      <c r="EA24" s="491">
        <f>$V$24</f>
        <v>400</v>
      </c>
      <c r="EB24" s="490"/>
      <c r="EC24" s="490"/>
      <c r="ED24" s="490"/>
    </row>
    <row r="25" spans="10:134" s="63" customFormat="1" hidden="1" outlineLevel="1" x14ac:dyDescent="0.25">
      <c r="N25" s="481" t="s">
        <v>204</v>
      </c>
      <c r="V25" s="63">
        <v>4213</v>
      </c>
      <c r="W25" s="364"/>
      <c r="X25" s="364"/>
      <c r="Y25" s="364"/>
      <c r="Z25" s="364"/>
      <c r="AA25" s="364"/>
      <c r="AB25" s="364"/>
      <c r="AC25" s="364"/>
      <c r="AD25" s="364"/>
      <c r="AE25" s="364"/>
      <c r="AF25" s="364"/>
      <c r="AG25" s="364"/>
      <c r="AH25" s="364"/>
      <c r="AI25" s="482"/>
      <c r="AJ25" s="364"/>
      <c r="AK25" s="364"/>
      <c r="AL25" s="364"/>
      <c r="AM25" s="364"/>
      <c r="AN25" s="364"/>
      <c r="AO25" s="364"/>
      <c r="AP25" s="364"/>
      <c r="AQ25" s="364"/>
      <c r="AR25" s="364"/>
      <c r="AS25" s="364"/>
      <c r="AT25" s="364"/>
      <c r="AU25" s="482"/>
      <c r="AV25" s="364"/>
      <c r="AW25" s="364"/>
      <c r="AX25" s="364"/>
      <c r="AY25" s="364"/>
      <c r="AZ25" s="364"/>
      <c r="BA25" s="364"/>
      <c r="BB25" s="364"/>
      <c r="BC25" s="364"/>
      <c r="BD25" s="364"/>
      <c r="BE25" s="364"/>
      <c r="BF25" s="364"/>
      <c r="BG25" s="482"/>
      <c r="BH25" s="364"/>
      <c r="BI25" s="364"/>
      <c r="BJ25" s="364"/>
      <c r="BK25" s="364"/>
      <c r="BL25" s="364"/>
      <c r="BM25" s="364"/>
      <c r="BN25" s="364"/>
      <c r="BO25" s="364"/>
      <c r="BP25" s="364"/>
      <c r="BQ25" s="364"/>
      <c r="BR25" s="364"/>
      <c r="BS25" s="482"/>
      <c r="BT25" s="364"/>
      <c r="BU25" s="364"/>
      <c r="BV25" s="364"/>
      <c r="BW25" s="364"/>
      <c r="BX25" s="364"/>
      <c r="BY25" s="364"/>
      <c r="BZ25" s="364"/>
      <c r="CA25" s="364"/>
      <c r="CB25" s="364"/>
      <c r="CC25" s="364"/>
      <c r="CD25" s="364"/>
      <c r="CE25" s="482"/>
      <c r="CF25" s="364"/>
      <c r="CG25" s="364"/>
      <c r="CH25" s="364"/>
      <c r="CI25" s="364"/>
      <c r="CJ25" s="364"/>
      <c r="CK25" s="364"/>
      <c r="CL25" s="364"/>
      <c r="CM25" s="364"/>
      <c r="CN25" s="364"/>
      <c r="CO25" s="364"/>
      <c r="CP25" s="364"/>
      <c r="CQ25" s="482"/>
      <c r="CR25" s="364"/>
      <c r="CS25" s="364"/>
      <c r="CT25" s="364"/>
      <c r="CU25" s="364"/>
      <c r="CV25" s="364"/>
      <c r="CW25" s="364"/>
      <c r="CX25" s="364"/>
      <c r="CY25" s="364"/>
      <c r="CZ25" s="364"/>
      <c r="DA25" s="364"/>
      <c r="DB25" s="364"/>
      <c r="DC25" s="482"/>
      <c r="DD25" s="364"/>
      <c r="DE25" s="364"/>
      <c r="DF25" s="364"/>
      <c r="DG25" s="364"/>
      <c r="DH25" s="364"/>
      <c r="DI25" s="364"/>
      <c r="DJ25" s="364"/>
      <c r="DK25" s="364"/>
      <c r="DL25" s="364"/>
      <c r="DM25" s="364"/>
      <c r="DN25" s="364"/>
      <c r="DO25" s="482"/>
      <c r="DP25" s="364"/>
      <c r="DQ25" s="364"/>
      <c r="DR25" s="364"/>
      <c r="DS25" s="364"/>
      <c r="DT25" s="364"/>
      <c r="DU25" s="364"/>
      <c r="DV25" s="364"/>
      <c r="DW25" s="364"/>
      <c r="DX25" s="364"/>
      <c r="DY25" s="364"/>
      <c r="DZ25" s="364"/>
      <c r="EA25" s="482"/>
      <c r="EB25" s="364"/>
      <c r="EC25" s="364"/>
      <c r="ED25" s="364"/>
    </row>
    <row r="26" spans="10:134" s="63" customFormat="1" hidden="1" outlineLevel="1" x14ac:dyDescent="0.25">
      <c r="N26" s="481" t="s">
        <v>205</v>
      </c>
      <c r="V26" s="483">
        <f>$A$85*SUM(V9,V14)</f>
        <v>4213</v>
      </c>
      <c r="W26" s="364"/>
      <c r="X26" s="364"/>
      <c r="Y26" s="364"/>
      <c r="Z26" s="364"/>
      <c r="AA26" s="364"/>
      <c r="AB26" s="364"/>
      <c r="AC26" s="364"/>
      <c r="AD26" s="364"/>
      <c r="AE26" s="364"/>
      <c r="AF26" s="364"/>
      <c r="AG26" s="364"/>
      <c r="AH26" s="364"/>
      <c r="AI26" s="484">
        <f>$A$85*SUM(AI9,AI14)</f>
        <v>1872.4444444444443</v>
      </c>
      <c r="AJ26" s="364"/>
      <c r="AK26" s="364"/>
      <c r="AL26" s="364"/>
      <c r="AM26" s="364"/>
      <c r="AN26" s="364"/>
      <c r="AO26" s="364"/>
      <c r="AP26" s="364"/>
      <c r="AQ26" s="364"/>
      <c r="AR26" s="364"/>
      <c r="AS26" s="364"/>
      <c r="AT26" s="364"/>
      <c r="AU26" s="484">
        <f>$A$85*SUM(AU9,AU14)</f>
        <v>1872.4444444444443</v>
      </c>
      <c r="AV26" s="364"/>
      <c r="AW26" s="364"/>
      <c r="AX26" s="364"/>
      <c r="AY26" s="364"/>
      <c r="AZ26" s="364"/>
      <c r="BA26" s="364"/>
      <c r="BB26" s="364"/>
      <c r="BC26" s="364"/>
      <c r="BD26" s="364"/>
      <c r="BE26" s="364"/>
      <c r="BF26" s="364"/>
      <c r="BG26" s="484">
        <f>$A$85*SUM(BG9,BG14)</f>
        <v>2340.5555555555557</v>
      </c>
      <c r="BH26" s="364"/>
      <c r="BI26" s="364"/>
      <c r="BJ26" s="364"/>
      <c r="BK26" s="364"/>
      <c r="BL26" s="364"/>
      <c r="BM26" s="364"/>
      <c r="BN26" s="364"/>
      <c r="BO26" s="364"/>
      <c r="BP26" s="364"/>
      <c r="BQ26" s="364"/>
      <c r="BR26" s="364"/>
      <c r="BS26" s="484">
        <f>$A$85*SUM(BS9,BS14)</f>
        <v>2574.6111111111109</v>
      </c>
      <c r="BT26" s="364"/>
      <c r="BU26" s="364"/>
      <c r="BV26" s="364"/>
      <c r="BW26" s="364"/>
      <c r="BX26" s="364"/>
      <c r="BY26" s="364"/>
      <c r="BZ26" s="364"/>
      <c r="CA26" s="364"/>
      <c r="CB26" s="364"/>
      <c r="CC26" s="364"/>
      <c r="CD26" s="364"/>
      <c r="CE26" s="484">
        <f>$A$85*SUM(CE9,CE14)</f>
        <v>2808.6666666666665</v>
      </c>
      <c r="CF26" s="364"/>
      <c r="CG26" s="364"/>
      <c r="CH26" s="364"/>
      <c r="CI26" s="364"/>
      <c r="CJ26" s="364"/>
      <c r="CK26" s="364"/>
      <c r="CL26" s="364"/>
      <c r="CM26" s="364"/>
      <c r="CN26" s="364"/>
      <c r="CO26" s="364"/>
      <c r="CP26" s="364"/>
      <c r="CQ26" s="484">
        <f>$A$85*SUM(CQ9,CQ14)</f>
        <v>3042.7222222222222</v>
      </c>
      <c r="CR26" s="364"/>
      <c r="CS26" s="364"/>
      <c r="CT26" s="364"/>
      <c r="CU26" s="364"/>
      <c r="CV26" s="364"/>
      <c r="CW26" s="364"/>
      <c r="CX26" s="364"/>
      <c r="CY26" s="364"/>
      <c r="CZ26" s="364"/>
      <c r="DA26" s="364"/>
      <c r="DB26" s="364"/>
      <c r="DC26" s="484">
        <f>$A$85*SUM(DC9,DC14)</f>
        <v>3510.833333333333</v>
      </c>
      <c r="DD26" s="364"/>
      <c r="DE26" s="364"/>
      <c r="DF26" s="364"/>
      <c r="DG26" s="364"/>
      <c r="DH26" s="364"/>
      <c r="DI26" s="364"/>
      <c r="DJ26" s="364"/>
      <c r="DK26" s="364"/>
      <c r="DL26" s="364"/>
      <c r="DM26" s="364"/>
      <c r="DN26" s="364"/>
      <c r="DO26" s="484">
        <f>$A$85*SUM(DO9,DO14)</f>
        <v>3510.833333333333</v>
      </c>
      <c r="DP26" s="364"/>
      <c r="DQ26" s="364"/>
      <c r="DR26" s="364"/>
      <c r="DS26" s="364"/>
      <c r="DT26" s="364"/>
      <c r="DU26" s="364"/>
      <c r="DV26" s="364"/>
      <c r="DW26" s="364"/>
      <c r="DX26" s="364"/>
      <c r="DY26" s="364"/>
      <c r="DZ26" s="364"/>
      <c r="EA26" s="484">
        <f>$A$85*SUM(EA9,EA14)</f>
        <v>3978.9444444444443</v>
      </c>
      <c r="EB26" s="364"/>
      <c r="EC26" s="364"/>
      <c r="ED26" s="364"/>
    </row>
    <row r="27" spans="10:134" s="40" customFormat="1" hidden="1" outlineLevel="1" x14ac:dyDescent="0.25">
      <c r="N27" s="93" t="s">
        <v>206</v>
      </c>
      <c r="V27" s="40">
        <f>SUM(V13,V15,V16:V24)</f>
        <v>4581</v>
      </c>
      <c r="W27"/>
      <c r="X27"/>
      <c r="Y27"/>
      <c r="Z27"/>
      <c r="AA27"/>
      <c r="AB27"/>
      <c r="AC27"/>
      <c r="AD27"/>
      <c r="AE27"/>
      <c r="AF27"/>
      <c r="AG27"/>
      <c r="AH27"/>
      <c r="AI27" s="201">
        <f>SUM(AI13,AI15,AI16:AI24)</f>
        <v>3329</v>
      </c>
      <c r="AJ27"/>
      <c r="AK27"/>
      <c r="AL27"/>
      <c r="AM27"/>
      <c r="AN27"/>
      <c r="AO27"/>
      <c r="AP27"/>
      <c r="AQ27"/>
      <c r="AR27"/>
      <c r="AS27"/>
      <c r="AT27"/>
      <c r="AU27" s="201">
        <f>SUM(AU13,AU15,AU16:AU24)</f>
        <v>3409</v>
      </c>
      <c r="AV27"/>
      <c r="AW27"/>
      <c r="AX27"/>
      <c r="AY27"/>
      <c r="AZ27"/>
      <c r="BA27"/>
      <c r="BB27"/>
      <c r="BC27"/>
      <c r="BD27"/>
      <c r="BE27"/>
      <c r="BF27"/>
      <c r="BG27" s="201">
        <f>SUM(BG13,BG15,BG16:BG24)</f>
        <v>3813</v>
      </c>
      <c r="BH27"/>
      <c r="BI27"/>
      <c r="BJ27"/>
      <c r="BK27"/>
      <c r="BL27"/>
      <c r="BM27"/>
      <c r="BN27"/>
      <c r="BO27"/>
      <c r="BP27"/>
      <c r="BQ27"/>
      <c r="BR27"/>
      <c r="BS27" s="201">
        <f>SUM(BS13,BS15,BS16:BS24)</f>
        <v>3975.5</v>
      </c>
      <c r="BT27"/>
      <c r="BU27"/>
      <c r="BV27"/>
      <c r="BW27"/>
      <c r="BX27"/>
      <c r="BY27"/>
      <c r="BZ27"/>
      <c r="CA27"/>
      <c r="CB27"/>
      <c r="CC27"/>
      <c r="CD27"/>
      <c r="CE27" s="201">
        <f>SUM(CE13,CE15,CE16:CE24)</f>
        <v>4218</v>
      </c>
      <c r="CF27"/>
      <c r="CG27"/>
      <c r="CH27"/>
      <c r="CI27"/>
      <c r="CJ27"/>
      <c r="CK27"/>
      <c r="CL27"/>
      <c r="CM27"/>
      <c r="CN27"/>
      <c r="CO27"/>
      <c r="CP27"/>
      <c r="CQ27" s="201">
        <f>SUM(CQ13,CQ15,CQ16:CQ24)</f>
        <v>4380.5</v>
      </c>
      <c r="CR27"/>
      <c r="CS27"/>
      <c r="CT27"/>
      <c r="CU27"/>
      <c r="CV27"/>
      <c r="CW27"/>
      <c r="CX27"/>
      <c r="CY27"/>
      <c r="CZ27"/>
      <c r="DA27"/>
      <c r="DB27"/>
      <c r="DC27" s="201">
        <f>SUM(DC13,DC15,DC16:DC24)</f>
        <v>4864.5</v>
      </c>
      <c r="DD27"/>
      <c r="DE27"/>
      <c r="DF27"/>
      <c r="DG27"/>
      <c r="DH27"/>
      <c r="DI27"/>
      <c r="DJ27"/>
      <c r="DK27"/>
      <c r="DL27"/>
      <c r="DM27"/>
      <c r="DN27"/>
      <c r="DO27" s="201">
        <f>SUM(DO13,DO15,DO16:DO24)</f>
        <v>4944.5</v>
      </c>
      <c r="DP27"/>
      <c r="DQ27"/>
      <c r="DR27"/>
      <c r="DS27"/>
      <c r="DT27"/>
      <c r="DU27"/>
      <c r="DV27"/>
      <c r="DW27"/>
      <c r="DX27"/>
      <c r="DY27"/>
      <c r="DZ27"/>
      <c r="EA27" s="201">
        <f>SUM(EA13,EA15,EA16:EA24)</f>
        <v>5428.5</v>
      </c>
      <c r="EB27"/>
      <c r="EC27"/>
      <c r="ED27"/>
    </row>
    <row r="28" spans="10:134" s="40" customFormat="1" hidden="1" outlineLevel="1" x14ac:dyDescent="0.25">
      <c r="N28" s="93" t="s">
        <v>207</v>
      </c>
      <c r="V28" s="7">
        <f>SUM(V26:V27)</f>
        <v>8794</v>
      </c>
      <c r="W28"/>
      <c r="X28"/>
      <c r="Y28"/>
      <c r="Z28"/>
      <c r="AA28"/>
      <c r="AB28"/>
      <c r="AC28"/>
      <c r="AD28"/>
      <c r="AE28"/>
      <c r="AF28"/>
      <c r="AG28"/>
      <c r="AH28"/>
      <c r="AI28" s="388">
        <f>SUM(AI26:AI27)</f>
        <v>5201.4444444444443</v>
      </c>
      <c r="AJ28"/>
      <c r="AK28"/>
      <c r="AL28"/>
      <c r="AM28"/>
      <c r="AN28"/>
      <c r="AO28"/>
      <c r="AP28"/>
      <c r="AQ28"/>
      <c r="AR28"/>
      <c r="AS28"/>
      <c r="AT28"/>
      <c r="AU28" s="388">
        <f>SUM(AU26:AU27)</f>
        <v>5281.4444444444443</v>
      </c>
      <c r="AV28"/>
      <c r="AW28"/>
      <c r="AX28"/>
      <c r="AY28"/>
      <c r="AZ28"/>
      <c r="BA28"/>
      <c r="BB28"/>
      <c r="BC28"/>
      <c r="BD28"/>
      <c r="BE28"/>
      <c r="BF28"/>
      <c r="BG28" s="388">
        <f>SUM(BG26:BG27)</f>
        <v>6153.5555555555557</v>
      </c>
      <c r="BH28"/>
      <c r="BI28"/>
      <c r="BJ28"/>
      <c r="BK28"/>
      <c r="BL28"/>
      <c r="BM28"/>
      <c r="BN28"/>
      <c r="BO28"/>
      <c r="BP28"/>
      <c r="BQ28"/>
      <c r="BR28"/>
      <c r="BS28" s="388">
        <f>SUM(BS26:BS27)</f>
        <v>6550.1111111111113</v>
      </c>
      <c r="BT28"/>
      <c r="BU28"/>
      <c r="BV28"/>
      <c r="BW28"/>
      <c r="BX28"/>
      <c r="BY28"/>
      <c r="BZ28"/>
      <c r="CA28"/>
      <c r="CB28"/>
      <c r="CC28"/>
      <c r="CD28"/>
      <c r="CE28" s="388">
        <f>SUM(CE26:CE27)</f>
        <v>7026.6666666666661</v>
      </c>
      <c r="CF28"/>
      <c r="CG28"/>
      <c r="CH28"/>
      <c r="CI28"/>
      <c r="CJ28"/>
      <c r="CK28"/>
      <c r="CL28"/>
      <c r="CM28"/>
      <c r="CN28"/>
      <c r="CO28"/>
      <c r="CP28"/>
      <c r="CQ28" s="388">
        <f>SUM(CQ26:CQ27)</f>
        <v>7423.2222222222226</v>
      </c>
      <c r="CR28"/>
      <c r="CS28"/>
      <c r="CT28"/>
      <c r="CU28"/>
      <c r="CV28"/>
      <c r="CW28"/>
      <c r="CX28"/>
      <c r="CY28"/>
      <c r="CZ28"/>
      <c r="DA28"/>
      <c r="DB28"/>
      <c r="DC28" s="388">
        <f>SUM(DC26:DC27)</f>
        <v>8375.3333333333321</v>
      </c>
      <c r="DD28"/>
      <c r="DE28"/>
      <c r="DF28"/>
      <c r="DG28"/>
      <c r="DH28"/>
      <c r="DI28"/>
      <c r="DJ28"/>
      <c r="DK28"/>
      <c r="DL28"/>
      <c r="DM28"/>
      <c r="DN28"/>
      <c r="DO28" s="388">
        <f>SUM(DO26:DO27)</f>
        <v>8455.3333333333321</v>
      </c>
      <c r="DP28"/>
      <c r="DQ28"/>
      <c r="DR28"/>
      <c r="DS28"/>
      <c r="DT28"/>
      <c r="DU28"/>
      <c r="DV28"/>
      <c r="DW28"/>
      <c r="DX28"/>
      <c r="DY28"/>
      <c r="DZ28"/>
      <c r="EA28" s="388">
        <f>SUM(EA26:EA27)</f>
        <v>9407.4444444444453</v>
      </c>
      <c r="EB28"/>
      <c r="EC28"/>
      <c r="ED28"/>
    </row>
    <row r="29" spans="10:134" s="40" customFormat="1" hidden="1" outlineLevel="1" x14ac:dyDescent="0.25">
      <c r="N29" s="93"/>
      <c r="W29"/>
      <c r="X29"/>
      <c r="Y29"/>
      <c r="Z29"/>
      <c r="AA29"/>
      <c r="AB29"/>
      <c r="AC29"/>
      <c r="AD29"/>
      <c r="AE29"/>
      <c r="AF29"/>
      <c r="AG29"/>
      <c r="AH29"/>
      <c r="AI29" s="201"/>
      <c r="AJ29"/>
      <c r="AK29"/>
      <c r="AL29"/>
      <c r="AM29"/>
      <c r="AN29"/>
      <c r="AO29"/>
      <c r="AP29"/>
      <c r="AQ29"/>
      <c r="AR29"/>
      <c r="AS29"/>
      <c r="AT29"/>
      <c r="AU29" s="201"/>
      <c r="AV29"/>
      <c r="AW29"/>
      <c r="AX29"/>
      <c r="AY29"/>
      <c r="AZ29"/>
      <c r="BA29"/>
      <c r="BB29"/>
      <c r="BC29"/>
      <c r="BD29"/>
      <c r="BE29"/>
      <c r="BF29"/>
      <c r="BG29" s="201"/>
      <c r="BH29"/>
      <c r="BI29"/>
      <c r="BJ29"/>
      <c r="BK29"/>
      <c r="BL29"/>
      <c r="BM29"/>
      <c r="BN29"/>
      <c r="BO29"/>
      <c r="BP29"/>
      <c r="BQ29"/>
      <c r="BR29"/>
      <c r="BS29" s="201"/>
      <c r="BT29"/>
      <c r="BU29"/>
      <c r="BV29"/>
      <c r="BW29"/>
      <c r="BX29"/>
      <c r="BY29"/>
      <c r="BZ29"/>
      <c r="CA29"/>
      <c r="CB29"/>
      <c r="CC29"/>
      <c r="CD29"/>
      <c r="CE29" s="201"/>
      <c r="CF29"/>
      <c r="CG29"/>
      <c r="CH29"/>
      <c r="CI29"/>
      <c r="CJ29"/>
      <c r="CK29"/>
      <c r="CL29"/>
      <c r="CM29"/>
      <c r="CN29"/>
      <c r="CO29"/>
      <c r="CP29"/>
      <c r="CQ29" s="201"/>
      <c r="CR29"/>
      <c r="CS29"/>
      <c r="CT29"/>
      <c r="CU29"/>
      <c r="CV29"/>
      <c r="CW29"/>
      <c r="CX29"/>
      <c r="CY29"/>
      <c r="CZ29"/>
      <c r="DA29"/>
      <c r="DB29"/>
      <c r="DC29" s="201"/>
      <c r="DD29"/>
      <c r="DE29"/>
      <c r="DF29"/>
      <c r="DG29"/>
      <c r="DH29"/>
      <c r="DI29"/>
      <c r="DJ29"/>
      <c r="DK29"/>
      <c r="DL29"/>
      <c r="DM29"/>
      <c r="DN29"/>
      <c r="DO29" s="201"/>
      <c r="DP29"/>
      <c r="DQ29"/>
      <c r="DR29"/>
      <c r="DS29"/>
      <c r="DT29"/>
      <c r="DU29"/>
      <c r="DV29"/>
      <c r="DW29"/>
      <c r="DX29"/>
      <c r="DY29"/>
      <c r="DZ29"/>
      <c r="EA29" s="201"/>
      <c r="EB29"/>
      <c r="EC29"/>
      <c r="ED29"/>
    </row>
    <row r="30" spans="10:134" s="40" customFormat="1" hidden="1" outlineLevel="1" x14ac:dyDescent="0.25">
      <c r="N30" s="93" t="s">
        <v>208</v>
      </c>
      <c r="V30" s="203">
        <v>217</v>
      </c>
      <c r="W30"/>
      <c r="X30"/>
      <c r="Y30"/>
      <c r="Z30"/>
      <c r="AA30"/>
      <c r="AB30"/>
      <c r="AC30"/>
      <c r="AD30"/>
      <c r="AE30"/>
      <c r="AF30"/>
      <c r="AG30"/>
      <c r="AH30"/>
      <c r="AI30" s="202">
        <f>V30*B35+V30</f>
        <v>234.36</v>
      </c>
      <c r="AJ30"/>
      <c r="AK30"/>
      <c r="AL30"/>
      <c r="AM30"/>
      <c r="AN30"/>
      <c r="AO30"/>
      <c r="AP30"/>
      <c r="AQ30"/>
      <c r="AR30"/>
      <c r="AS30"/>
      <c r="AT30"/>
      <c r="AU30" s="202">
        <f>AI30*B36+AI30</f>
        <v>253.10880000000003</v>
      </c>
      <c r="AV30"/>
      <c r="AW30"/>
      <c r="AX30"/>
      <c r="AY30"/>
      <c r="AZ30"/>
      <c r="BA30"/>
      <c r="BB30"/>
      <c r="BC30"/>
      <c r="BD30"/>
      <c r="BE30"/>
      <c r="BF30"/>
      <c r="BG30" s="202">
        <f>AU30*B37+AU30</f>
        <v>273.35750400000006</v>
      </c>
      <c r="BH30"/>
      <c r="BI30"/>
      <c r="BJ30"/>
      <c r="BK30"/>
      <c r="BL30"/>
      <c r="BM30"/>
      <c r="BN30"/>
      <c r="BO30"/>
      <c r="BP30"/>
      <c r="BQ30"/>
      <c r="BR30"/>
      <c r="BS30" s="202">
        <f>BG30*B38+BG30</f>
        <v>295.22610432000005</v>
      </c>
      <c r="BT30"/>
      <c r="BU30"/>
      <c r="BV30"/>
      <c r="BW30"/>
      <c r="BX30"/>
      <c r="BY30"/>
      <c r="BZ30"/>
      <c r="CA30"/>
      <c r="CB30"/>
      <c r="CC30"/>
      <c r="CD30"/>
      <c r="CE30" s="202">
        <f>BS30*B39+BS30</f>
        <v>318.84419266560008</v>
      </c>
      <c r="CF30"/>
      <c r="CG30"/>
      <c r="CH30"/>
      <c r="CI30"/>
      <c r="CJ30"/>
      <c r="CK30"/>
      <c r="CL30"/>
      <c r="CM30"/>
      <c r="CN30"/>
      <c r="CO30"/>
      <c r="CP30"/>
      <c r="CQ30" s="202">
        <f>CE30*B40+CE30</f>
        <v>344.35172807884805</v>
      </c>
      <c r="CR30"/>
      <c r="CS30"/>
      <c r="CT30"/>
      <c r="CU30"/>
      <c r="CV30"/>
      <c r="CW30"/>
      <c r="CX30"/>
      <c r="CY30"/>
      <c r="CZ30"/>
      <c r="DA30"/>
      <c r="DB30"/>
      <c r="DC30" s="202">
        <f>CQ30*B41+CQ30</f>
        <v>371.89986632515593</v>
      </c>
      <c r="DD30"/>
      <c r="DE30"/>
      <c r="DF30"/>
      <c r="DG30"/>
      <c r="DH30"/>
      <c r="DI30"/>
      <c r="DJ30"/>
      <c r="DK30"/>
      <c r="DL30"/>
      <c r="DM30"/>
      <c r="DN30"/>
      <c r="DO30" s="202">
        <f>DC30*B42+DC30</f>
        <v>401.65185563116842</v>
      </c>
      <c r="DP30"/>
      <c r="DQ30"/>
      <c r="DR30"/>
      <c r="DS30"/>
      <c r="DT30"/>
      <c r="DU30"/>
      <c r="DV30"/>
      <c r="DW30"/>
      <c r="DX30"/>
      <c r="DY30"/>
      <c r="DZ30"/>
      <c r="EA30" s="202">
        <f>DO30*B43+DO30</f>
        <v>433.78400408166192</v>
      </c>
      <c r="EB30"/>
      <c r="EC30"/>
      <c r="ED30"/>
    </row>
    <row r="31" spans="10:134" s="40" customFormat="1" hidden="1" outlineLevel="1" x14ac:dyDescent="0.25">
      <c r="N31" s="93" t="s">
        <v>209</v>
      </c>
      <c r="V31" s="203">
        <v>184</v>
      </c>
      <c r="W31"/>
      <c r="X31"/>
      <c r="Y31"/>
      <c r="Z31"/>
      <c r="AA31"/>
      <c r="AB31"/>
      <c r="AC31"/>
      <c r="AD31"/>
      <c r="AE31"/>
      <c r="AF31"/>
      <c r="AG31"/>
      <c r="AH31"/>
      <c r="AI31" s="202">
        <f>V31*B49+V31</f>
        <v>212.52</v>
      </c>
      <c r="AJ31"/>
      <c r="AK31"/>
      <c r="AL31"/>
      <c r="AM31"/>
      <c r="AN31"/>
      <c r="AO31"/>
      <c r="AP31"/>
      <c r="AQ31"/>
      <c r="AR31"/>
      <c r="AS31"/>
      <c r="AT31"/>
      <c r="AU31" s="202">
        <f>AI31*B50+AI31</f>
        <v>260.12448000000001</v>
      </c>
      <c r="AV31"/>
      <c r="AW31"/>
      <c r="AX31"/>
      <c r="AY31"/>
      <c r="AZ31"/>
      <c r="BA31"/>
      <c r="BB31"/>
      <c r="BC31"/>
      <c r="BD31"/>
      <c r="BE31"/>
      <c r="BF31"/>
      <c r="BG31" s="202">
        <f>AU31*B51+AU31</f>
        <v>316.31136767999999</v>
      </c>
      <c r="BH31"/>
      <c r="BI31"/>
      <c r="BJ31"/>
      <c r="BK31"/>
      <c r="BL31"/>
      <c r="BM31"/>
      <c r="BN31"/>
      <c r="BO31"/>
      <c r="BP31"/>
      <c r="BQ31"/>
      <c r="BR31"/>
      <c r="BS31" s="202">
        <f>BG31*B52+BG31</f>
        <v>379.573641216</v>
      </c>
      <c r="BT31"/>
      <c r="BU31"/>
      <c r="BV31"/>
      <c r="BW31"/>
      <c r="BX31"/>
      <c r="BY31"/>
      <c r="BZ31"/>
      <c r="CA31"/>
      <c r="CB31"/>
      <c r="CC31"/>
      <c r="CD31"/>
      <c r="CE31" s="202">
        <f>BS31*B53+BS31</f>
        <v>455.48836945919999</v>
      </c>
      <c r="CF31"/>
      <c r="CG31"/>
      <c r="CH31"/>
      <c r="CI31"/>
      <c r="CJ31"/>
      <c r="CK31"/>
      <c r="CL31"/>
      <c r="CM31"/>
      <c r="CN31"/>
      <c r="CO31"/>
      <c r="CP31"/>
      <c r="CQ31" s="202">
        <f>CE31*B54+CE31</f>
        <v>546.58604335103996</v>
      </c>
      <c r="CR31"/>
      <c r="CS31"/>
      <c r="CT31"/>
      <c r="CU31"/>
      <c r="CV31"/>
      <c r="CW31"/>
      <c r="CX31"/>
      <c r="CY31"/>
      <c r="CZ31"/>
      <c r="DA31"/>
      <c r="DB31"/>
      <c r="DC31" s="202">
        <f>CQ31*B55+CQ31</f>
        <v>655.90325202124791</v>
      </c>
      <c r="DD31"/>
      <c r="DE31"/>
      <c r="DF31"/>
      <c r="DG31"/>
      <c r="DH31"/>
      <c r="DI31"/>
      <c r="DJ31"/>
      <c r="DK31"/>
      <c r="DL31"/>
      <c r="DM31"/>
      <c r="DN31"/>
      <c r="DO31" s="202">
        <f>DC31*B56+DC31</f>
        <v>787.08390242549751</v>
      </c>
      <c r="DP31"/>
      <c r="DQ31"/>
      <c r="DR31"/>
      <c r="DS31"/>
      <c r="DT31"/>
      <c r="DU31"/>
      <c r="DV31"/>
      <c r="DW31"/>
      <c r="DX31"/>
      <c r="DY31"/>
      <c r="DZ31"/>
      <c r="EA31" s="202">
        <f>DO31*B61+DO31</f>
        <v>881.53397071655718</v>
      </c>
      <c r="EB31"/>
      <c r="EC31"/>
      <c r="ED31"/>
    </row>
    <row r="32" spans="10:134" s="71" customFormat="1" hidden="1" outlineLevel="1" x14ac:dyDescent="0.25">
      <c r="N32" s="204" t="s">
        <v>210</v>
      </c>
      <c r="V32" s="205">
        <f>SUM(V30:V31)</f>
        <v>401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206">
        <f>SUM(AI30:AI31)</f>
        <v>446.88</v>
      </c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06">
        <f>SUM(AU30:AU31)</f>
        <v>513.23328000000004</v>
      </c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206">
        <f>SUM(BG30:BG31)</f>
        <v>589.66887168000005</v>
      </c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206">
        <f>SUM(BS30:BS31)</f>
        <v>674.79974553600005</v>
      </c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206">
        <f>SUM(CE30:CE31)</f>
        <v>774.33256212480001</v>
      </c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206">
        <f>SUM(CQ30:CQ31)</f>
        <v>890.93777142988802</v>
      </c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206">
        <f>SUM(DC30:DC31)</f>
        <v>1027.8031183464038</v>
      </c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206">
        <f>SUM(DO30:DO31)</f>
        <v>1188.7357580566659</v>
      </c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206">
        <f>SUM(EA30:EA31)</f>
        <v>1315.317974798219</v>
      </c>
      <c r="EB32" s="34"/>
      <c r="EC32" s="34"/>
      <c r="ED32" s="34"/>
    </row>
    <row r="33" spans="1:134" s="11" customFormat="1" ht="15.75" collapsed="1" thickBot="1" x14ac:dyDescent="0.3">
      <c r="M33" s="134"/>
      <c r="N33" s="134"/>
      <c r="O33" s="134"/>
      <c r="P33" s="134"/>
      <c r="Q33" s="134"/>
      <c r="R33" s="134"/>
      <c r="S33" s="134"/>
      <c r="T33" s="134"/>
      <c r="U33" s="199"/>
      <c r="V33" s="135"/>
      <c r="AI33" s="198"/>
      <c r="AU33" s="198"/>
      <c r="BG33" s="198"/>
      <c r="BS33" s="198"/>
      <c r="CE33" s="198"/>
      <c r="CQ33" s="198"/>
      <c r="DC33" s="198"/>
      <c r="DO33" s="198"/>
      <c r="EA33" s="198"/>
    </row>
    <row r="34" spans="1:134" ht="18.75" customHeight="1" outlineLevel="1" x14ac:dyDescent="0.3">
      <c r="A34" s="732" t="s">
        <v>211</v>
      </c>
      <c r="B34" s="732"/>
      <c r="C34" s="735" t="s">
        <v>212</v>
      </c>
      <c r="D34" s="194" t="s">
        <v>213</v>
      </c>
      <c r="E34" s="142"/>
      <c r="F34" s="143"/>
      <c r="G34" s="143"/>
      <c r="H34" s="143"/>
      <c r="I34" s="143"/>
      <c r="J34" s="143"/>
      <c r="K34" s="143"/>
      <c r="L34" s="144"/>
      <c r="M34" s="143"/>
      <c r="N34" s="142" t="s">
        <v>214</v>
      </c>
      <c r="O34" s="143"/>
      <c r="P34" s="143"/>
      <c r="Q34" s="143"/>
      <c r="R34" s="144"/>
      <c r="S34" s="143"/>
      <c r="T34" s="143"/>
      <c r="U34" s="143"/>
      <c r="V34" s="319">
        <f>SUM(V38,V40)</f>
        <v>4</v>
      </c>
      <c r="W34" s="322">
        <f>SUM(W38,W40)</f>
        <v>2</v>
      </c>
      <c r="X34" s="323">
        <f t="shared" ref="X34:CI34" si="10">SUM(X38,X40)</f>
        <v>2</v>
      </c>
      <c r="Y34" s="323">
        <f t="shared" si="10"/>
        <v>2</v>
      </c>
      <c r="Z34" s="323">
        <f t="shared" si="10"/>
        <v>2</v>
      </c>
      <c r="AA34" s="323">
        <f t="shared" si="10"/>
        <v>2</v>
      </c>
      <c r="AB34" s="323">
        <f t="shared" si="10"/>
        <v>2</v>
      </c>
      <c r="AC34" s="323">
        <f t="shared" si="10"/>
        <v>3</v>
      </c>
      <c r="AD34" s="323">
        <f t="shared" si="10"/>
        <v>3</v>
      </c>
      <c r="AE34" s="323">
        <f t="shared" si="10"/>
        <v>3</v>
      </c>
      <c r="AF34" s="323">
        <f t="shared" si="10"/>
        <v>3</v>
      </c>
      <c r="AG34" s="323">
        <f t="shared" si="10"/>
        <v>3</v>
      </c>
      <c r="AH34" s="323">
        <f t="shared" si="10"/>
        <v>3</v>
      </c>
      <c r="AI34" s="324">
        <f t="shared" si="10"/>
        <v>3</v>
      </c>
      <c r="AJ34" s="323">
        <f t="shared" si="10"/>
        <v>3</v>
      </c>
      <c r="AK34" s="323">
        <f t="shared" si="10"/>
        <v>3</v>
      </c>
      <c r="AL34" s="323">
        <f t="shared" si="10"/>
        <v>3</v>
      </c>
      <c r="AM34" s="323">
        <f t="shared" si="10"/>
        <v>3</v>
      </c>
      <c r="AN34" s="323">
        <f t="shared" si="10"/>
        <v>3</v>
      </c>
      <c r="AO34" s="323">
        <f t="shared" si="10"/>
        <v>3</v>
      </c>
      <c r="AP34" s="323">
        <f t="shared" si="10"/>
        <v>3</v>
      </c>
      <c r="AQ34" s="323">
        <f t="shared" si="10"/>
        <v>3</v>
      </c>
      <c r="AR34" s="323">
        <f t="shared" si="10"/>
        <v>3</v>
      </c>
      <c r="AS34" s="323">
        <f t="shared" si="10"/>
        <v>3</v>
      </c>
      <c r="AT34" s="323">
        <f t="shared" si="10"/>
        <v>3</v>
      </c>
      <c r="AU34" s="324">
        <f t="shared" si="10"/>
        <v>3</v>
      </c>
      <c r="AV34" s="323">
        <f t="shared" si="10"/>
        <v>3</v>
      </c>
      <c r="AW34" s="323">
        <f t="shared" si="10"/>
        <v>3</v>
      </c>
      <c r="AX34" s="323">
        <f t="shared" si="10"/>
        <v>3</v>
      </c>
      <c r="AY34" s="323">
        <f t="shared" si="10"/>
        <v>3</v>
      </c>
      <c r="AZ34" s="323">
        <f t="shared" si="10"/>
        <v>4</v>
      </c>
      <c r="BA34" s="323">
        <f t="shared" si="10"/>
        <v>4</v>
      </c>
      <c r="BB34" s="323">
        <f t="shared" si="10"/>
        <v>4</v>
      </c>
      <c r="BC34" s="323">
        <f t="shared" si="10"/>
        <v>4</v>
      </c>
      <c r="BD34" s="323">
        <f t="shared" si="10"/>
        <v>4</v>
      </c>
      <c r="BE34" s="323">
        <f t="shared" si="10"/>
        <v>4</v>
      </c>
      <c r="BF34" s="323">
        <f t="shared" si="10"/>
        <v>5</v>
      </c>
      <c r="BG34" s="324">
        <f t="shared" si="10"/>
        <v>5</v>
      </c>
      <c r="BH34" s="323">
        <f t="shared" si="10"/>
        <v>5</v>
      </c>
      <c r="BI34" s="323">
        <f t="shared" si="10"/>
        <v>5</v>
      </c>
      <c r="BJ34" s="323">
        <f t="shared" si="10"/>
        <v>5</v>
      </c>
      <c r="BK34" s="323">
        <f t="shared" si="10"/>
        <v>5</v>
      </c>
      <c r="BL34" s="323">
        <f t="shared" si="10"/>
        <v>5</v>
      </c>
      <c r="BM34" s="323">
        <f t="shared" si="10"/>
        <v>5</v>
      </c>
      <c r="BN34" s="323">
        <f t="shared" si="10"/>
        <v>5</v>
      </c>
      <c r="BO34" s="323">
        <f t="shared" si="10"/>
        <v>5</v>
      </c>
      <c r="BP34" s="323">
        <f t="shared" si="10"/>
        <v>5</v>
      </c>
      <c r="BQ34" s="323">
        <f t="shared" si="10"/>
        <v>5</v>
      </c>
      <c r="BR34" s="323">
        <f t="shared" si="10"/>
        <v>5</v>
      </c>
      <c r="BS34" s="324">
        <f t="shared" si="10"/>
        <v>5</v>
      </c>
      <c r="BT34" s="323">
        <f t="shared" si="10"/>
        <v>5</v>
      </c>
      <c r="BU34" s="323">
        <f t="shared" si="10"/>
        <v>5</v>
      </c>
      <c r="BV34" s="323">
        <f t="shared" si="10"/>
        <v>5</v>
      </c>
      <c r="BW34" s="323">
        <f t="shared" si="10"/>
        <v>5</v>
      </c>
      <c r="BX34" s="323">
        <f t="shared" si="10"/>
        <v>5</v>
      </c>
      <c r="BY34" s="323">
        <f t="shared" si="10"/>
        <v>5</v>
      </c>
      <c r="BZ34" s="323">
        <f t="shared" si="10"/>
        <v>5</v>
      </c>
      <c r="CA34" s="323">
        <f t="shared" si="10"/>
        <v>5</v>
      </c>
      <c r="CB34" s="323">
        <f t="shared" si="10"/>
        <v>5</v>
      </c>
      <c r="CC34" s="323">
        <f t="shared" si="10"/>
        <v>5</v>
      </c>
      <c r="CD34" s="323">
        <f t="shared" si="10"/>
        <v>5</v>
      </c>
      <c r="CE34" s="324">
        <f t="shared" si="10"/>
        <v>5</v>
      </c>
      <c r="CF34" s="323">
        <f t="shared" si="10"/>
        <v>5</v>
      </c>
      <c r="CG34" s="323">
        <f t="shared" si="10"/>
        <v>6</v>
      </c>
      <c r="CH34" s="323">
        <f t="shared" si="10"/>
        <v>6</v>
      </c>
      <c r="CI34" s="323">
        <f t="shared" si="10"/>
        <v>6</v>
      </c>
      <c r="CJ34" s="323">
        <f t="shared" ref="CJ34:ED34" si="11">SUM(CJ38,CJ40)</f>
        <v>6</v>
      </c>
      <c r="CK34" s="323">
        <f t="shared" si="11"/>
        <v>6</v>
      </c>
      <c r="CL34" s="323">
        <f t="shared" si="11"/>
        <v>6</v>
      </c>
      <c r="CM34" s="323">
        <f t="shared" si="11"/>
        <v>6</v>
      </c>
      <c r="CN34" s="323">
        <f t="shared" si="11"/>
        <v>6</v>
      </c>
      <c r="CO34" s="323">
        <f t="shared" si="11"/>
        <v>6</v>
      </c>
      <c r="CP34" s="323">
        <f t="shared" si="11"/>
        <v>6</v>
      </c>
      <c r="CQ34" s="324">
        <f t="shared" si="11"/>
        <v>6</v>
      </c>
      <c r="CR34" s="323">
        <f t="shared" si="11"/>
        <v>6</v>
      </c>
      <c r="CS34" s="323">
        <f t="shared" si="11"/>
        <v>6</v>
      </c>
      <c r="CT34" s="323">
        <f t="shared" si="11"/>
        <v>7</v>
      </c>
      <c r="CU34" s="323">
        <f t="shared" si="11"/>
        <v>7</v>
      </c>
      <c r="CV34" s="323">
        <f t="shared" si="11"/>
        <v>7</v>
      </c>
      <c r="CW34" s="323">
        <f t="shared" si="11"/>
        <v>7</v>
      </c>
      <c r="CX34" s="323">
        <f t="shared" si="11"/>
        <v>7</v>
      </c>
      <c r="CY34" s="323">
        <f t="shared" si="11"/>
        <v>7</v>
      </c>
      <c r="CZ34" s="323">
        <f t="shared" si="11"/>
        <v>8</v>
      </c>
      <c r="DA34" s="323">
        <f t="shared" si="11"/>
        <v>8</v>
      </c>
      <c r="DB34" s="323">
        <f t="shared" si="11"/>
        <v>8</v>
      </c>
      <c r="DC34" s="324">
        <f t="shared" si="11"/>
        <v>8</v>
      </c>
      <c r="DD34" s="323">
        <f t="shared" si="11"/>
        <v>8</v>
      </c>
      <c r="DE34" s="323">
        <f t="shared" si="11"/>
        <v>8</v>
      </c>
      <c r="DF34" s="323">
        <f t="shared" si="11"/>
        <v>8</v>
      </c>
      <c r="DG34" s="323">
        <f t="shared" si="11"/>
        <v>8</v>
      </c>
      <c r="DH34" s="323">
        <f t="shared" si="11"/>
        <v>8</v>
      </c>
      <c r="DI34" s="323">
        <f t="shared" si="11"/>
        <v>8</v>
      </c>
      <c r="DJ34" s="323">
        <f t="shared" si="11"/>
        <v>8</v>
      </c>
      <c r="DK34" s="323">
        <f t="shared" si="11"/>
        <v>8</v>
      </c>
      <c r="DL34" s="323">
        <f t="shared" si="11"/>
        <v>8</v>
      </c>
      <c r="DM34" s="323">
        <f t="shared" si="11"/>
        <v>8</v>
      </c>
      <c r="DN34" s="323">
        <f t="shared" si="11"/>
        <v>8</v>
      </c>
      <c r="DO34" s="324">
        <f t="shared" si="11"/>
        <v>8</v>
      </c>
      <c r="DP34" s="323">
        <f t="shared" si="11"/>
        <v>9</v>
      </c>
      <c r="DQ34" s="323">
        <f t="shared" si="11"/>
        <v>9</v>
      </c>
      <c r="DR34" s="323">
        <f t="shared" si="11"/>
        <v>9</v>
      </c>
      <c r="DS34" s="323">
        <f t="shared" si="11"/>
        <v>9</v>
      </c>
      <c r="DT34" s="323">
        <f t="shared" si="11"/>
        <v>9</v>
      </c>
      <c r="DU34" s="323">
        <f t="shared" si="11"/>
        <v>9</v>
      </c>
      <c r="DV34" s="323">
        <f t="shared" si="11"/>
        <v>9</v>
      </c>
      <c r="DW34" s="323">
        <f t="shared" si="11"/>
        <v>9</v>
      </c>
      <c r="DX34" s="323">
        <f t="shared" si="11"/>
        <v>9</v>
      </c>
      <c r="DY34" s="323">
        <f t="shared" si="11"/>
        <v>9</v>
      </c>
      <c r="DZ34" s="323">
        <f t="shared" si="11"/>
        <v>10</v>
      </c>
      <c r="EA34" s="324">
        <f t="shared" si="11"/>
        <v>10</v>
      </c>
      <c r="EB34" s="323">
        <f t="shared" si="11"/>
        <v>10</v>
      </c>
      <c r="EC34" s="323">
        <f t="shared" si="11"/>
        <v>10</v>
      </c>
      <c r="ED34" s="325">
        <f t="shared" si="11"/>
        <v>10</v>
      </c>
    </row>
    <row r="35" spans="1:134" ht="18.75" outlineLevel="1" x14ac:dyDescent="0.3">
      <c r="A35" t="s">
        <v>215</v>
      </c>
      <c r="B35" s="82">
        <f>'Growth Prediction Exec Summary'!C5</f>
        <v>0.08</v>
      </c>
      <c r="C35" s="736"/>
      <c r="D35" s="729" t="s">
        <v>216</v>
      </c>
      <c r="E35" s="729"/>
      <c r="F35" s="729"/>
      <c r="G35" s="729"/>
      <c r="H35" s="729"/>
      <c r="I35" s="729"/>
      <c r="J35" s="729"/>
      <c r="K35" s="729"/>
      <c r="L35" s="158"/>
      <c r="M35" s="492">
        <f>N35*100</f>
        <v>8</v>
      </c>
      <c r="N35" s="555">
        <f>'SEC Benches Data'!B4/100</f>
        <v>0.08</v>
      </c>
      <c r="O35" s="556">
        <f>'SEC Benches Data'!N4/100</f>
        <v>0.12</v>
      </c>
      <c r="P35" s="556">
        <f>'SEC Benches Data'!Z4/100</f>
        <v>0.16</v>
      </c>
      <c r="Q35" s="137"/>
      <c r="R35" s="145">
        <f>P35-N35</f>
        <v>0.08</v>
      </c>
      <c r="S35" s="138">
        <v>1</v>
      </c>
      <c r="T35" s="138">
        <v>2</v>
      </c>
      <c r="U35" s="136"/>
      <c r="V35" s="320"/>
      <c r="W35" s="334">
        <f>M35</f>
        <v>8</v>
      </c>
      <c r="X35" s="335">
        <f>W35</f>
        <v>8</v>
      </c>
      <c r="Y35" s="335">
        <f>X35</f>
        <v>8</v>
      </c>
      <c r="Z35" s="335">
        <f>O35*100</f>
        <v>12</v>
      </c>
      <c r="AA35" s="335">
        <f>Z35</f>
        <v>12</v>
      </c>
      <c r="AB35" s="335">
        <f>AA35</f>
        <v>12</v>
      </c>
      <c r="AC35" s="335">
        <f>P35*100</f>
        <v>16</v>
      </c>
      <c r="AD35" s="335">
        <f>AC35</f>
        <v>16</v>
      </c>
      <c r="AE35" s="335">
        <f>AD35</f>
        <v>16</v>
      </c>
      <c r="AF35" s="335">
        <f>AE35</f>
        <v>16</v>
      </c>
      <c r="AG35" s="335">
        <f>AF35</f>
        <v>16</v>
      </c>
      <c r="AH35" s="335">
        <f>AG35</f>
        <v>16</v>
      </c>
      <c r="AI35" s="336">
        <f t="shared" ref="AI35:AT35" si="12">(((AH35*(1+($B$50*$B$4)))-AH35)/12)+AH35</f>
        <v>16.268799999999999</v>
      </c>
      <c r="AJ35" s="335">
        <f t="shared" si="12"/>
        <v>16.542115839999997</v>
      </c>
      <c r="AK35" s="335">
        <f t="shared" si="12"/>
        <v>16.820023386111998</v>
      </c>
      <c r="AL35" s="335">
        <f t="shared" si="12"/>
        <v>17.10259977899868</v>
      </c>
      <c r="AM35" s="335">
        <f t="shared" si="12"/>
        <v>17.389923455285857</v>
      </c>
      <c r="AN35" s="335">
        <f t="shared" si="12"/>
        <v>17.682074169334658</v>
      </c>
      <c r="AO35" s="335">
        <f t="shared" si="12"/>
        <v>17.979133015379482</v>
      </c>
      <c r="AP35" s="335">
        <f t="shared" si="12"/>
        <v>18.281182450037857</v>
      </c>
      <c r="AQ35" s="335">
        <f t="shared" si="12"/>
        <v>18.588306315198494</v>
      </c>
      <c r="AR35" s="335">
        <f t="shared" si="12"/>
        <v>18.900589861293827</v>
      </c>
      <c r="AS35" s="335">
        <f t="shared" si="12"/>
        <v>19.218119770963565</v>
      </c>
      <c r="AT35" s="335">
        <f t="shared" si="12"/>
        <v>19.540984183115754</v>
      </c>
      <c r="AU35" s="336">
        <f t="shared" ref="AU35:BF35" si="13">(((AT35*(1+($B$51*$B$4)))-AT35)/12)+AT35</f>
        <v>19.857548126882229</v>
      </c>
      <c r="AV35" s="335">
        <f t="shared" si="13"/>
        <v>20.179240406537719</v>
      </c>
      <c r="AW35" s="335">
        <f t="shared" si="13"/>
        <v>20.506144101123631</v>
      </c>
      <c r="AX35" s="335">
        <f t="shared" si="13"/>
        <v>20.838343635561834</v>
      </c>
      <c r="AY35" s="335">
        <f t="shared" si="13"/>
        <v>21.175924802457935</v>
      </c>
      <c r="AZ35" s="335">
        <f t="shared" si="13"/>
        <v>21.518974784257754</v>
      </c>
      <c r="BA35" s="335">
        <f t="shared" si="13"/>
        <v>21.867582175762728</v>
      </c>
      <c r="BB35" s="335">
        <f t="shared" si="13"/>
        <v>22.221837007010084</v>
      </c>
      <c r="BC35" s="335">
        <f t="shared" si="13"/>
        <v>22.581830766523648</v>
      </c>
      <c r="BD35" s="335">
        <f t="shared" si="13"/>
        <v>22.947656424941332</v>
      </c>
      <c r="BE35" s="335">
        <f t="shared" si="13"/>
        <v>23.319408459025382</v>
      </c>
      <c r="BF35" s="335">
        <f t="shared" si="13"/>
        <v>23.697182876061593</v>
      </c>
      <c r="BG35" s="336">
        <f t="shared" ref="BG35:BR35" si="14">(((BF35*(1+($B$52*$B$4)))-BF35)/12)+BF35</f>
        <v>24.052640619202517</v>
      </c>
      <c r="BH35" s="335">
        <f t="shared" si="14"/>
        <v>24.413430228490554</v>
      </c>
      <c r="BI35" s="335">
        <f t="shared" si="14"/>
        <v>24.779631681917913</v>
      </c>
      <c r="BJ35" s="335">
        <f t="shared" si="14"/>
        <v>25.151326157146681</v>
      </c>
      <c r="BK35" s="335">
        <f t="shared" si="14"/>
        <v>25.528596049503882</v>
      </c>
      <c r="BL35" s="335">
        <f t="shared" si="14"/>
        <v>25.911524990246441</v>
      </c>
      <c r="BM35" s="335">
        <f t="shared" si="14"/>
        <v>26.300197865100138</v>
      </c>
      <c r="BN35" s="335">
        <f t="shared" si="14"/>
        <v>26.694700833076642</v>
      </c>
      <c r="BO35" s="335">
        <f t="shared" si="14"/>
        <v>27.095121345572792</v>
      </c>
      <c r="BP35" s="335">
        <f t="shared" si="14"/>
        <v>27.501548165756383</v>
      </c>
      <c r="BQ35" s="335">
        <f t="shared" si="14"/>
        <v>27.914071388242728</v>
      </c>
      <c r="BR35" s="335">
        <f t="shared" si="14"/>
        <v>28.332782459066369</v>
      </c>
      <c r="BS35" s="336">
        <f t="shared" ref="BS35:CD35" si="15">(((BR35*(1+($B$53*$B$4)))-BR35)/12)+BR35</f>
        <v>28.757774195952365</v>
      </c>
      <c r="BT35" s="335">
        <f t="shared" si="15"/>
        <v>29.189140808891651</v>
      </c>
      <c r="BU35" s="335">
        <f t="shared" si="15"/>
        <v>29.626977921025023</v>
      </c>
      <c r="BV35" s="335">
        <f t="shared" si="15"/>
        <v>30.071382589840397</v>
      </c>
      <c r="BW35" s="335">
        <f t="shared" si="15"/>
        <v>30.522453328688002</v>
      </c>
      <c r="BX35" s="335">
        <f t="shared" si="15"/>
        <v>30.980290128618321</v>
      </c>
      <c r="BY35" s="335">
        <f t="shared" si="15"/>
        <v>31.444994480547596</v>
      </c>
      <c r="BZ35" s="335">
        <f t="shared" si="15"/>
        <v>31.916669397755811</v>
      </c>
      <c r="CA35" s="335">
        <f t="shared" si="15"/>
        <v>32.395419438722151</v>
      </c>
      <c r="CB35" s="335">
        <f t="shared" si="15"/>
        <v>32.881350730302984</v>
      </c>
      <c r="CC35" s="335">
        <f t="shared" si="15"/>
        <v>33.374570991257528</v>
      </c>
      <c r="CD35" s="335">
        <f t="shared" si="15"/>
        <v>33.875189556126394</v>
      </c>
      <c r="CE35" s="336">
        <f t="shared" ref="CE35:CP35" si="16">(((CD35*(1+($B$54*$B$4)))-CD35)/12)+CD35</f>
        <v>34.383317399468289</v>
      </c>
      <c r="CF35" s="335">
        <f t="shared" si="16"/>
        <v>34.899067160460312</v>
      </c>
      <c r="CG35" s="335">
        <f t="shared" si="16"/>
        <v>35.422553167867214</v>
      </c>
      <c r="CH35" s="335">
        <f t="shared" si="16"/>
        <v>35.953891465385226</v>
      </c>
      <c r="CI35" s="335">
        <f t="shared" si="16"/>
        <v>36.493199837366006</v>
      </c>
      <c r="CJ35" s="335">
        <f t="shared" si="16"/>
        <v>37.040597834926494</v>
      </c>
      <c r="CK35" s="335">
        <f t="shared" si="16"/>
        <v>37.596206802450389</v>
      </c>
      <c r="CL35" s="335">
        <f t="shared" si="16"/>
        <v>38.160149904487142</v>
      </c>
      <c r="CM35" s="335">
        <f t="shared" si="16"/>
        <v>38.732552153054449</v>
      </c>
      <c r="CN35" s="335">
        <f t="shared" si="16"/>
        <v>39.313540435350262</v>
      </c>
      <c r="CO35" s="335">
        <f t="shared" si="16"/>
        <v>39.903243541880514</v>
      </c>
      <c r="CP35" s="335">
        <f t="shared" si="16"/>
        <v>40.501792195008719</v>
      </c>
      <c r="CQ35" s="336">
        <f t="shared" ref="CQ35:DB35" si="17">(((CP35*(1+($B$55*$B$4)))-CP35)/12)+CP35</f>
        <v>41.109319077933847</v>
      </c>
      <c r="CR35" s="335">
        <f t="shared" si="17"/>
        <v>41.725958864102857</v>
      </c>
      <c r="CS35" s="335">
        <f t="shared" si="17"/>
        <v>42.351848247064396</v>
      </c>
      <c r="CT35" s="335">
        <f t="shared" si="17"/>
        <v>42.987125970770364</v>
      </c>
      <c r="CU35" s="335">
        <f t="shared" si="17"/>
        <v>43.631932860331922</v>
      </c>
      <c r="CV35" s="335">
        <f t="shared" si="17"/>
        <v>44.286411853236899</v>
      </c>
      <c r="CW35" s="335">
        <f t="shared" si="17"/>
        <v>44.950708031035454</v>
      </c>
      <c r="CX35" s="335">
        <f t="shared" si="17"/>
        <v>45.624968651500986</v>
      </c>
      <c r="CY35" s="335">
        <f t="shared" si="17"/>
        <v>46.309343181273498</v>
      </c>
      <c r="CZ35" s="335">
        <f t="shared" si="17"/>
        <v>47.003983328992604</v>
      </c>
      <c r="DA35" s="335">
        <f t="shared" si="17"/>
        <v>47.709043078927493</v>
      </c>
      <c r="DB35" s="335">
        <f t="shared" si="17"/>
        <v>48.424678725111406</v>
      </c>
      <c r="DC35" s="336">
        <f t="shared" ref="DC35:DN35" si="18">(((DB35*(1+($B$56*$B$4)))-DB35)/12)+DB35</f>
        <v>49.151048905988077</v>
      </c>
      <c r="DD35" s="335">
        <f t="shared" si="18"/>
        <v>49.888314639577899</v>
      </c>
      <c r="DE35" s="335">
        <f t="shared" si="18"/>
        <v>50.636639359171568</v>
      </c>
      <c r="DF35" s="335">
        <f t="shared" si="18"/>
        <v>51.396188949559139</v>
      </c>
      <c r="DG35" s="335">
        <f t="shared" si="18"/>
        <v>52.167131783802525</v>
      </c>
      <c r="DH35" s="335">
        <f t="shared" si="18"/>
        <v>52.949638760559566</v>
      </c>
      <c r="DI35" s="335">
        <f t="shared" si="18"/>
        <v>53.743883341967958</v>
      </c>
      <c r="DJ35" s="335">
        <f t="shared" si="18"/>
        <v>54.550041592097479</v>
      </c>
      <c r="DK35" s="335">
        <f t="shared" si="18"/>
        <v>55.36829221597894</v>
      </c>
      <c r="DL35" s="335">
        <f t="shared" si="18"/>
        <v>56.198816599218624</v>
      </c>
      <c r="DM35" s="335">
        <f t="shared" si="18"/>
        <v>57.041798848206902</v>
      </c>
      <c r="DN35" s="335">
        <f t="shared" si="18"/>
        <v>57.897425830930004</v>
      </c>
      <c r="DO35" s="336">
        <f t="shared" ref="DO35:DZ35" si="19">(((DN35*(1+($B$61*$B$4)))-DN35)/12)+DN35</f>
        <v>58.418502663408375</v>
      </c>
      <c r="DP35" s="335">
        <f t="shared" si="19"/>
        <v>58.944269187379049</v>
      </c>
      <c r="DQ35" s="335">
        <f t="shared" si="19"/>
        <v>59.474767610065463</v>
      </c>
      <c r="DR35" s="335">
        <f t="shared" si="19"/>
        <v>60.010040518556053</v>
      </c>
      <c r="DS35" s="335">
        <f t="shared" si="19"/>
        <v>60.550130883223062</v>
      </c>
      <c r="DT35" s="335">
        <f t="shared" si="19"/>
        <v>61.095082061172072</v>
      </c>
      <c r="DU35" s="335">
        <f t="shared" si="19"/>
        <v>61.644937799722619</v>
      </c>
      <c r="DV35" s="335">
        <f t="shared" si="19"/>
        <v>62.19974223992012</v>
      </c>
      <c r="DW35" s="335">
        <f t="shared" si="19"/>
        <v>62.759539920079405</v>
      </c>
      <c r="DX35" s="335">
        <f t="shared" si="19"/>
        <v>63.324375779360118</v>
      </c>
      <c r="DY35" s="335">
        <f t="shared" si="19"/>
        <v>63.894295161374359</v>
      </c>
      <c r="DZ35" s="335">
        <f t="shared" si="19"/>
        <v>64.469343817826726</v>
      </c>
      <c r="EA35" s="336">
        <f>(((DZ35*(1+($B$62*$B$4)))-DZ35)/12)+DZ35</f>
        <v>64.952863896460428</v>
      </c>
      <c r="EB35" s="335">
        <f>(((EA35*(1+($B$62*$B$4)))-EA35)/12)+EA35</f>
        <v>65.440010375683883</v>
      </c>
      <c r="EC35" s="335">
        <f>(((EB35*(1+($B$62*$B$4)))-EB35)/12)+EB35</f>
        <v>65.930810453501508</v>
      </c>
      <c r="ED35" s="337">
        <f>(((EC35*(1+($B$62*$B$4)))-EC35)/12)+EC35</f>
        <v>66.425291531902772</v>
      </c>
    </row>
    <row r="36" spans="1:134" ht="18.75" outlineLevel="1" x14ac:dyDescent="0.3">
      <c r="A36" t="s">
        <v>217</v>
      </c>
      <c r="B36" s="82">
        <f>'Growth Prediction Exec Summary'!D5</f>
        <v>0.08</v>
      </c>
      <c r="C36" s="736"/>
      <c r="D36" s="730"/>
      <c r="E36" s="730"/>
      <c r="F36" s="730"/>
      <c r="G36" s="730"/>
      <c r="H36" s="730"/>
      <c r="I36" s="730"/>
      <c r="J36" s="730"/>
      <c r="K36" s="730"/>
      <c r="L36" s="146"/>
      <c r="M36" s="139"/>
      <c r="N36" s="557"/>
      <c r="O36" s="321"/>
      <c r="P36" s="321"/>
      <c r="Q36" s="139"/>
      <c r="R36" s="146"/>
      <c r="S36" s="139"/>
      <c r="T36" s="139"/>
      <c r="U36" s="139"/>
      <c r="V36" s="277">
        <v>1</v>
      </c>
      <c r="W36" s="330">
        <f t="shared" ref="W36:BB36" si="20">ROUNDUP($V$36*(W35/100)/0.8,0)</f>
        <v>1</v>
      </c>
      <c r="X36" s="331">
        <f t="shared" si="20"/>
        <v>1</v>
      </c>
      <c r="Y36" s="331">
        <f t="shared" si="20"/>
        <v>1</v>
      </c>
      <c r="Z36" s="331">
        <f t="shared" si="20"/>
        <v>1</v>
      </c>
      <c r="AA36" s="331">
        <f t="shared" si="20"/>
        <v>1</v>
      </c>
      <c r="AB36" s="331">
        <f t="shared" si="20"/>
        <v>1</v>
      </c>
      <c r="AC36" s="331">
        <f t="shared" si="20"/>
        <v>1</v>
      </c>
      <c r="AD36" s="331">
        <f t="shared" si="20"/>
        <v>1</v>
      </c>
      <c r="AE36" s="331">
        <f t="shared" si="20"/>
        <v>1</v>
      </c>
      <c r="AF36" s="331">
        <f t="shared" si="20"/>
        <v>1</v>
      </c>
      <c r="AG36" s="331">
        <f t="shared" si="20"/>
        <v>1</v>
      </c>
      <c r="AH36" s="331">
        <f t="shared" si="20"/>
        <v>1</v>
      </c>
      <c r="AI36" s="332">
        <f t="shared" si="20"/>
        <v>1</v>
      </c>
      <c r="AJ36" s="331">
        <f t="shared" si="20"/>
        <v>1</v>
      </c>
      <c r="AK36" s="331">
        <f t="shared" si="20"/>
        <v>1</v>
      </c>
      <c r="AL36" s="331">
        <f t="shared" si="20"/>
        <v>1</v>
      </c>
      <c r="AM36" s="331">
        <f t="shared" si="20"/>
        <v>1</v>
      </c>
      <c r="AN36" s="331">
        <f t="shared" si="20"/>
        <v>1</v>
      </c>
      <c r="AO36" s="331">
        <f t="shared" si="20"/>
        <v>1</v>
      </c>
      <c r="AP36" s="331">
        <f t="shared" si="20"/>
        <v>1</v>
      </c>
      <c r="AQ36" s="331">
        <f t="shared" si="20"/>
        <v>1</v>
      </c>
      <c r="AR36" s="331">
        <f t="shared" si="20"/>
        <v>1</v>
      </c>
      <c r="AS36" s="331">
        <f t="shared" si="20"/>
        <v>1</v>
      </c>
      <c r="AT36" s="331">
        <f t="shared" si="20"/>
        <v>1</v>
      </c>
      <c r="AU36" s="332">
        <f t="shared" si="20"/>
        <v>1</v>
      </c>
      <c r="AV36" s="331">
        <f t="shared" si="20"/>
        <v>1</v>
      </c>
      <c r="AW36" s="331">
        <f t="shared" si="20"/>
        <v>1</v>
      </c>
      <c r="AX36" s="331">
        <f t="shared" si="20"/>
        <v>1</v>
      </c>
      <c r="AY36" s="331">
        <f t="shared" si="20"/>
        <v>1</v>
      </c>
      <c r="AZ36" s="331">
        <f t="shared" si="20"/>
        <v>1</v>
      </c>
      <c r="BA36" s="331">
        <f t="shared" si="20"/>
        <v>1</v>
      </c>
      <c r="BB36" s="331">
        <f t="shared" si="20"/>
        <v>1</v>
      </c>
      <c r="BC36" s="331">
        <f t="shared" ref="BC36:CH36" si="21">ROUNDUP($V$36*(BC35/100)/0.8,0)</f>
        <v>1</v>
      </c>
      <c r="BD36" s="331">
        <f t="shared" si="21"/>
        <v>1</v>
      </c>
      <c r="BE36" s="331">
        <f t="shared" si="21"/>
        <v>1</v>
      </c>
      <c r="BF36" s="331">
        <f t="shared" si="21"/>
        <v>1</v>
      </c>
      <c r="BG36" s="332">
        <f t="shared" si="21"/>
        <v>1</v>
      </c>
      <c r="BH36" s="331">
        <f t="shared" si="21"/>
        <v>1</v>
      </c>
      <c r="BI36" s="331">
        <f t="shared" si="21"/>
        <v>1</v>
      </c>
      <c r="BJ36" s="331">
        <f t="shared" si="21"/>
        <v>1</v>
      </c>
      <c r="BK36" s="331">
        <f t="shared" si="21"/>
        <v>1</v>
      </c>
      <c r="BL36" s="331">
        <f t="shared" si="21"/>
        <v>1</v>
      </c>
      <c r="BM36" s="331">
        <f t="shared" si="21"/>
        <v>1</v>
      </c>
      <c r="BN36" s="331">
        <f t="shared" si="21"/>
        <v>1</v>
      </c>
      <c r="BO36" s="331">
        <f t="shared" si="21"/>
        <v>1</v>
      </c>
      <c r="BP36" s="331">
        <f t="shared" si="21"/>
        <v>1</v>
      </c>
      <c r="BQ36" s="331">
        <f t="shared" si="21"/>
        <v>1</v>
      </c>
      <c r="BR36" s="331">
        <f t="shared" si="21"/>
        <v>1</v>
      </c>
      <c r="BS36" s="332">
        <f t="shared" si="21"/>
        <v>1</v>
      </c>
      <c r="BT36" s="331">
        <f t="shared" si="21"/>
        <v>1</v>
      </c>
      <c r="BU36" s="331">
        <f t="shared" si="21"/>
        <v>1</v>
      </c>
      <c r="BV36" s="331">
        <f t="shared" si="21"/>
        <v>1</v>
      </c>
      <c r="BW36" s="331">
        <f t="shared" si="21"/>
        <v>1</v>
      </c>
      <c r="BX36" s="331">
        <f t="shared" si="21"/>
        <v>1</v>
      </c>
      <c r="BY36" s="331">
        <f t="shared" si="21"/>
        <v>1</v>
      </c>
      <c r="BZ36" s="331">
        <f t="shared" si="21"/>
        <v>1</v>
      </c>
      <c r="CA36" s="331">
        <f t="shared" si="21"/>
        <v>1</v>
      </c>
      <c r="CB36" s="331">
        <f t="shared" si="21"/>
        <v>1</v>
      </c>
      <c r="CC36" s="331">
        <f t="shared" si="21"/>
        <v>1</v>
      </c>
      <c r="CD36" s="331">
        <f t="shared" si="21"/>
        <v>1</v>
      </c>
      <c r="CE36" s="332">
        <f t="shared" si="21"/>
        <v>1</v>
      </c>
      <c r="CF36" s="331">
        <f t="shared" si="21"/>
        <v>1</v>
      </c>
      <c r="CG36" s="331">
        <f t="shared" si="21"/>
        <v>1</v>
      </c>
      <c r="CH36" s="331">
        <f t="shared" si="21"/>
        <v>1</v>
      </c>
      <c r="CI36" s="331">
        <f t="shared" ref="CI36:DN36" si="22">ROUNDUP($V$36*(CI35/100)/0.8,0)</f>
        <v>1</v>
      </c>
      <c r="CJ36" s="331">
        <f t="shared" si="22"/>
        <v>1</v>
      </c>
      <c r="CK36" s="331">
        <f t="shared" si="22"/>
        <v>1</v>
      </c>
      <c r="CL36" s="331">
        <f t="shared" si="22"/>
        <v>1</v>
      </c>
      <c r="CM36" s="331">
        <f t="shared" si="22"/>
        <v>1</v>
      </c>
      <c r="CN36" s="331">
        <f t="shared" si="22"/>
        <v>1</v>
      </c>
      <c r="CO36" s="331">
        <f t="shared" si="22"/>
        <v>1</v>
      </c>
      <c r="CP36" s="331">
        <f t="shared" si="22"/>
        <v>1</v>
      </c>
      <c r="CQ36" s="332">
        <f t="shared" si="22"/>
        <v>1</v>
      </c>
      <c r="CR36" s="331">
        <f t="shared" si="22"/>
        <v>1</v>
      </c>
      <c r="CS36" s="331">
        <f t="shared" si="22"/>
        <v>1</v>
      </c>
      <c r="CT36" s="331">
        <f t="shared" si="22"/>
        <v>1</v>
      </c>
      <c r="CU36" s="331">
        <f t="shared" si="22"/>
        <v>1</v>
      </c>
      <c r="CV36" s="331">
        <f t="shared" si="22"/>
        <v>1</v>
      </c>
      <c r="CW36" s="331">
        <f t="shared" si="22"/>
        <v>1</v>
      </c>
      <c r="CX36" s="331">
        <f t="shared" si="22"/>
        <v>1</v>
      </c>
      <c r="CY36" s="331">
        <f t="shared" si="22"/>
        <v>1</v>
      </c>
      <c r="CZ36" s="331">
        <f t="shared" si="22"/>
        <v>1</v>
      </c>
      <c r="DA36" s="331">
        <f t="shared" si="22"/>
        <v>1</v>
      </c>
      <c r="DB36" s="331">
        <f t="shared" si="22"/>
        <v>1</v>
      </c>
      <c r="DC36" s="332">
        <f t="shared" si="22"/>
        <v>1</v>
      </c>
      <c r="DD36" s="331">
        <f t="shared" si="22"/>
        <v>1</v>
      </c>
      <c r="DE36" s="331">
        <f t="shared" si="22"/>
        <v>1</v>
      </c>
      <c r="DF36" s="331">
        <f t="shared" si="22"/>
        <v>1</v>
      </c>
      <c r="DG36" s="331">
        <f t="shared" si="22"/>
        <v>1</v>
      </c>
      <c r="DH36" s="331">
        <f t="shared" si="22"/>
        <v>1</v>
      </c>
      <c r="DI36" s="331">
        <f t="shared" si="22"/>
        <v>1</v>
      </c>
      <c r="DJ36" s="331">
        <f t="shared" si="22"/>
        <v>1</v>
      </c>
      <c r="DK36" s="331">
        <f t="shared" si="22"/>
        <v>1</v>
      </c>
      <c r="DL36" s="331">
        <f t="shared" si="22"/>
        <v>1</v>
      </c>
      <c r="DM36" s="331">
        <f t="shared" si="22"/>
        <v>1</v>
      </c>
      <c r="DN36" s="331">
        <f t="shared" si="22"/>
        <v>1</v>
      </c>
      <c r="DO36" s="332">
        <f t="shared" ref="DO36:ED36" si="23">ROUNDUP($V$36*(DO35/100)/0.8,0)</f>
        <v>1</v>
      </c>
      <c r="DP36" s="331">
        <f t="shared" si="23"/>
        <v>1</v>
      </c>
      <c r="DQ36" s="331">
        <f t="shared" si="23"/>
        <v>1</v>
      </c>
      <c r="DR36" s="331">
        <f t="shared" si="23"/>
        <v>1</v>
      </c>
      <c r="DS36" s="331">
        <f t="shared" si="23"/>
        <v>1</v>
      </c>
      <c r="DT36" s="331">
        <f t="shared" si="23"/>
        <v>1</v>
      </c>
      <c r="DU36" s="331">
        <f t="shared" si="23"/>
        <v>1</v>
      </c>
      <c r="DV36" s="331">
        <f t="shared" si="23"/>
        <v>1</v>
      </c>
      <c r="DW36" s="331">
        <f t="shared" si="23"/>
        <v>1</v>
      </c>
      <c r="DX36" s="331">
        <f t="shared" si="23"/>
        <v>1</v>
      </c>
      <c r="DY36" s="331">
        <f t="shared" si="23"/>
        <v>1</v>
      </c>
      <c r="DZ36" s="331">
        <f t="shared" si="23"/>
        <v>1</v>
      </c>
      <c r="EA36" s="332">
        <f t="shared" si="23"/>
        <v>1</v>
      </c>
      <c r="EB36" s="331">
        <f t="shared" si="23"/>
        <v>1</v>
      </c>
      <c r="EC36" s="331">
        <f t="shared" si="23"/>
        <v>1</v>
      </c>
      <c r="ED36" s="333">
        <f t="shared" si="23"/>
        <v>1</v>
      </c>
    </row>
    <row r="37" spans="1:134" ht="18.75" outlineLevel="1" x14ac:dyDescent="0.3">
      <c r="A37" t="s">
        <v>218</v>
      </c>
      <c r="B37" s="82">
        <f>'Growth Prediction Exec Summary'!E5</f>
        <v>0.08</v>
      </c>
      <c r="C37" s="736"/>
      <c r="D37" s="729" t="s">
        <v>219</v>
      </c>
      <c r="E37" s="729"/>
      <c r="F37" s="729"/>
      <c r="G37" s="729"/>
      <c r="H37" s="729"/>
      <c r="I37" s="729"/>
      <c r="J37" s="729"/>
      <c r="K37" s="729"/>
      <c r="L37" s="158"/>
      <c r="M37" s="492">
        <f>N37*100</f>
        <v>23</v>
      </c>
      <c r="N37" s="555">
        <f>'SEC Benches Data'!M62/100</f>
        <v>0.23</v>
      </c>
      <c r="O37" s="556">
        <f>'SEC Benches Data'!Y4/100</f>
        <v>0.21</v>
      </c>
      <c r="P37" s="556">
        <f>'SEC Benches Data'!AK4/100</f>
        <v>0.3</v>
      </c>
      <c r="Q37" s="137"/>
      <c r="R37" s="145">
        <f t="shared" ref="R37:R41" si="24">P37-N37</f>
        <v>6.9999999999999979E-2</v>
      </c>
      <c r="S37" s="138">
        <v>12</v>
      </c>
      <c r="T37" s="138">
        <v>2</v>
      </c>
      <c r="U37" s="136"/>
      <c r="V37" s="320"/>
      <c r="W37" s="326">
        <f>M37</f>
        <v>23</v>
      </c>
      <c r="X37" s="209">
        <f>W37</f>
        <v>23</v>
      </c>
      <c r="Y37" s="209">
        <f>X37</f>
        <v>23</v>
      </c>
      <c r="Z37" s="209">
        <f>O37*100</f>
        <v>21</v>
      </c>
      <c r="AA37" s="209">
        <f>Z37</f>
        <v>21</v>
      </c>
      <c r="AB37" s="209">
        <f>AA37</f>
        <v>21</v>
      </c>
      <c r="AC37" s="209">
        <f>P37*100</f>
        <v>30</v>
      </c>
      <c r="AD37" s="209">
        <f>AC37</f>
        <v>30</v>
      </c>
      <c r="AE37" s="209">
        <f>AD37</f>
        <v>30</v>
      </c>
      <c r="AF37" s="209">
        <f>AE37</f>
        <v>30</v>
      </c>
      <c r="AG37" s="209">
        <f>AF37</f>
        <v>30</v>
      </c>
      <c r="AH37" s="209">
        <f>AG37</f>
        <v>30</v>
      </c>
      <c r="AI37" s="210">
        <f t="shared" ref="AI37:AT37" si="25">(((AH37*(1+($B$50*$B$4)))-AH37)/12)+AH37</f>
        <v>30.504000000000001</v>
      </c>
      <c r="AJ37" s="209">
        <f t="shared" si="25"/>
        <v>31.016467200000001</v>
      </c>
      <c r="AK37" s="209">
        <f t="shared" si="25"/>
        <v>31.537543848960002</v>
      </c>
      <c r="AL37" s="209">
        <f t="shared" si="25"/>
        <v>32.067374585622531</v>
      </c>
      <c r="AM37" s="209">
        <f t="shared" si="25"/>
        <v>32.60610647866099</v>
      </c>
      <c r="AN37" s="209">
        <f t="shared" si="25"/>
        <v>33.153889067502497</v>
      </c>
      <c r="AO37" s="209">
        <f t="shared" si="25"/>
        <v>33.710874403836542</v>
      </c>
      <c r="AP37" s="209">
        <f t="shared" si="25"/>
        <v>34.277217093820994</v>
      </c>
      <c r="AQ37" s="209">
        <f t="shared" si="25"/>
        <v>34.853074340997189</v>
      </c>
      <c r="AR37" s="209">
        <f t="shared" si="25"/>
        <v>35.438605989925939</v>
      </c>
      <c r="AS37" s="209">
        <f t="shared" si="25"/>
        <v>36.033974570556694</v>
      </c>
      <c r="AT37" s="209">
        <f t="shared" si="25"/>
        <v>36.639345343342043</v>
      </c>
      <c r="AU37" s="210">
        <f t="shared" ref="AU37:BF37" si="26">(((AT37*(1+($B$51*$B$4)))-AT37)/12)+AT37</f>
        <v>37.232902737904183</v>
      </c>
      <c r="AV37" s="209">
        <f t="shared" si="26"/>
        <v>37.836075762258233</v>
      </c>
      <c r="AW37" s="209">
        <f t="shared" si="26"/>
        <v>38.449020189606813</v>
      </c>
      <c r="AX37" s="209">
        <f t="shared" si="26"/>
        <v>39.071894316678446</v>
      </c>
      <c r="AY37" s="209">
        <f t="shared" si="26"/>
        <v>39.704859004608636</v>
      </c>
      <c r="AZ37" s="209">
        <f t="shared" si="26"/>
        <v>40.348077720483296</v>
      </c>
      <c r="BA37" s="209">
        <f t="shared" si="26"/>
        <v>41.001716579555122</v>
      </c>
      <c r="BB37" s="209">
        <f t="shared" si="26"/>
        <v>41.665944388143913</v>
      </c>
      <c r="BC37" s="209">
        <f t="shared" si="26"/>
        <v>42.340932687231842</v>
      </c>
      <c r="BD37" s="209">
        <f t="shared" si="26"/>
        <v>43.026855796764998</v>
      </c>
      <c r="BE37" s="209">
        <f t="shared" si="26"/>
        <v>43.72389086067259</v>
      </c>
      <c r="BF37" s="209">
        <f t="shared" si="26"/>
        <v>44.432217892615483</v>
      </c>
      <c r="BG37" s="210">
        <f t="shared" ref="BG37:BR37" si="27">(((BF37*(1+($B$52*$B$4)))-BF37)/12)+BF37</f>
        <v>45.098701161004712</v>
      </c>
      <c r="BH37" s="209">
        <f t="shared" si="27"/>
        <v>45.775181678419784</v>
      </c>
      <c r="BI37" s="209">
        <f t="shared" si="27"/>
        <v>46.461809403596078</v>
      </c>
      <c r="BJ37" s="209">
        <f t="shared" si="27"/>
        <v>47.158736544650019</v>
      </c>
      <c r="BK37" s="209">
        <f t="shared" si="27"/>
        <v>47.866117592819769</v>
      </c>
      <c r="BL37" s="209">
        <f t="shared" si="27"/>
        <v>48.584109356712062</v>
      </c>
      <c r="BM37" s="209">
        <f t="shared" si="27"/>
        <v>49.312870997062745</v>
      </c>
      <c r="BN37" s="209">
        <f t="shared" si="27"/>
        <v>50.052564062018689</v>
      </c>
      <c r="BO37" s="209">
        <f t="shared" si="27"/>
        <v>50.80335252294897</v>
      </c>
      <c r="BP37" s="209">
        <f t="shared" si="27"/>
        <v>51.565402810793202</v>
      </c>
      <c r="BQ37" s="209">
        <f t="shared" si="27"/>
        <v>52.338883852955099</v>
      </c>
      <c r="BR37" s="209">
        <f t="shared" si="27"/>
        <v>53.123967110749426</v>
      </c>
      <c r="BS37" s="210">
        <f t="shared" ref="BS37:CD37" si="28">(((BR37*(1+($B$53*$B$4)))-BR37)/12)+BR37</f>
        <v>53.920826617410668</v>
      </c>
      <c r="BT37" s="209">
        <f t="shared" si="28"/>
        <v>54.729639016671825</v>
      </c>
      <c r="BU37" s="209">
        <f t="shared" si="28"/>
        <v>55.5505836019219</v>
      </c>
      <c r="BV37" s="209">
        <f t="shared" si="28"/>
        <v>56.383842355950726</v>
      </c>
      <c r="BW37" s="209">
        <f t="shared" si="28"/>
        <v>57.229599991289987</v>
      </c>
      <c r="BX37" s="209">
        <f t="shared" si="28"/>
        <v>58.088043991159338</v>
      </c>
      <c r="BY37" s="209">
        <f t="shared" si="28"/>
        <v>58.959364651026732</v>
      </c>
      <c r="BZ37" s="209">
        <f t="shared" si="28"/>
        <v>59.843755120792132</v>
      </c>
      <c r="CA37" s="209">
        <f t="shared" si="28"/>
        <v>60.741411447604015</v>
      </c>
      <c r="CB37" s="209">
        <f t="shared" si="28"/>
        <v>61.652532619318073</v>
      </c>
      <c r="CC37" s="209">
        <f t="shared" si="28"/>
        <v>62.577320608607842</v>
      </c>
      <c r="CD37" s="209">
        <f t="shared" si="28"/>
        <v>63.515980417736962</v>
      </c>
      <c r="CE37" s="210">
        <f t="shared" ref="CE37:CP37" si="29">(((CD37*(1+($B$54*$B$4)))-CD37)/12)+CD37</f>
        <v>64.468720124003013</v>
      </c>
      <c r="CF37" s="209">
        <f t="shared" si="29"/>
        <v>65.435750925863061</v>
      </c>
      <c r="CG37" s="209">
        <f t="shared" si="29"/>
        <v>66.417287189751008</v>
      </c>
      <c r="CH37" s="209">
        <f t="shared" si="29"/>
        <v>67.413546497597267</v>
      </c>
      <c r="CI37" s="209">
        <f t="shared" si="29"/>
        <v>68.424749695061223</v>
      </c>
      <c r="CJ37" s="209">
        <f t="shared" si="29"/>
        <v>69.451120940487144</v>
      </c>
      <c r="CK37" s="209">
        <f t="shared" si="29"/>
        <v>70.492887754594449</v>
      </c>
      <c r="CL37" s="209">
        <f t="shared" si="29"/>
        <v>71.550281070913371</v>
      </c>
      <c r="CM37" s="209">
        <f t="shared" si="29"/>
        <v>72.623535286977074</v>
      </c>
      <c r="CN37" s="209">
        <f t="shared" si="29"/>
        <v>73.712888316281735</v>
      </c>
      <c r="CO37" s="209">
        <f t="shared" si="29"/>
        <v>74.818581641025958</v>
      </c>
      <c r="CP37" s="209">
        <f t="shared" si="29"/>
        <v>75.940860365641342</v>
      </c>
      <c r="CQ37" s="210">
        <f t="shared" ref="CQ37:DB37" si="30">(((CP37*(1+($B$55*$B$4)))-CP37)/12)+CP37</f>
        <v>77.079973271125965</v>
      </c>
      <c r="CR37" s="209">
        <f t="shared" si="30"/>
        <v>78.23617287019286</v>
      </c>
      <c r="CS37" s="209">
        <f t="shared" si="30"/>
        <v>79.409715463245746</v>
      </c>
      <c r="CT37" s="209">
        <f t="shared" si="30"/>
        <v>80.600861195194426</v>
      </c>
      <c r="CU37" s="209">
        <f t="shared" si="30"/>
        <v>81.809874113122348</v>
      </c>
      <c r="CV37" s="209">
        <f t="shared" si="30"/>
        <v>83.037022224819182</v>
      </c>
      <c r="CW37" s="209">
        <f t="shared" si="30"/>
        <v>84.282577558191463</v>
      </c>
      <c r="CX37" s="209">
        <f t="shared" si="30"/>
        <v>85.546816221564342</v>
      </c>
      <c r="CY37" s="209">
        <f t="shared" si="30"/>
        <v>86.8300184648878</v>
      </c>
      <c r="CZ37" s="209">
        <f t="shared" si="30"/>
        <v>88.132468741861118</v>
      </c>
      <c r="DA37" s="209">
        <f t="shared" si="30"/>
        <v>89.454455772989036</v>
      </c>
      <c r="DB37" s="209">
        <f t="shared" si="30"/>
        <v>90.796272609583866</v>
      </c>
      <c r="DC37" s="210">
        <f t="shared" ref="DC37:DN37" si="31">(((DB37*(1+($B$56*$B$4)))-DB37)/12)+DB37</f>
        <v>92.158216698727628</v>
      </c>
      <c r="DD37" s="209">
        <f t="shared" si="31"/>
        <v>93.540589949208538</v>
      </c>
      <c r="DE37" s="209">
        <f t="shared" si="31"/>
        <v>94.943698798446661</v>
      </c>
      <c r="DF37" s="209">
        <f t="shared" si="31"/>
        <v>96.367854280423359</v>
      </c>
      <c r="DG37" s="209">
        <f t="shared" si="31"/>
        <v>97.813372094629713</v>
      </c>
      <c r="DH37" s="209">
        <f t="shared" si="31"/>
        <v>99.280572676049161</v>
      </c>
      <c r="DI37" s="209">
        <f t="shared" si="31"/>
        <v>100.7697812661899</v>
      </c>
      <c r="DJ37" s="209">
        <f t="shared" si="31"/>
        <v>102.28132798518274</v>
      </c>
      <c r="DK37" s="209">
        <f t="shared" si="31"/>
        <v>103.81554790496048</v>
      </c>
      <c r="DL37" s="209">
        <f t="shared" si="31"/>
        <v>105.37278112353489</v>
      </c>
      <c r="DM37" s="209">
        <f t="shared" si="31"/>
        <v>106.95337284038791</v>
      </c>
      <c r="DN37" s="209">
        <f t="shared" si="31"/>
        <v>108.55767343299374</v>
      </c>
      <c r="DO37" s="210">
        <f t="shared" ref="DO37:DZ37" si="32">(((DN37*(1+($B$61*$B$4)))-DN37)/12)+DN37</f>
        <v>109.53469249389069</v>
      </c>
      <c r="DP37" s="209">
        <f t="shared" si="32"/>
        <v>110.5205047263357</v>
      </c>
      <c r="DQ37" s="209">
        <f t="shared" si="32"/>
        <v>111.51518926887272</v>
      </c>
      <c r="DR37" s="209">
        <f t="shared" si="32"/>
        <v>112.51882597229257</v>
      </c>
      <c r="DS37" s="209">
        <f t="shared" si="32"/>
        <v>113.53149540604321</v>
      </c>
      <c r="DT37" s="209">
        <f t="shared" si="32"/>
        <v>114.5532788646976</v>
      </c>
      <c r="DU37" s="209">
        <f t="shared" si="32"/>
        <v>115.58425837447989</v>
      </c>
      <c r="DV37" s="209">
        <f t="shared" si="32"/>
        <v>116.6245166998502</v>
      </c>
      <c r="DW37" s="209">
        <f t="shared" si="32"/>
        <v>117.67413735014885</v>
      </c>
      <c r="DX37" s="209">
        <f t="shared" si="32"/>
        <v>118.73320458630019</v>
      </c>
      <c r="DY37" s="209">
        <f t="shared" si="32"/>
        <v>119.80180342757689</v>
      </c>
      <c r="DZ37" s="209">
        <f t="shared" si="32"/>
        <v>120.88001965842508</v>
      </c>
      <c r="EA37" s="210">
        <f>(((DZ37*(1+($B$62*$B$4)))-DZ37)/12)+DZ37</f>
        <v>121.78661980586327</v>
      </c>
      <c r="EB37" s="209">
        <f>(((EA37*(1+($B$62*$B$4)))-EA37)/12)+EA37</f>
        <v>122.70001945440724</v>
      </c>
      <c r="EC37" s="209">
        <f>(((EB37*(1+($B$62*$B$4)))-EB37)/12)+EB37</f>
        <v>123.6202696003153</v>
      </c>
      <c r="ED37" s="327">
        <f>(((EC37*(1+($B$62*$B$4)))-EC37)/12)+EC37</f>
        <v>124.54742162231766</v>
      </c>
    </row>
    <row r="38" spans="1:134" ht="18.75" outlineLevel="1" x14ac:dyDescent="0.3">
      <c r="A38" t="s">
        <v>220</v>
      </c>
      <c r="B38" s="82">
        <f>'Growth Prediction Exec Summary'!F5</f>
        <v>0.08</v>
      </c>
      <c r="C38" s="736"/>
      <c r="D38" s="730"/>
      <c r="E38" s="730"/>
      <c r="F38" s="730"/>
      <c r="G38" s="730"/>
      <c r="H38" s="730"/>
      <c r="I38" s="730"/>
      <c r="J38" s="730"/>
      <c r="K38" s="730"/>
      <c r="L38" s="146"/>
      <c r="M38" s="139"/>
      <c r="N38" s="558"/>
      <c r="O38" s="559"/>
      <c r="P38" s="559"/>
      <c r="Q38" s="140"/>
      <c r="R38" s="147"/>
      <c r="S38" s="141"/>
      <c r="T38" s="141"/>
      <c r="U38" s="139"/>
      <c r="V38" s="277">
        <v>2</v>
      </c>
      <c r="W38" s="328">
        <f t="shared" ref="W38:BB38" si="33">ROUNDUP($V$38*(W37/100)/0.8,0)</f>
        <v>1</v>
      </c>
      <c r="X38" s="207">
        <f t="shared" si="33"/>
        <v>1</v>
      </c>
      <c r="Y38" s="207">
        <f t="shared" si="33"/>
        <v>1</v>
      </c>
      <c r="Z38" s="207">
        <f t="shared" si="33"/>
        <v>1</v>
      </c>
      <c r="AA38" s="207">
        <f t="shared" si="33"/>
        <v>1</v>
      </c>
      <c r="AB38" s="207">
        <f t="shared" si="33"/>
        <v>1</v>
      </c>
      <c r="AC38" s="207">
        <f t="shared" si="33"/>
        <v>1</v>
      </c>
      <c r="AD38" s="207">
        <f t="shared" si="33"/>
        <v>1</v>
      </c>
      <c r="AE38" s="207">
        <f t="shared" si="33"/>
        <v>1</v>
      </c>
      <c r="AF38" s="207">
        <f t="shared" si="33"/>
        <v>1</v>
      </c>
      <c r="AG38" s="207">
        <f t="shared" si="33"/>
        <v>1</v>
      </c>
      <c r="AH38" s="207">
        <f t="shared" si="33"/>
        <v>1</v>
      </c>
      <c r="AI38" s="208">
        <f t="shared" si="33"/>
        <v>1</v>
      </c>
      <c r="AJ38" s="207">
        <f t="shared" si="33"/>
        <v>1</v>
      </c>
      <c r="AK38" s="207">
        <f t="shared" si="33"/>
        <v>1</v>
      </c>
      <c r="AL38" s="207">
        <f t="shared" si="33"/>
        <v>1</v>
      </c>
      <c r="AM38" s="207">
        <f t="shared" si="33"/>
        <v>1</v>
      </c>
      <c r="AN38" s="207">
        <f t="shared" si="33"/>
        <v>1</v>
      </c>
      <c r="AO38" s="207">
        <f t="shared" si="33"/>
        <v>1</v>
      </c>
      <c r="AP38" s="207">
        <f t="shared" si="33"/>
        <v>1</v>
      </c>
      <c r="AQ38" s="207">
        <f t="shared" si="33"/>
        <v>1</v>
      </c>
      <c r="AR38" s="207">
        <f t="shared" si="33"/>
        <v>1</v>
      </c>
      <c r="AS38" s="207">
        <f t="shared" si="33"/>
        <v>1</v>
      </c>
      <c r="AT38" s="207">
        <f t="shared" si="33"/>
        <v>1</v>
      </c>
      <c r="AU38" s="208">
        <f t="shared" si="33"/>
        <v>1</v>
      </c>
      <c r="AV38" s="207">
        <f t="shared" si="33"/>
        <v>1</v>
      </c>
      <c r="AW38" s="207">
        <f t="shared" si="33"/>
        <v>1</v>
      </c>
      <c r="AX38" s="207">
        <f t="shared" si="33"/>
        <v>1</v>
      </c>
      <c r="AY38" s="207">
        <f t="shared" si="33"/>
        <v>1</v>
      </c>
      <c r="AZ38" s="207">
        <f t="shared" si="33"/>
        <v>2</v>
      </c>
      <c r="BA38" s="207">
        <f t="shared" si="33"/>
        <v>2</v>
      </c>
      <c r="BB38" s="207">
        <f t="shared" si="33"/>
        <v>2</v>
      </c>
      <c r="BC38" s="207">
        <f t="shared" ref="BC38:CH38" si="34">ROUNDUP($V$38*(BC37/100)/0.8,0)</f>
        <v>2</v>
      </c>
      <c r="BD38" s="207">
        <f t="shared" si="34"/>
        <v>2</v>
      </c>
      <c r="BE38" s="207">
        <f t="shared" si="34"/>
        <v>2</v>
      </c>
      <c r="BF38" s="207">
        <f t="shared" si="34"/>
        <v>2</v>
      </c>
      <c r="BG38" s="208">
        <f t="shared" si="34"/>
        <v>2</v>
      </c>
      <c r="BH38" s="207">
        <f t="shared" si="34"/>
        <v>2</v>
      </c>
      <c r="BI38" s="207">
        <f t="shared" si="34"/>
        <v>2</v>
      </c>
      <c r="BJ38" s="207">
        <f t="shared" si="34"/>
        <v>2</v>
      </c>
      <c r="BK38" s="207">
        <f t="shared" si="34"/>
        <v>2</v>
      </c>
      <c r="BL38" s="207">
        <f t="shared" si="34"/>
        <v>2</v>
      </c>
      <c r="BM38" s="207">
        <f t="shared" si="34"/>
        <v>2</v>
      </c>
      <c r="BN38" s="207">
        <f t="shared" si="34"/>
        <v>2</v>
      </c>
      <c r="BO38" s="207">
        <f t="shared" si="34"/>
        <v>2</v>
      </c>
      <c r="BP38" s="207">
        <f t="shared" si="34"/>
        <v>2</v>
      </c>
      <c r="BQ38" s="207">
        <f t="shared" si="34"/>
        <v>2</v>
      </c>
      <c r="BR38" s="207">
        <f t="shared" si="34"/>
        <v>2</v>
      </c>
      <c r="BS38" s="208">
        <f t="shared" si="34"/>
        <v>2</v>
      </c>
      <c r="BT38" s="207">
        <f t="shared" si="34"/>
        <v>2</v>
      </c>
      <c r="BU38" s="207">
        <f t="shared" si="34"/>
        <v>2</v>
      </c>
      <c r="BV38" s="207">
        <f t="shared" si="34"/>
        <v>2</v>
      </c>
      <c r="BW38" s="207">
        <f t="shared" si="34"/>
        <v>2</v>
      </c>
      <c r="BX38" s="207">
        <f t="shared" si="34"/>
        <v>2</v>
      </c>
      <c r="BY38" s="207">
        <f t="shared" si="34"/>
        <v>2</v>
      </c>
      <c r="BZ38" s="207">
        <f t="shared" si="34"/>
        <v>2</v>
      </c>
      <c r="CA38" s="207">
        <f t="shared" si="34"/>
        <v>2</v>
      </c>
      <c r="CB38" s="207">
        <f t="shared" si="34"/>
        <v>2</v>
      </c>
      <c r="CC38" s="207">
        <f t="shared" si="34"/>
        <v>2</v>
      </c>
      <c r="CD38" s="207">
        <f t="shared" si="34"/>
        <v>2</v>
      </c>
      <c r="CE38" s="208">
        <f t="shared" si="34"/>
        <v>2</v>
      </c>
      <c r="CF38" s="207">
        <f t="shared" si="34"/>
        <v>2</v>
      </c>
      <c r="CG38" s="207">
        <f t="shared" si="34"/>
        <v>2</v>
      </c>
      <c r="CH38" s="207">
        <f t="shared" si="34"/>
        <v>2</v>
      </c>
      <c r="CI38" s="207">
        <f t="shared" ref="CI38:DN38" si="35">ROUNDUP($V$38*(CI37/100)/0.8,0)</f>
        <v>2</v>
      </c>
      <c r="CJ38" s="207">
        <f t="shared" si="35"/>
        <v>2</v>
      </c>
      <c r="CK38" s="207">
        <f t="shared" si="35"/>
        <v>2</v>
      </c>
      <c r="CL38" s="207">
        <f t="shared" si="35"/>
        <v>2</v>
      </c>
      <c r="CM38" s="207">
        <f t="shared" si="35"/>
        <v>2</v>
      </c>
      <c r="CN38" s="207">
        <f t="shared" si="35"/>
        <v>2</v>
      </c>
      <c r="CO38" s="207">
        <f t="shared" si="35"/>
        <v>2</v>
      </c>
      <c r="CP38" s="207">
        <f t="shared" si="35"/>
        <v>2</v>
      </c>
      <c r="CQ38" s="208">
        <f t="shared" si="35"/>
        <v>2</v>
      </c>
      <c r="CR38" s="207">
        <f t="shared" si="35"/>
        <v>2</v>
      </c>
      <c r="CS38" s="207">
        <f t="shared" si="35"/>
        <v>2</v>
      </c>
      <c r="CT38" s="207">
        <f t="shared" si="35"/>
        <v>3</v>
      </c>
      <c r="CU38" s="207">
        <f t="shared" si="35"/>
        <v>3</v>
      </c>
      <c r="CV38" s="207">
        <f t="shared" si="35"/>
        <v>3</v>
      </c>
      <c r="CW38" s="207">
        <f t="shared" si="35"/>
        <v>3</v>
      </c>
      <c r="CX38" s="207">
        <f t="shared" si="35"/>
        <v>3</v>
      </c>
      <c r="CY38" s="207">
        <f t="shared" si="35"/>
        <v>3</v>
      </c>
      <c r="CZ38" s="207">
        <f t="shared" si="35"/>
        <v>3</v>
      </c>
      <c r="DA38" s="207">
        <f t="shared" si="35"/>
        <v>3</v>
      </c>
      <c r="DB38" s="207">
        <f t="shared" si="35"/>
        <v>3</v>
      </c>
      <c r="DC38" s="208">
        <f t="shared" si="35"/>
        <v>3</v>
      </c>
      <c r="DD38" s="207">
        <f t="shared" si="35"/>
        <v>3</v>
      </c>
      <c r="DE38" s="207">
        <f t="shared" si="35"/>
        <v>3</v>
      </c>
      <c r="DF38" s="207">
        <f t="shared" si="35"/>
        <v>3</v>
      </c>
      <c r="DG38" s="207">
        <f t="shared" si="35"/>
        <v>3</v>
      </c>
      <c r="DH38" s="207">
        <f t="shared" si="35"/>
        <v>3</v>
      </c>
      <c r="DI38" s="207">
        <f t="shared" si="35"/>
        <v>3</v>
      </c>
      <c r="DJ38" s="207">
        <f t="shared" si="35"/>
        <v>3</v>
      </c>
      <c r="DK38" s="207">
        <f t="shared" si="35"/>
        <v>3</v>
      </c>
      <c r="DL38" s="207">
        <f t="shared" si="35"/>
        <v>3</v>
      </c>
      <c r="DM38" s="207">
        <f t="shared" si="35"/>
        <v>3</v>
      </c>
      <c r="DN38" s="207">
        <f t="shared" si="35"/>
        <v>3</v>
      </c>
      <c r="DO38" s="208">
        <f t="shared" ref="DO38:ED38" si="36">ROUNDUP($V$38*(DO37/100)/0.8,0)</f>
        <v>3</v>
      </c>
      <c r="DP38" s="207">
        <f t="shared" si="36"/>
        <v>3</v>
      </c>
      <c r="DQ38" s="207">
        <f t="shared" si="36"/>
        <v>3</v>
      </c>
      <c r="DR38" s="207">
        <f t="shared" si="36"/>
        <v>3</v>
      </c>
      <c r="DS38" s="207">
        <f t="shared" si="36"/>
        <v>3</v>
      </c>
      <c r="DT38" s="207">
        <f t="shared" si="36"/>
        <v>3</v>
      </c>
      <c r="DU38" s="207">
        <f t="shared" si="36"/>
        <v>3</v>
      </c>
      <c r="DV38" s="207">
        <f t="shared" si="36"/>
        <v>3</v>
      </c>
      <c r="DW38" s="207">
        <f t="shared" si="36"/>
        <v>3</v>
      </c>
      <c r="DX38" s="207">
        <f t="shared" si="36"/>
        <v>3</v>
      </c>
      <c r="DY38" s="207">
        <f t="shared" si="36"/>
        <v>3</v>
      </c>
      <c r="DZ38" s="207">
        <f t="shared" si="36"/>
        <v>4</v>
      </c>
      <c r="EA38" s="208">
        <f t="shared" si="36"/>
        <v>4</v>
      </c>
      <c r="EB38" s="207">
        <f t="shared" si="36"/>
        <v>4</v>
      </c>
      <c r="EC38" s="207">
        <f t="shared" si="36"/>
        <v>4</v>
      </c>
      <c r="ED38" s="329">
        <f t="shared" si="36"/>
        <v>4</v>
      </c>
    </row>
    <row r="39" spans="1:134" ht="18.600000000000001" customHeight="1" outlineLevel="1" x14ac:dyDescent="0.3">
      <c r="A39" t="s">
        <v>221</v>
      </c>
      <c r="B39" s="82">
        <f>'Growth Prediction Exec Summary'!G5</f>
        <v>0.08</v>
      </c>
      <c r="C39" s="736"/>
      <c r="D39" s="729" t="s">
        <v>222</v>
      </c>
      <c r="E39" s="729"/>
      <c r="F39" s="729"/>
      <c r="G39" s="729"/>
      <c r="H39" s="729"/>
      <c r="I39" s="729"/>
      <c r="J39" s="729"/>
      <c r="K39" s="729"/>
      <c r="L39" s="158"/>
      <c r="M39" s="492">
        <f>N39*100</f>
        <v>25.25</v>
      </c>
      <c r="N39" s="555">
        <f>'SEC Benches Data'!I4/100</f>
        <v>0.2525</v>
      </c>
      <c r="O39" s="556">
        <f>'SEC Benches Data'!U4/100</f>
        <v>0.35</v>
      </c>
      <c r="P39" s="556">
        <f>'SEC Benches Data'!AG4/100</f>
        <v>0.54749999999999999</v>
      </c>
      <c r="Q39" s="137"/>
      <c r="R39" s="145">
        <f t="shared" si="24"/>
        <v>0.29499999999999998</v>
      </c>
      <c r="S39" s="138">
        <v>8</v>
      </c>
      <c r="T39" s="138">
        <v>2</v>
      </c>
      <c r="U39" s="136"/>
      <c r="V39" s="320"/>
      <c r="W39" s="334">
        <f>M39</f>
        <v>25.25</v>
      </c>
      <c r="X39" s="335">
        <f>W39</f>
        <v>25.25</v>
      </c>
      <c r="Y39" s="335">
        <f>X39</f>
        <v>25.25</v>
      </c>
      <c r="Z39" s="335">
        <f>O39*100</f>
        <v>35</v>
      </c>
      <c r="AA39" s="335">
        <f>Z39</f>
        <v>35</v>
      </c>
      <c r="AB39" s="335">
        <f>AA39</f>
        <v>35</v>
      </c>
      <c r="AC39" s="335">
        <f>P39*100</f>
        <v>54.75</v>
      </c>
      <c r="AD39" s="335">
        <f>AC39</f>
        <v>54.75</v>
      </c>
      <c r="AE39" s="335">
        <f>AD39</f>
        <v>54.75</v>
      </c>
      <c r="AF39" s="335">
        <f>AE39</f>
        <v>54.75</v>
      </c>
      <c r="AG39" s="335">
        <f>AF39</f>
        <v>54.75</v>
      </c>
      <c r="AH39" s="335">
        <f>AG39</f>
        <v>54.75</v>
      </c>
      <c r="AI39" s="336">
        <f t="shared" ref="AI39:AT39" si="37">(((AH39*(1+($B$50*$B$4)))-AH39)/12)+AH39</f>
        <v>55.669800000000002</v>
      </c>
      <c r="AJ39" s="335">
        <f t="shared" si="37"/>
        <v>56.605052640000004</v>
      </c>
      <c r="AK39" s="335">
        <f t="shared" si="37"/>
        <v>57.556017524352001</v>
      </c>
      <c r="AL39" s="335">
        <f t="shared" si="37"/>
        <v>58.522958618761116</v>
      </c>
      <c r="AM39" s="335">
        <f t="shared" si="37"/>
        <v>59.506144323556306</v>
      </c>
      <c r="AN39" s="335">
        <f t="shared" si="37"/>
        <v>60.505847548192051</v>
      </c>
      <c r="AO39" s="335">
        <f t="shared" si="37"/>
        <v>61.522345787001676</v>
      </c>
      <c r="AP39" s="335">
        <f t="shared" si="37"/>
        <v>62.555921196223302</v>
      </c>
      <c r="AQ39" s="335">
        <f t="shared" si="37"/>
        <v>63.606860672319854</v>
      </c>
      <c r="AR39" s="335">
        <f t="shared" si="37"/>
        <v>64.675455931614835</v>
      </c>
      <c r="AS39" s="335">
        <f t="shared" si="37"/>
        <v>65.762003591265966</v>
      </c>
      <c r="AT39" s="335">
        <f t="shared" si="37"/>
        <v>66.866805251599231</v>
      </c>
      <c r="AU39" s="336">
        <f t="shared" ref="AU39:BF39" si="38">(((AT39*(1+($B$51*$B$4)))-AT39)/12)+AT39</f>
        <v>67.95004749667514</v>
      </c>
      <c r="AV39" s="335">
        <f t="shared" si="38"/>
        <v>69.050838266121275</v>
      </c>
      <c r="AW39" s="335">
        <f t="shared" si="38"/>
        <v>70.169461846032434</v>
      </c>
      <c r="AX39" s="335">
        <f t="shared" si="38"/>
        <v>71.306207127938166</v>
      </c>
      <c r="AY39" s="335">
        <f t="shared" si="38"/>
        <v>72.461367683410771</v>
      </c>
      <c r="AZ39" s="335">
        <f t="shared" si="38"/>
        <v>73.635241839882028</v>
      </c>
      <c r="BA39" s="335">
        <f t="shared" si="38"/>
        <v>74.82813275768811</v>
      </c>
      <c r="BB39" s="335">
        <f t="shared" si="38"/>
        <v>76.040348508362655</v>
      </c>
      <c r="BC39" s="335">
        <f t="shared" si="38"/>
        <v>77.272202154198126</v>
      </c>
      <c r="BD39" s="335">
        <f t="shared" si="38"/>
        <v>78.524011829096139</v>
      </c>
      <c r="BE39" s="335">
        <f t="shared" si="38"/>
        <v>79.796100820727503</v>
      </c>
      <c r="BF39" s="335">
        <f t="shared" si="38"/>
        <v>81.088797654023281</v>
      </c>
      <c r="BG39" s="336">
        <f t="shared" ref="BG39:BR39" si="39">(((BF39*(1+($B$52*$B$4)))-BF39)/12)+BF39</f>
        <v>82.305129618833632</v>
      </c>
      <c r="BH39" s="335">
        <f t="shared" si="39"/>
        <v>83.539706563116141</v>
      </c>
      <c r="BI39" s="335">
        <f t="shared" si="39"/>
        <v>84.792802161562889</v>
      </c>
      <c r="BJ39" s="335">
        <f t="shared" si="39"/>
        <v>86.064694193986327</v>
      </c>
      <c r="BK39" s="335">
        <f t="shared" si="39"/>
        <v>87.355664606896127</v>
      </c>
      <c r="BL39" s="335">
        <f t="shared" si="39"/>
        <v>88.665999575999564</v>
      </c>
      <c r="BM39" s="335">
        <f t="shared" si="39"/>
        <v>89.995989569639562</v>
      </c>
      <c r="BN39" s="335">
        <f t="shared" si="39"/>
        <v>91.345929413184152</v>
      </c>
      <c r="BO39" s="335">
        <f t="shared" si="39"/>
        <v>92.716118354381919</v>
      </c>
      <c r="BP39" s="335">
        <f t="shared" si="39"/>
        <v>94.106860129697651</v>
      </c>
      <c r="BQ39" s="335">
        <f t="shared" si="39"/>
        <v>95.518463031643108</v>
      </c>
      <c r="BR39" s="335">
        <f t="shared" si="39"/>
        <v>96.951239977117751</v>
      </c>
      <c r="BS39" s="336">
        <f t="shared" ref="BS39:CD39" si="40">(((BR39*(1+($B$53*$B$4)))-BR39)/12)+BR39</f>
        <v>98.405508576774523</v>
      </c>
      <c r="BT39" s="335">
        <f t="shared" si="40"/>
        <v>99.881591205426133</v>
      </c>
      <c r="BU39" s="335">
        <f t="shared" si="40"/>
        <v>101.37981507350753</v>
      </c>
      <c r="BV39" s="335">
        <f t="shared" si="40"/>
        <v>102.90051229961014</v>
      </c>
      <c r="BW39" s="335">
        <f t="shared" si="40"/>
        <v>104.4440199841043</v>
      </c>
      <c r="BX39" s="335">
        <f t="shared" si="40"/>
        <v>106.01068028386587</v>
      </c>
      <c r="BY39" s="335">
        <f t="shared" si="40"/>
        <v>107.60084048812385</v>
      </c>
      <c r="BZ39" s="335">
        <f t="shared" si="40"/>
        <v>109.2148530954457</v>
      </c>
      <c r="CA39" s="335">
        <f t="shared" si="40"/>
        <v>110.85307589187738</v>
      </c>
      <c r="CB39" s="335">
        <f t="shared" si="40"/>
        <v>112.51587203025554</v>
      </c>
      <c r="CC39" s="335">
        <f t="shared" si="40"/>
        <v>114.20361011070938</v>
      </c>
      <c r="CD39" s="335">
        <f t="shared" si="40"/>
        <v>115.91666426237002</v>
      </c>
      <c r="CE39" s="336">
        <f t="shared" ref="CE39:CP39" si="41">(((CD39*(1+($B$54*$B$4)))-CD39)/12)+CD39</f>
        <v>117.65541422630557</v>
      </c>
      <c r="CF39" s="335">
        <f t="shared" si="41"/>
        <v>119.42024543970015</v>
      </c>
      <c r="CG39" s="335">
        <f t="shared" si="41"/>
        <v>121.21154912129566</v>
      </c>
      <c r="CH39" s="335">
        <f t="shared" si="41"/>
        <v>123.02972235811509</v>
      </c>
      <c r="CI39" s="335">
        <f t="shared" si="41"/>
        <v>124.87516819348681</v>
      </c>
      <c r="CJ39" s="335">
        <f t="shared" si="41"/>
        <v>126.74829571638912</v>
      </c>
      <c r="CK39" s="335">
        <f t="shared" si="41"/>
        <v>128.64952015213495</v>
      </c>
      <c r="CL39" s="335">
        <f t="shared" si="41"/>
        <v>130.57926295441698</v>
      </c>
      <c r="CM39" s="335">
        <f t="shared" si="41"/>
        <v>132.53795189873324</v>
      </c>
      <c r="CN39" s="335">
        <f t="shared" si="41"/>
        <v>134.52602117721423</v>
      </c>
      <c r="CO39" s="335">
        <f t="shared" si="41"/>
        <v>136.54391149487245</v>
      </c>
      <c r="CP39" s="335">
        <f t="shared" si="41"/>
        <v>138.59207016729553</v>
      </c>
      <c r="CQ39" s="336">
        <f t="shared" ref="CQ39:DB39" si="42">(((CP39*(1+($B$55*$B$4)))-CP39)/12)+CP39</f>
        <v>140.67095121980498</v>
      </c>
      <c r="CR39" s="335">
        <f t="shared" si="42"/>
        <v>142.78101548810204</v>
      </c>
      <c r="CS39" s="335">
        <f t="shared" si="42"/>
        <v>144.92273072042357</v>
      </c>
      <c r="CT39" s="335">
        <f t="shared" si="42"/>
        <v>147.09657168122993</v>
      </c>
      <c r="CU39" s="335">
        <f t="shared" si="42"/>
        <v>149.30302025644838</v>
      </c>
      <c r="CV39" s="335">
        <f t="shared" si="42"/>
        <v>151.54256556029509</v>
      </c>
      <c r="CW39" s="335">
        <f t="shared" si="42"/>
        <v>153.81570404369953</v>
      </c>
      <c r="CX39" s="335">
        <f t="shared" si="42"/>
        <v>156.12293960435503</v>
      </c>
      <c r="CY39" s="335">
        <f t="shared" si="42"/>
        <v>158.46478369842035</v>
      </c>
      <c r="CZ39" s="335">
        <f t="shared" si="42"/>
        <v>160.84175545389667</v>
      </c>
      <c r="DA39" s="335">
        <f t="shared" si="42"/>
        <v>163.25438178570511</v>
      </c>
      <c r="DB39" s="335">
        <f t="shared" si="42"/>
        <v>165.70319751249068</v>
      </c>
      <c r="DC39" s="336">
        <f t="shared" ref="DC39:DN39" si="43">(((DB39*(1+($B$56*$B$4)))-DB39)/12)+DB39</f>
        <v>168.18874547517802</v>
      </c>
      <c r="DD39" s="335">
        <f t="shared" si="43"/>
        <v>170.7115766573057</v>
      </c>
      <c r="DE39" s="335">
        <f t="shared" si="43"/>
        <v>173.27225030716528</v>
      </c>
      <c r="DF39" s="335">
        <f t="shared" si="43"/>
        <v>175.87133406177276</v>
      </c>
      <c r="DG39" s="335">
        <f t="shared" si="43"/>
        <v>178.50940407269934</v>
      </c>
      <c r="DH39" s="335">
        <f t="shared" si="43"/>
        <v>181.18704513378984</v>
      </c>
      <c r="DI39" s="335">
        <f t="shared" si="43"/>
        <v>183.90485081079669</v>
      </c>
      <c r="DJ39" s="335">
        <f t="shared" si="43"/>
        <v>186.66342357295864</v>
      </c>
      <c r="DK39" s="335">
        <f t="shared" si="43"/>
        <v>189.463374926553</v>
      </c>
      <c r="DL39" s="335">
        <f t="shared" si="43"/>
        <v>192.3053255504513</v>
      </c>
      <c r="DM39" s="335">
        <f t="shared" si="43"/>
        <v>195.18990543370808</v>
      </c>
      <c r="DN39" s="335">
        <f t="shared" si="43"/>
        <v>198.11775401521371</v>
      </c>
      <c r="DO39" s="336">
        <f t="shared" ref="DO39:DZ39" si="44">(((DN39*(1+($B$61*$B$4)))-DN39)/12)+DN39</f>
        <v>199.90081380135064</v>
      </c>
      <c r="DP39" s="335">
        <f t="shared" si="44"/>
        <v>201.69992112556278</v>
      </c>
      <c r="DQ39" s="335">
        <f t="shared" si="44"/>
        <v>203.51522041569285</v>
      </c>
      <c r="DR39" s="335">
        <f t="shared" si="44"/>
        <v>205.3468573994341</v>
      </c>
      <c r="DS39" s="335">
        <f t="shared" si="44"/>
        <v>207.194979116029</v>
      </c>
      <c r="DT39" s="335">
        <f t="shared" si="44"/>
        <v>209.05973392807326</v>
      </c>
      <c r="DU39" s="335">
        <f t="shared" si="44"/>
        <v>210.94127153342592</v>
      </c>
      <c r="DV39" s="335">
        <f t="shared" si="44"/>
        <v>212.83974297722676</v>
      </c>
      <c r="DW39" s="335">
        <f t="shared" si="44"/>
        <v>214.7553006640218</v>
      </c>
      <c r="DX39" s="335">
        <f t="shared" si="44"/>
        <v>216.68809836999799</v>
      </c>
      <c r="DY39" s="335">
        <f t="shared" si="44"/>
        <v>218.63829125532797</v>
      </c>
      <c r="DZ39" s="335">
        <f t="shared" si="44"/>
        <v>220.60603587662592</v>
      </c>
      <c r="EA39" s="336">
        <f>(((DZ39*(1+($B$62*$B$4)))-DZ39)/12)+DZ39</f>
        <v>222.26058114570063</v>
      </c>
      <c r="EB39" s="335">
        <f>(((EA39*(1+($B$62*$B$4)))-EA39)/12)+EA39</f>
        <v>223.92753550429339</v>
      </c>
      <c r="EC39" s="335">
        <f>(((EB39*(1+($B$62*$B$4)))-EB39)/12)+EB39</f>
        <v>225.6069920205756</v>
      </c>
      <c r="ED39" s="337">
        <f>(((EC39*(1+($B$62*$B$4)))-EC39)/12)+EC39</f>
        <v>227.29904446072993</v>
      </c>
    </row>
    <row r="40" spans="1:134" ht="18.600000000000001" customHeight="1" outlineLevel="1" x14ac:dyDescent="0.3">
      <c r="A40" t="s">
        <v>223</v>
      </c>
      <c r="B40" s="82">
        <f>'Growth Prediction Exec Summary'!H5</f>
        <v>0.08</v>
      </c>
      <c r="C40" s="736"/>
      <c r="D40" s="730"/>
      <c r="E40" s="730"/>
      <c r="F40" s="730"/>
      <c r="G40" s="730"/>
      <c r="H40" s="730"/>
      <c r="I40" s="730"/>
      <c r="J40" s="730"/>
      <c r="K40" s="730"/>
      <c r="L40" s="146"/>
      <c r="M40" s="139"/>
      <c r="N40" s="558"/>
      <c r="O40" s="559"/>
      <c r="P40" s="559"/>
      <c r="Q40" s="140"/>
      <c r="R40" s="147"/>
      <c r="S40" s="141"/>
      <c r="T40" s="141"/>
      <c r="U40" s="139"/>
      <c r="V40" s="277">
        <v>2</v>
      </c>
      <c r="W40" s="330">
        <f t="shared" ref="W40:BB40" si="45">ROUNDUP($V$40*(W39/100)/0.8,0)</f>
        <v>1</v>
      </c>
      <c r="X40" s="331">
        <f t="shared" si="45"/>
        <v>1</v>
      </c>
      <c r="Y40" s="331">
        <f t="shared" si="45"/>
        <v>1</v>
      </c>
      <c r="Z40" s="331">
        <f t="shared" si="45"/>
        <v>1</v>
      </c>
      <c r="AA40" s="331">
        <f t="shared" si="45"/>
        <v>1</v>
      </c>
      <c r="AB40" s="331">
        <f t="shared" si="45"/>
        <v>1</v>
      </c>
      <c r="AC40" s="331">
        <f t="shared" si="45"/>
        <v>2</v>
      </c>
      <c r="AD40" s="331">
        <f t="shared" si="45"/>
        <v>2</v>
      </c>
      <c r="AE40" s="331">
        <f t="shared" si="45"/>
        <v>2</v>
      </c>
      <c r="AF40" s="331">
        <f t="shared" si="45"/>
        <v>2</v>
      </c>
      <c r="AG40" s="331">
        <f t="shared" si="45"/>
        <v>2</v>
      </c>
      <c r="AH40" s="331">
        <f t="shared" si="45"/>
        <v>2</v>
      </c>
      <c r="AI40" s="332">
        <f t="shared" si="45"/>
        <v>2</v>
      </c>
      <c r="AJ40" s="331">
        <f t="shared" si="45"/>
        <v>2</v>
      </c>
      <c r="AK40" s="331">
        <f t="shared" si="45"/>
        <v>2</v>
      </c>
      <c r="AL40" s="331">
        <f t="shared" si="45"/>
        <v>2</v>
      </c>
      <c r="AM40" s="331">
        <f t="shared" si="45"/>
        <v>2</v>
      </c>
      <c r="AN40" s="331">
        <f t="shared" si="45"/>
        <v>2</v>
      </c>
      <c r="AO40" s="331">
        <f t="shared" si="45"/>
        <v>2</v>
      </c>
      <c r="AP40" s="331">
        <f t="shared" si="45"/>
        <v>2</v>
      </c>
      <c r="AQ40" s="331">
        <f t="shared" si="45"/>
        <v>2</v>
      </c>
      <c r="AR40" s="331">
        <f t="shared" si="45"/>
        <v>2</v>
      </c>
      <c r="AS40" s="331">
        <f t="shared" si="45"/>
        <v>2</v>
      </c>
      <c r="AT40" s="331">
        <f t="shared" si="45"/>
        <v>2</v>
      </c>
      <c r="AU40" s="332">
        <f t="shared" si="45"/>
        <v>2</v>
      </c>
      <c r="AV40" s="331">
        <f t="shared" si="45"/>
        <v>2</v>
      </c>
      <c r="AW40" s="331">
        <f t="shared" si="45"/>
        <v>2</v>
      </c>
      <c r="AX40" s="331">
        <f t="shared" si="45"/>
        <v>2</v>
      </c>
      <c r="AY40" s="331">
        <f t="shared" si="45"/>
        <v>2</v>
      </c>
      <c r="AZ40" s="331">
        <f t="shared" si="45"/>
        <v>2</v>
      </c>
      <c r="BA40" s="331">
        <f t="shared" si="45"/>
        <v>2</v>
      </c>
      <c r="BB40" s="331">
        <f t="shared" si="45"/>
        <v>2</v>
      </c>
      <c r="BC40" s="331">
        <f t="shared" ref="BC40:CH40" si="46">ROUNDUP($V$40*(BC39/100)/0.8,0)</f>
        <v>2</v>
      </c>
      <c r="BD40" s="331">
        <f t="shared" si="46"/>
        <v>2</v>
      </c>
      <c r="BE40" s="331">
        <f t="shared" si="46"/>
        <v>2</v>
      </c>
      <c r="BF40" s="331">
        <f t="shared" si="46"/>
        <v>3</v>
      </c>
      <c r="BG40" s="332">
        <f t="shared" si="46"/>
        <v>3</v>
      </c>
      <c r="BH40" s="331">
        <f t="shared" si="46"/>
        <v>3</v>
      </c>
      <c r="BI40" s="331">
        <f t="shared" si="46"/>
        <v>3</v>
      </c>
      <c r="BJ40" s="331">
        <f t="shared" si="46"/>
        <v>3</v>
      </c>
      <c r="BK40" s="331">
        <f t="shared" si="46"/>
        <v>3</v>
      </c>
      <c r="BL40" s="331">
        <f t="shared" si="46"/>
        <v>3</v>
      </c>
      <c r="BM40" s="331">
        <f t="shared" si="46"/>
        <v>3</v>
      </c>
      <c r="BN40" s="331">
        <f t="shared" si="46"/>
        <v>3</v>
      </c>
      <c r="BO40" s="331">
        <f t="shared" si="46"/>
        <v>3</v>
      </c>
      <c r="BP40" s="331">
        <f t="shared" si="46"/>
        <v>3</v>
      </c>
      <c r="BQ40" s="331">
        <f t="shared" si="46"/>
        <v>3</v>
      </c>
      <c r="BR40" s="331">
        <f t="shared" si="46"/>
        <v>3</v>
      </c>
      <c r="BS40" s="332">
        <f t="shared" si="46"/>
        <v>3</v>
      </c>
      <c r="BT40" s="331">
        <f t="shared" si="46"/>
        <v>3</v>
      </c>
      <c r="BU40" s="331">
        <f t="shared" si="46"/>
        <v>3</v>
      </c>
      <c r="BV40" s="331">
        <f t="shared" si="46"/>
        <v>3</v>
      </c>
      <c r="BW40" s="331">
        <f t="shared" si="46"/>
        <v>3</v>
      </c>
      <c r="BX40" s="331">
        <f t="shared" si="46"/>
        <v>3</v>
      </c>
      <c r="BY40" s="331">
        <f t="shared" si="46"/>
        <v>3</v>
      </c>
      <c r="BZ40" s="331">
        <f t="shared" si="46"/>
        <v>3</v>
      </c>
      <c r="CA40" s="331">
        <f t="shared" si="46"/>
        <v>3</v>
      </c>
      <c r="CB40" s="331">
        <f t="shared" si="46"/>
        <v>3</v>
      </c>
      <c r="CC40" s="331">
        <f t="shared" si="46"/>
        <v>3</v>
      </c>
      <c r="CD40" s="331">
        <f t="shared" si="46"/>
        <v>3</v>
      </c>
      <c r="CE40" s="332">
        <f t="shared" si="46"/>
        <v>3</v>
      </c>
      <c r="CF40" s="331">
        <f t="shared" si="46"/>
        <v>3</v>
      </c>
      <c r="CG40" s="331">
        <f t="shared" si="46"/>
        <v>4</v>
      </c>
      <c r="CH40" s="331">
        <f t="shared" si="46"/>
        <v>4</v>
      </c>
      <c r="CI40" s="331">
        <f t="shared" ref="CI40:DN40" si="47">ROUNDUP($V$40*(CI39/100)/0.8,0)</f>
        <v>4</v>
      </c>
      <c r="CJ40" s="331">
        <f t="shared" si="47"/>
        <v>4</v>
      </c>
      <c r="CK40" s="331">
        <f t="shared" si="47"/>
        <v>4</v>
      </c>
      <c r="CL40" s="331">
        <f t="shared" si="47"/>
        <v>4</v>
      </c>
      <c r="CM40" s="331">
        <f t="shared" si="47"/>
        <v>4</v>
      </c>
      <c r="CN40" s="331">
        <f t="shared" si="47"/>
        <v>4</v>
      </c>
      <c r="CO40" s="331">
        <f t="shared" si="47"/>
        <v>4</v>
      </c>
      <c r="CP40" s="331">
        <f t="shared" si="47"/>
        <v>4</v>
      </c>
      <c r="CQ40" s="332">
        <f t="shared" si="47"/>
        <v>4</v>
      </c>
      <c r="CR40" s="331">
        <f t="shared" si="47"/>
        <v>4</v>
      </c>
      <c r="CS40" s="331">
        <f t="shared" si="47"/>
        <v>4</v>
      </c>
      <c r="CT40" s="331">
        <f t="shared" si="47"/>
        <v>4</v>
      </c>
      <c r="CU40" s="331">
        <f t="shared" si="47"/>
        <v>4</v>
      </c>
      <c r="CV40" s="331">
        <f t="shared" si="47"/>
        <v>4</v>
      </c>
      <c r="CW40" s="331">
        <f t="shared" si="47"/>
        <v>4</v>
      </c>
      <c r="CX40" s="331">
        <f t="shared" si="47"/>
        <v>4</v>
      </c>
      <c r="CY40" s="331">
        <f t="shared" si="47"/>
        <v>4</v>
      </c>
      <c r="CZ40" s="331">
        <f t="shared" si="47"/>
        <v>5</v>
      </c>
      <c r="DA40" s="331">
        <f t="shared" si="47"/>
        <v>5</v>
      </c>
      <c r="DB40" s="331">
        <f t="shared" si="47"/>
        <v>5</v>
      </c>
      <c r="DC40" s="332">
        <f t="shared" si="47"/>
        <v>5</v>
      </c>
      <c r="DD40" s="331">
        <f t="shared" si="47"/>
        <v>5</v>
      </c>
      <c r="DE40" s="331">
        <f t="shared" si="47"/>
        <v>5</v>
      </c>
      <c r="DF40" s="331">
        <f t="shared" si="47"/>
        <v>5</v>
      </c>
      <c r="DG40" s="331">
        <f t="shared" si="47"/>
        <v>5</v>
      </c>
      <c r="DH40" s="331">
        <f t="shared" si="47"/>
        <v>5</v>
      </c>
      <c r="DI40" s="331">
        <f t="shared" si="47"/>
        <v>5</v>
      </c>
      <c r="DJ40" s="331">
        <f t="shared" si="47"/>
        <v>5</v>
      </c>
      <c r="DK40" s="331">
        <f t="shared" si="47"/>
        <v>5</v>
      </c>
      <c r="DL40" s="331">
        <f t="shared" si="47"/>
        <v>5</v>
      </c>
      <c r="DM40" s="331">
        <f t="shared" si="47"/>
        <v>5</v>
      </c>
      <c r="DN40" s="331">
        <f t="shared" si="47"/>
        <v>5</v>
      </c>
      <c r="DO40" s="332">
        <f t="shared" ref="DO40:ED40" si="48">ROUNDUP($V$40*(DO39/100)/0.8,0)</f>
        <v>5</v>
      </c>
      <c r="DP40" s="331">
        <f t="shared" si="48"/>
        <v>6</v>
      </c>
      <c r="DQ40" s="331">
        <f t="shared" si="48"/>
        <v>6</v>
      </c>
      <c r="DR40" s="331">
        <f t="shared" si="48"/>
        <v>6</v>
      </c>
      <c r="DS40" s="331">
        <f t="shared" si="48"/>
        <v>6</v>
      </c>
      <c r="DT40" s="331">
        <f t="shared" si="48"/>
        <v>6</v>
      </c>
      <c r="DU40" s="331">
        <f t="shared" si="48"/>
        <v>6</v>
      </c>
      <c r="DV40" s="331">
        <f t="shared" si="48"/>
        <v>6</v>
      </c>
      <c r="DW40" s="331">
        <f t="shared" si="48"/>
        <v>6</v>
      </c>
      <c r="DX40" s="331">
        <f t="shared" si="48"/>
        <v>6</v>
      </c>
      <c r="DY40" s="331">
        <f t="shared" si="48"/>
        <v>6</v>
      </c>
      <c r="DZ40" s="331">
        <f t="shared" si="48"/>
        <v>6</v>
      </c>
      <c r="EA40" s="332">
        <f t="shared" si="48"/>
        <v>6</v>
      </c>
      <c r="EB40" s="331">
        <f t="shared" si="48"/>
        <v>6</v>
      </c>
      <c r="EC40" s="331">
        <f t="shared" si="48"/>
        <v>6</v>
      </c>
      <c r="ED40" s="333">
        <f t="shared" si="48"/>
        <v>6</v>
      </c>
    </row>
    <row r="41" spans="1:134" ht="18.600000000000001" customHeight="1" outlineLevel="1" x14ac:dyDescent="0.3">
      <c r="A41" t="s">
        <v>224</v>
      </c>
      <c r="B41" s="82">
        <f>'Growth Prediction Exec Summary'!I5</f>
        <v>0.08</v>
      </c>
      <c r="C41" s="736"/>
      <c r="D41" s="729" t="s">
        <v>225</v>
      </c>
      <c r="E41" s="729"/>
      <c r="F41" s="729"/>
      <c r="G41" s="729"/>
      <c r="H41" s="729"/>
      <c r="I41" s="729"/>
      <c r="J41" s="729"/>
      <c r="K41" s="729"/>
      <c r="L41" s="158"/>
      <c r="M41" s="492">
        <f>N41*100</f>
        <v>30</v>
      </c>
      <c r="N41" s="555">
        <f>'SEC Benches Data'!C4/100</f>
        <v>0.3</v>
      </c>
      <c r="O41" s="556">
        <f>'SEC Benches Data'!O4/100</f>
        <v>0.37</v>
      </c>
      <c r="P41" s="556">
        <f>'SEC Benches Data'!AA4/100</f>
        <v>0.53</v>
      </c>
      <c r="Q41" s="137"/>
      <c r="R41" s="145">
        <f t="shared" si="24"/>
        <v>0.23000000000000004</v>
      </c>
      <c r="S41" s="138">
        <v>3</v>
      </c>
      <c r="T41" s="138">
        <v>2</v>
      </c>
      <c r="U41" s="136"/>
      <c r="V41" s="320"/>
      <c r="W41" s="326">
        <f>M41</f>
        <v>30</v>
      </c>
      <c r="X41" s="209">
        <f>W41</f>
        <v>30</v>
      </c>
      <c r="Y41" s="209">
        <f>X41</f>
        <v>30</v>
      </c>
      <c r="Z41" s="209">
        <f>O41*100</f>
        <v>37</v>
      </c>
      <c r="AA41" s="209">
        <f>Z41</f>
        <v>37</v>
      </c>
      <c r="AB41" s="209">
        <f>AA41</f>
        <v>37</v>
      </c>
      <c r="AC41" s="209">
        <f>P41*100</f>
        <v>53</v>
      </c>
      <c r="AD41" s="209">
        <f>AC41</f>
        <v>53</v>
      </c>
      <c r="AE41" s="209">
        <f>AD41</f>
        <v>53</v>
      </c>
      <c r="AF41" s="209">
        <f>AE41</f>
        <v>53</v>
      </c>
      <c r="AG41" s="209">
        <f>AF41</f>
        <v>53</v>
      </c>
      <c r="AH41" s="209">
        <f>AG41</f>
        <v>53</v>
      </c>
      <c r="AI41" s="210">
        <f t="shared" ref="AI41:AT41" si="49">(((AH41*(1+($B$50*$B$4)))-AH41)/12)+AH41</f>
        <v>53.8904</v>
      </c>
      <c r="AJ41" s="209">
        <f t="shared" si="49"/>
        <v>54.795758720000002</v>
      </c>
      <c r="AK41" s="209">
        <f t="shared" si="49"/>
        <v>55.716327466496004</v>
      </c>
      <c r="AL41" s="209">
        <f t="shared" si="49"/>
        <v>56.652361767933137</v>
      </c>
      <c r="AM41" s="209">
        <f t="shared" si="49"/>
        <v>57.604121445634412</v>
      </c>
      <c r="AN41" s="209">
        <f t="shared" si="49"/>
        <v>58.57187068592107</v>
      </c>
      <c r="AO41" s="209">
        <f t="shared" si="49"/>
        <v>59.555878113444543</v>
      </c>
      <c r="AP41" s="209">
        <f t="shared" si="49"/>
        <v>60.556416865750414</v>
      </c>
      <c r="AQ41" s="209">
        <f t="shared" si="49"/>
        <v>61.57376466909502</v>
      </c>
      <c r="AR41" s="209">
        <f t="shared" si="49"/>
        <v>62.608203915535817</v>
      </c>
      <c r="AS41" s="209">
        <f t="shared" si="49"/>
        <v>63.660021741316818</v>
      </c>
      <c r="AT41" s="209">
        <f t="shared" si="49"/>
        <v>64.729510106570942</v>
      </c>
      <c r="AU41" s="210">
        <f t="shared" ref="AU41:BF41" si="50">(((AT41*(1+($B$51*$B$4)))-AT41)/12)+AT41</f>
        <v>65.778128170297393</v>
      </c>
      <c r="AV41" s="209">
        <f t="shared" si="50"/>
        <v>66.843733846656207</v>
      </c>
      <c r="AW41" s="209">
        <f t="shared" si="50"/>
        <v>67.926602334972031</v>
      </c>
      <c r="AX41" s="209">
        <f t="shared" si="50"/>
        <v>69.027013292798571</v>
      </c>
      <c r="AY41" s="209">
        <f t="shared" si="50"/>
        <v>70.145250908141904</v>
      </c>
      <c r="AZ41" s="209">
        <f t="shared" si="50"/>
        <v>71.281603972853802</v>
      </c>
      <c r="BA41" s="209">
        <f t="shared" si="50"/>
        <v>72.436365957214036</v>
      </c>
      <c r="BB41" s="209">
        <f t="shared" si="50"/>
        <v>73.609835085720903</v>
      </c>
      <c r="BC41" s="209">
        <f t="shared" si="50"/>
        <v>74.802314414109588</v>
      </c>
      <c r="BD41" s="209">
        <f t="shared" si="50"/>
        <v>76.014111907618158</v>
      </c>
      <c r="BE41" s="209">
        <f t="shared" si="50"/>
        <v>77.245540520521573</v>
      </c>
      <c r="BF41" s="209">
        <f t="shared" si="50"/>
        <v>78.49691827695402</v>
      </c>
      <c r="BG41" s="210">
        <f t="shared" ref="BG41:BR41" si="51">(((BF41*(1+($B$52*$B$4)))-BF41)/12)+BF41</f>
        <v>79.674372051108335</v>
      </c>
      <c r="BH41" s="209">
        <f t="shared" si="51"/>
        <v>80.869487631874961</v>
      </c>
      <c r="BI41" s="209">
        <f t="shared" si="51"/>
        <v>82.082529946353091</v>
      </c>
      <c r="BJ41" s="209">
        <f t="shared" si="51"/>
        <v>83.313767895548381</v>
      </c>
      <c r="BK41" s="209">
        <f t="shared" si="51"/>
        <v>84.563474413981609</v>
      </c>
      <c r="BL41" s="209">
        <f t="shared" si="51"/>
        <v>85.831926530191339</v>
      </c>
      <c r="BM41" s="209">
        <f t="shared" si="51"/>
        <v>87.119405428144205</v>
      </c>
      <c r="BN41" s="209">
        <f t="shared" si="51"/>
        <v>88.426196509566367</v>
      </c>
      <c r="BO41" s="209">
        <f t="shared" si="51"/>
        <v>89.752589457209865</v>
      </c>
      <c r="BP41" s="209">
        <f t="shared" si="51"/>
        <v>91.098878299068019</v>
      </c>
      <c r="BQ41" s="209">
        <f t="shared" si="51"/>
        <v>92.46536147355404</v>
      </c>
      <c r="BR41" s="209">
        <f t="shared" si="51"/>
        <v>93.852341895657347</v>
      </c>
      <c r="BS41" s="210">
        <f t="shared" ref="BS41:CD41" si="52">(((BR41*(1+($B$53*$B$4)))-BR41)/12)+BR41</f>
        <v>95.260127024092213</v>
      </c>
      <c r="BT41" s="209">
        <f t="shared" si="52"/>
        <v>96.689028929453599</v>
      </c>
      <c r="BU41" s="209">
        <f t="shared" si="52"/>
        <v>98.139364363395401</v>
      </c>
      <c r="BV41" s="209">
        <f t="shared" si="52"/>
        <v>99.611454828846334</v>
      </c>
      <c r="BW41" s="209">
        <f t="shared" si="52"/>
        <v>101.10562665127902</v>
      </c>
      <c r="BX41" s="209">
        <f t="shared" si="52"/>
        <v>102.62221105104821</v>
      </c>
      <c r="BY41" s="209">
        <f t="shared" si="52"/>
        <v>104.16154421681394</v>
      </c>
      <c r="BZ41" s="209">
        <f t="shared" si="52"/>
        <v>105.72396738006614</v>
      </c>
      <c r="CA41" s="209">
        <f t="shared" si="52"/>
        <v>107.30982689076714</v>
      </c>
      <c r="CB41" s="209">
        <f t="shared" si="52"/>
        <v>108.91947429412865</v>
      </c>
      <c r="CC41" s="209">
        <f t="shared" si="52"/>
        <v>110.55326640854058</v>
      </c>
      <c r="CD41" s="209">
        <f t="shared" si="52"/>
        <v>112.21156540466869</v>
      </c>
      <c r="CE41" s="210">
        <f t="shared" ref="CE41:CP41" si="53">(((CD41*(1+($B$54*$B$4)))-CD41)/12)+CD41</f>
        <v>113.89473888573872</v>
      </c>
      <c r="CF41" s="209">
        <f t="shared" si="53"/>
        <v>115.6031599690248</v>
      </c>
      <c r="CG41" s="209">
        <f t="shared" si="53"/>
        <v>117.33720736856017</v>
      </c>
      <c r="CH41" s="209">
        <f t="shared" si="53"/>
        <v>119.09726547908858</v>
      </c>
      <c r="CI41" s="209">
        <f t="shared" si="53"/>
        <v>120.88372446127491</v>
      </c>
      <c r="CJ41" s="209">
        <f t="shared" si="53"/>
        <v>122.69698032819403</v>
      </c>
      <c r="CK41" s="209">
        <f t="shared" si="53"/>
        <v>124.53743503311694</v>
      </c>
      <c r="CL41" s="209">
        <f t="shared" si="53"/>
        <v>126.40549655861369</v>
      </c>
      <c r="CM41" s="209">
        <f t="shared" si="53"/>
        <v>128.30157900699288</v>
      </c>
      <c r="CN41" s="209">
        <f t="shared" si="53"/>
        <v>130.22610269209778</v>
      </c>
      <c r="CO41" s="209">
        <f t="shared" si="53"/>
        <v>132.17949423247924</v>
      </c>
      <c r="CP41" s="209">
        <f t="shared" si="53"/>
        <v>134.16218664596644</v>
      </c>
      <c r="CQ41" s="210">
        <f t="shared" ref="CQ41:DB41" si="54">(((CP41*(1+($B$55*$B$4)))-CP41)/12)+CP41</f>
        <v>136.17461944565594</v>
      </c>
      <c r="CR41" s="209">
        <f t="shared" si="54"/>
        <v>138.21723873734078</v>
      </c>
      <c r="CS41" s="209">
        <f t="shared" si="54"/>
        <v>140.2904973184009</v>
      </c>
      <c r="CT41" s="209">
        <f t="shared" si="54"/>
        <v>142.39485477817692</v>
      </c>
      <c r="CU41" s="209">
        <f t="shared" si="54"/>
        <v>144.53077759984959</v>
      </c>
      <c r="CV41" s="209">
        <f t="shared" si="54"/>
        <v>146.69873926384733</v>
      </c>
      <c r="CW41" s="209">
        <f t="shared" si="54"/>
        <v>148.89922035280503</v>
      </c>
      <c r="CX41" s="209">
        <f t="shared" si="54"/>
        <v>151.1327086580971</v>
      </c>
      <c r="CY41" s="209">
        <f t="shared" si="54"/>
        <v>153.39969928796856</v>
      </c>
      <c r="CZ41" s="209">
        <f t="shared" si="54"/>
        <v>155.70069477728808</v>
      </c>
      <c r="DA41" s="209">
        <f t="shared" si="54"/>
        <v>158.03620519894739</v>
      </c>
      <c r="DB41" s="209">
        <f t="shared" si="54"/>
        <v>160.40674827693158</v>
      </c>
      <c r="DC41" s="210">
        <f t="shared" ref="DC41:DN41" si="55">(((DB41*(1+($B$56*$B$4)))-DB41)/12)+DB41</f>
        <v>162.81284950108557</v>
      </c>
      <c r="DD41" s="209">
        <f t="shared" si="55"/>
        <v>165.25504224360185</v>
      </c>
      <c r="DE41" s="209">
        <f t="shared" si="55"/>
        <v>167.73386787725588</v>
      </c>
      <c r="DF41" s="209">
        <f t="shared" si="55"/>
        <v>170.2498758954147</v>
      </c>
      <c r="DG41" s="209">
        <f t="shared" si="55"/>
        <v>172.80362403384592</v>
      </c>
      <c r="DH41" s="209">
        <f t="shared" si="55"/>
        <v>175.39567839435361</v>
      </c>
      <c r="DI41" s="209">
        <f t="shared" si="55"/>
        <v>178.02661357026892</v>
      </c>
      <c r="DJ41" s="209">
        <f t="shared" si="55"/>
        <v>180.69701277382296</v>
      </c>
      <c r="DK41" s="209">
        <f t="shared" si="55"/>
        <v>183.4074679654303</v>
      </c>
      <c r="DL41" s="209">
        <f t="shared" si="55"/>
        <v>186.15857998491174</v>
      </c>
      <c r="DM41" s="209">
        <f t="shared" si="55"/>
        <v>188.95095868468542</v>
      </c>
      <c r="DN41" s="209">
        <f t="shared" si="55"/>
        <v>191.78522306495569</v>
      </c>
      <c r="DO41" s="210">
        <f t="shared" ref="DO41:DZ41" si="56">(((DN41*(1+($B$61*$B$4)))-DN41)/12)+DN41</f>
        <v>193.51129007254031</v>
      </c>
      <c r="DP41" s="209">
        <f t="shared" si="56"/>
        <v>195.25289168319318</v>
      </c>
      <c r="DQ41" s="209">
        <f t="shared" si="56"/>
        <v>197.01016770834192</v>
      </c>
      <c r="DR41" s="209">
        <f t="shared" si="56"/>
        <v>198.78325921771699</v>
      </c>
      <c r="DS41" s="209">
        <f t="shared" si="56"/>
        <v>200.57230855067644</v>
      </c>
      <c r="DT41" s="209">
        <f t="shared" si="56"/>
        <v>202.37745932763252</v>
      </c>
      <c r="DU41" s="209">
        <f t="shared" si="56"/>
        <v>204.19885646158122</v>
      </c>
      <c r="DV41" s="209">
        <f t="shared" si="56"/>
        <v>206.03664616973543</v>
      </c>
      <c r="DW41" s="209">
        <f t="shared" si="56"/>
        <v>207.89097598526305</v>
      </c>
      <c r="DX41" s="209">
        <f t="shared" si="56"/>
        <v>209.76199476913041</v>
      </c>
      <c r="DY41" s="209">
        <f t="shared" si="56"/>
        <v>211.64985272205257</v>
      </c>
      <c r="DZ41" s="209">
        <f t="shared" si="56"/>
        <v>213.55470139655105</v>
      </c>
      <c r="EA41" s="210">
        <f>(((DZ41*(1+($B$62*$B$4)))-DZ41)/12)+DZ41</f>
        <v>215.15636165702517</v>
      </c>
      <c r="EB41" s="209">
        <f>(((EA41*(1+($B$62*$B$4)))-EA41)/12)+EA41</f>
        <v>216.77003436945287</v>
      </c>
      <c r="EC41" s="209">
        <f>(((EB41*(1+($B$62*$B$4)))-EB41)/12)+EB41</f>
        <v>218.39580962722377</v>
      </c>
      <c r="ED41" s="327">
        <f>(((EC41*(1+($B$62*$B$4)))-EC41)/12)+EC41</f>
        <v>220.03377819942796</v>
      </c>
    </row>
    <row r="42" spans="1:134" ht="18.600000000000001" customHeight="1" outlineLevel="1" x14ac:dyDescent="0.3">
      <c r="A42" t="s">
        <v>226</v>
      </c>
      <c r="B42" s="82">
        <f>'Growth Prediction Exec Summary'!J5</f>
        <v>0.08</v>
      </c>
      <c r="C42" s="736"/>
      <c r="D42" s="730"/>
      <c r="E42" s="730"/>
      <c r="F42" s="730"/>
      <c r="G42" s="730"/>
      <c r="H42" s="730"/>
      <c r="I42" s="730"/>
      <c r="J42" s="730"/>
      <c r="K42" s="730"/>
      <c r="L42" s="146"/>
      <c r="M42" s="139"/>
      <c r="N42" s="558"/>
      <c r="O42" s="559"/>
      <c r="P42" s="559"/>
      <c r="Q42" s="140"/>
      <c r="R42" s="147"/>
      <c r="S42" s="141"/>
      <c r="T42" s="141"/>
      <c r="U42" s="139"/>
      <c r="V42" s="277">
        <v>1</v>
      </c>
      <c r="W42" s="328">
        <f t="shared" ref="W42:BB42" si="57">ROUNDUP($V$42*(W41/100)/0.8,0)</f>
        <v>1</v>
      </c>
      <c r="X42" s="207">
        <f t="shared" si="57"/>
        <v>1</v>
      </c>
      <c r="Y42" s="207">
        <f t="shared" si="57"/>
        <v>1</v>
      </c>
      <c r="Z42" s="207">
        <f t="shared" si="57"/>
        <v>1</v>
      </c>
      <c r="AA42" s="207">
        <f t="shared" si="57"/>
        <v>1</v>
      </c>
      <c r="AB42" s="207">
        <f t="shared" si="57"/>
        <v>1</v>
      </c>
      <c r="AC42" s="207">
        <f t="shared" si="57"/>
        <v>1</v>
      </c>
      <c r="AD42" s="207">
        <f t="shared" si="57"/>
        <v>1</v>
      </c>
      <c r="AE42" s="207">
        <f t="shared" si="57"/>
        <v>1</v>
      </c>
      <c r="AF42" s="207">
        <f t="shared" si="57"/>
        <v>1</v>
      </c>
      <c r="AG42" s="207">
        <f t="shared" si="57"/>
        <v>1</v>
      </c>
      <c r="AH42" s="207">
        <f t="shared" si="57"/>
        <v>1</v>
      </c>
      <c r="AI42" s="208">
        <f t="shared" si="57"/>
        <v>1</v>
      </c>
      <c r="AJ42" s="207">
        <f t="shared" si="57"/>
        <v>1</v>
      </c>
      <c r="AK42" s="207">
        <f t="shared" si="57"/>
        <v>1</v>
      </c>
      <c r="AL42" s="207">
        <f t="shared" si="57"/>
        <v>1</v>
      </c>
      <c r="AM42" s="207">
        <f t="shared" si="57"/>
        <v>1</v>
      </c>
      <c r="AN42" s="207">
        <f t="shared" si="57"/>
        <v>1</v>
      </c>
      <c r="AO42" s="207">
        <f t="shared" si="57"/>
        <v>1</v>
      </c>
      <c r="AP42" s="207">
        <f t="shared" si="57"/>
        <v>1</v>
      </c>
      <c r="AQ42" s="207">
        <f t="shared" si="57"/>
        <v>1</v>
      </c>
      <c r="AR42" s="207">
        <f t="shared" si="57"/>
        <v>1</v>
      </c>
      <c r="AS42" s="207">
        <f t="shared" si="57"/>
        <v>1</v>
      </c>
      <c r="AT42" s="207">
        <f t="shared" si="57"/>
        <v>1</v>
      </c>
      <c r="AU42" s="208">
        <f t="shared" si="57"/>
        <v>1</v>
      </c>
      <c r="AV42" s="207">
        <f t="shared" si="57"/>
        <v>1</v>
      </c>
      <c r="AW42" s="207">
        <f t="shared" si="57"/>
        <v>1</v>
      </c>
      <c r="AX42" s="207">
        <f t="shared" si="57"/>
        <v>1</v>
      </c>
      <c r="AY42" s="207">
        <f t="shared" si="57"/>
        <v>1</v>
      </c>
      <c r="AZ42" s="207">
        <f t="shared" si="57"/>
        <v>1</v>
      </c>
      <c r="BA42" s="207">
        <f t="shared" si="57"/>
        <v>1</v>
      </c>
      <c r="BB42" s="207">
        <f t="shared" si="57"/>
        <v>1</v>
      </c>
      <c r="BC42" s="207">
        <f t="shared" ref="BC42:CH42" si="58">ROUNDUP($V$42*(BC41/100)/0.8,0)</f>
        <v>1</v>
      </c>
      <c r="BD42" s="207">
        <f t="shared" si="58"/>
        <v>1</v>
      </c>
      <c r="BE42" s="207">
        <f t="shared" si="58"/>
        <v>1</v>
      </c>
      <c r="BF42" s="207">
        <f t="shared" si="58"/>
        <v>1</v>
      </c>
      <c r="BG42" s="208">
        <f t="shared" si="58"/>
        <v>1</v>
      </c>
      <c r="BH42" s="207">
        <f t="shared" si="58"/>
        <v>2</v>
      </c>
      <c r="BI42" s="207">
        <f t="shared" si="58"/>
        <v>2</v>
      </c>
      <c r="BJ42" s="207">
        <f t="shared" si="58"/>
        <v>2</v>
      </c>
      <c r="BK42" s="207">
        <f t="shared" si="58"/>
        <v>2</v>
      </c>
      <c r="BL42" s="207">
        <f t="shared" si="58"/>
        <v>2</v>
      </c>
      <c r="BM42" s="207">
        <f t="shared" si="58"/>
        <v>2</v>
      </c>
      <c r="BN42" s="207">
        <f t="shared" si="58"/>
        <v>2</v>
      </c>
      <c r="BO42" s="207">
        <f t="shared" si="58"/>
        <v>2</v>
      </c>
      <c r="BP42" s="207">
        <f t="shared" si="58"/>
        <v>2</v>
      </c>
      <c r="BQ42" s="207">
        <f t="shared" si="58"/>
        <v>2</v>
      </c>
      <c r="BR42" s="207">
        <f t="shared" si="58"/>
        <v>2</v>
      </c>
      <c r="BS42" s="208">
        <f t="shared" si="58"/>
        <v>2</v>
      </c>
      <c r="BT42" s="207">
        <f t="shared" si="58"/>
        <v>2</v>
      </c>
      <c r="BU42" s="207">
        <f t="shared" si="58"/>
        <v>2</v>
      </c>
      <c r="BV42" s="207">
        <f t="shared" si="58"/>
        <v>2</v>
      </c>
      <c r="BW42" s="207">
        <f t="shared" si="58"/>
        <v>2</v>
      </c>
      <c r="BX42" s="207">
        <f t="shared" si="58"/>
        <v>2</v>
      </c>
      <c r="BY42" s="207">
        <f t="shared" si="58"/>
        <v>2</v>
      </c>
      <c r="BZ42" s="207">
        <f t="shared" si="58"/>
        <v>2</v>
      </c>
      <c r="CA42" s="207">
        <f t="shared" si="58"/>
        <v>2</v>
      </c>
      <c r="CB42" s="207">
        <f t="shared" si="58"/>
        <v>2</v>
      </c>
      <c r="CC42" s="207">
        <f t="shared" si="58"/>
        <v>2</v>
      </c>
      <c r="CD42" s="207">
        <f t="shared" si="58"/>
        <v>2</v>
      </c>
      <c r="CE42" s="208">
        <f t="shared" si="58"/>
        <v>2</v>
      </c>
      <c r="CF42" s="207">
        <f t="shared" si="58"/>
        <v>2</v>
      </c>
      <c r="CG42" s="207">
        <f t="shared" si="58"/>
        <v>2</v>
      </c>
      <c r="CH42" s="207">
        <f t="shared" si="58"/>
        <v>2</v>
      </c>
      <c r="CI42" s="207">
        <f t="shared" ref="CI42:DN42" si="59">ROUNDUP($V$42*(CI41/100)/0.8,0)</f>
        <v>2</v>
      </c>
      <c r="CJ42" s="207">
        <f t="shared" si="59"/>
        <v>2</v>
      </c>
      <c r="CK42" s="207">
        <f t="shared" si="59"/>
        <v>2</v>
      </c>
      <c r="CL42" s="207">
        <f t="shared" si="59"/>
        <v>2</v>
      </c>
      <c r="CM42" s="207">
        <f t="shared" si="59"/>
        <v>2</v>
      </c>
      <c r="CN42" s="207">
        <f t="shared" si="59"/>
        <v>2</v>
      </c>
      <c r="CO42" s="207">
        <f t="shared" si="59"/>
        <v>2</v>
      </c>
      <c r="CP42" s="207">
        <f t="shared" si="59"/>
        <v>2</v>
      </c>
      <c r="CQ42" s="208">
        <f t="shared" si="59"/>
        <v>2</v>
      </c>
      <c r="CR42" s="207">
        <f t="shared" si="59"/>
        <v>2</v>
      </c>
      <c r="CS42" s="207">
        <f t="shared" si="59"/>
        <v>2</v>
      </c>
      <c r="CT42" s="207">
        <f t="shared" si="59"/>
        <v>2</v>
      </c>
      <c r="CU42" s="207">
        <f t="shared" si="59"/>
        <v>2</v>
      </c>
      <c r="CV42" s="207">
        <f t="shared" si="59"/>
        <v>2</v>
      </c>
      <c r="CW42" s="207">
        <f t="shared" si="59"/>
        <v>2</v>
      </c>
      <c r="CX42" s="207">
        <f t="shared" si="59"/>
        <v>2</v>
      </c>
      <c r="CY42" s="207">
        <f t="shared" si="59"/>
        <v>2</v>
      </c>
      <c r="CZ42" s="207">
        <f t="shared" si="59"/>
        <v>2</v>
      </c>
      <c r="DA42" s="207">
        <f t="shared" si="59"/>
        <v>2</v>
      </c>
      <c r="DB42" s="207">
        <f t="shared" si="59"/>
        <v>3</v>
      </c>
      <c r="DC42" s="208">
        <f t="shared" si="59"/>
        <v>3</v>
      </c>
      <c r="DD42" s="207">
        <f t="shared" si="59"/>
        <v>3</v>
      </c>
      <c r="DE42" s="207">
        <f t="shared" si="59"/>
        <v>3</v>
      </c>
      <c r="DF42" s="207">
        <f t="shared" si="59"/>
        <v>3</v>
      </c>
      <c r="DG42" s="207">
        <f t="shared" si="59"/>
        <v>3</v>
      </c>
      <c r="DH42" s="207">
        <f t="shared" si="59"/>
        <v>3</v>
      </c>
      <c r="DI42" s="207">
        <f t="shared" si="59"/>
        <v>3</v>
      </c>
      <c r="DJ42" s="207">
        <f t="shared" si="59"/>
        <v>3</v>
      </c>
      <c r="DK42" s="207">
        <f t="shared" si="59"/>
        <v>3</v>
      </c>
      <c r="DL42" s="207">
        <f t="shared" si="59"/>
        <v>3</v>
      </c>
      <c r="DM42" s="207">
        <f t="shared" si="59"/>
        <v>3</v>
      </c>
      <c r="DN42" s="207">
        <f t="shared" si="59"/>
        <v>3</v>
      </c>
      <c r="DO42" s="208">
        <f t="shared" ref="DO42:ED42" si="60">ROUNDUP($V$42*(DO41/100)/0.8,0)</f>
        <v>3</v>
      </c>
      <c r="DP42" s="207">
        <f t="shared" si="60"/>
        <v>3</v>
      </c>
      <c r="DQ42" s="207">
        <f t="shared" si="60"/>
        <v>3</v>
      </c>
      <c r="DR42" s="207">
        <f t="shared" si="60"/>
        <v>3</v>
      </c>
      <c r="DS42" s="207">
        <f t="shared" si="60"/>
        <v>3</v>
      </c>
      <c r="DT42" s="207">
        <f t="shared" si="60"/>
        <v>3</v>
      </c>
      <c r="DU42" s="207">
        <f t="shared" si="60"/>
        <v>3</v>
      </c>
      <c r="DV42" s="207">
        <f t="shared" si="60"/>
        <v>3</v>
      </c>
      <c r="DW42" s="207">
        <f t="shared" si="60"/>
        <v>3</v>
      </c>
      <c r="DX42" s="207">
        <f t="shared" si="60"/>
        <v>3</v>
      </c>
      <c r="DY42" s="207">
        <f t="shared" si="60"/>
        <v>3</v>
      </c>
      <c r="DZ42" s="207">
        <f t="shared" si="60"/>
        <v>3</v>
      </c>
      <c r="EA42" s="208">
        <f t="shared" si="60"/>
        <v>3</v>
      </c>
      <c r="EB42" s="207">
        <f t="shared" si="60"/>
        <v>3</v>
      </c>
      <c r="EC42" s="207">
        <f t="shared" si="60"/>
        <v>3</v>
      </c>
      <c r="ED42" s="329">
        <f t="shared" si="60"/>
        <v>3</v>
      </c>
    </row>
    <row r="43" spans="1:134" ht="18" customHeight="1" outlineLevel="1" x14ac:dyDescent="0.3">
      <c r="A43" t="s">
        <v>227</v>
      </c>
      <c r="B43" s="82">
        <f>'Growth Prediction Exec Summary'!K5</f>
        <v>0.08</v>
      </c>
      <c r="C43" s="736"/>
      <c r="D43" s="737" t="s">
        <v>228</v>
      </c>
      <c r="E43" s="729"/>
      <c r="F43" s="729"/>
      <c r="G43" s="729"/>
      <c r="H43" s="729"/>
      <c r="I43" s="729"/>
      <c r="J43" s="729"/>
      <c r="K43" s="729"/>
      <c r="L43" s="738"/>
      <c r="M43" s="492">
        <f>N43</f>
        <v>8.7247058823529411</v>
      </c>
      <c r="N43" s="536">
        <f>'SEC Benches Data'!AR4</f>
        <v>8.7247058823529411</v>
      </c>
      <c r="O43" s="536">
        <f>'SEC Benches Data'!AS4</f>
        <v>12.21521568627451</v>
      </c>
      <c r="P43" s="536">
        <f>'SEC Benches Data'!AT4</f>
        <v>17.701960784313727</v>
      </c>
      <c r="Q43" s="537"/>
      <c r="R43" s="552">
        <f>P43-N43</f>
        <v>8.9772549019607855</v>
      </c>
      <c r="S43" s="537"/>
      <c r="T43" s="537"/>
      <c r="U43" s="207"/>
      <c r="V43" s="538"/>
      <c r="W43" s="334">
        <f>M43</f>
        <v>8.7247058823529411</v>
      </c>
      <c r="X43" s="335">
        <f>W43</f>
        <v>8.7247058823529411</v>
      </c>
      <c r="Y43" s="335">
        <f>X43</f>
        <v>8.7247058823529411</v>
      </c>
      <c r="Z43" s="335">
        <f>O43</f>
        <v>12.21521568627451</v>
      </c>
      <c r="AA43" s="335">
        <f>Z43</f>
        <v>12.21521568627451</v>
      </c>
      <c r="AB43" s="335">
        <f>AA43</f>
        <v>12.21521568627451</v>
      </c>
      <c r="AC43" s="335">
        <f>P43</f>
        <v>17.701960784313727</v>
      </c>
      <c r="AD43" s="335">
        <f>AC43</f>
        <v>17.701960784313727</v>
      </c>
      <c r="AE43" s="335">
        <f>AD43</f>
        <v>17.701960784313727</v>
      </c>
      <c r="AF43" s="335">
        <f>AE43</f>
        <v>17.701960784313727</v>
      </c>
      <c r="AG43" s="335">
        <f>AF43</f>
        <v>17.701960784313727</v>
      </c>
      <c r="AH43" s="335">
        <f>AG43</f>
        <v>17.701960784313727</v>
      </c>
      <c r="AI43" s="336">
        <f t="shared" ref="AI43" si="61">(((AH43*(1+($B$36*$B$4)))-AH43)/12)+AH43</f>
        <v>17.808172549019609</v>
      </c>
      <c r="AJ43" s="335">
        <f t="shared" ref="AJ43" si="62">(((AI43*(1+($B$36*$B$4)))-AI43)/12)+AI43</f>
        <v>17.915021584313727</v>
      </c>
      <c r="AK43" s="335">
        <f t="shared" ref="AK43" si="63">(((AJ43*(1+($B$36*$B$4)))-AJ43)/12)+AJ43</f>
        <v>18.022511713819611</v>
      </c>
      <c r="AL43" s="335">
        <f t="shared" ref="AL43" si="64">(((AK43*(1+($B$36*$B$4)))-AK43)/12)+AK43</f>
        <v>18.130646784102527</v>
      </c>
      <c r="AM43" s="335">
        <f t="shared" ref="AM43" si="65">(((AL43*(1+($B$36*$B$4)))-AL43)/12)+AL43</f>
        <v>18.239430664807141</v>
      </c>
      <c r="AN43" s="335">
        <f t="shared" ref="AN43" si="66">(((AM43*(1+($B$36*$B$4)))-AM43)/12)+AM43</f>
        <v>18.348867248795983</v>
      </c>
      <c r="AO43" s="335">
        <f t="shared" ref="AO43" si="67">(((AN43*(1+($B$36*$B$4)))-AN43)/12)+AN43</f>
        <v>18.45896045228876</v>
      </c>
      <c r="AP43" s="335">
        <f t="shared" ref="AP43" si="68">(((AO43*(1+($B$36*$B$4)))-AO43)/12)+AO43</f>
        <v>18.569714215002492</v>
      </c>
      <c r="AQ43" s="335">
        <f t="shared" ref="AQ43" si="69">(((AP43*(1+($B$36*$B$4)))-AP43)/12)+AP43</f>
        <v>18.681132500292506</v>
      </c>
      <c r="AR43" s="335">
        <f t="shared" ref="AR43" si="70">(((AQ43*(1+($B$36*$B$4)))-AQ43)/12)+AQ43</f>
        <v>18.793219295294261</v>
      </c>
      <c r="AS43" s="335">
        <f t="shared" ref="AS43" si="71">(((AR43*(1+($B$36*$B$4)))-AR43)/12)+AR43</f>
        <v>18.905978611066026</v>
      </c>
      <c r="AT43" s="335">
        <f t="shared" ref="AT43" si="72">(((AS43*(1+($B$36*$B$4)))-AS43)/12)+AS43</f>
        <v>19.019414482732422</v>
      </c>
      <c r="AU43" s="336">
        <f t="shared" ref="AU43" si="73">(((AT43*(1+($B$37*$B$4)))-AT43)/12)+AT43</f>
        <v>19.133530969628818</v>
      </c>
      <c r="AV43" s="335">
        <f t="shared" ref="AV43" si="74">(((AU43*(1+($B$37*$B$4)))-AU43)/12)+AU43</f>
        <v>19.24833215544659</v>
      </c>
      <c r="AW43" s="335">
        <f t="shared" ref="AW43" si="75">(((AV43*(1+($B$37*$B$4)))-AV43)/12)+AV43</f>
        <v>19.363822148379271</v>
      </c>
      <c r="AX43" s="335">
        <f t="shared" ref="AX43" si="76">(((AW43*(1+($B$37*$B$4)))-AW43)/12)+AW43</f>
        <v>19.480005081269546</v>
      </c>
      <c r="AY43" s="335">
        <f t="shared" ref="AY43" si="77">(((AX43*(1+($B$37*$B$4)))-AX43)/12)+AX43</f>
        <v>19.596885111757164</v>
      </c>
      <c r="AZ43" s="335">
        <f t="shared" ref="AZ43" si="78">(((AY43*(1+($B$37*$B$4)))-AY43)/12)+AY43</f>
        <v>19.714466422427705</v>
      </c>
      <c r="BA43" s="335">
        <f t="shared" ref="BA43" si="79">(((AZ43*(1+($B$37*$B$4)))-AZ43)/12)+AZ43</f>
        <v>19.832753220962271</v>
      </c>
      <c r="BB43" s="335">
        <f t="shared" ref="BB43" si="80">(((BA43*(1+($B$37*$B$4)))-BA43)/12)+BA43</f>
        <v>19.951749740288044</v>
      </c>
      <c r="BC43" s="335">
        <f t="shared" ref="BC43" si="81">(((BB43*(1+($B$37*$B$4)))-BB43)/12)+BB43</f>
        <v>20.07146023872977</v>
      </c>
      <c r="BD43" s="335">
        <f t="shared" ref="BD43" si="82">(((BC43*(1+($B$37*$B$4)))-BC43)/12)+BC43</f>
        <v>20.191889000162149</v>
      </c>
      <c r="BE43" s="335">
        <f t="shared" ref="BE43" si="83">(((BD43*(1+($B$37*$B$4)))-BD43)/12)+BD43</f>
        <v>20.313040334163123</v>
      </c>
      <c r="BF43" s="335">
        <f t="shared" ref="BF43" si="84">(((BE43*(1+($B$37*$B$4)))-BE43)/12)+BE43</f>
        <v>20.434918576168101</v>
      </c>
      <c r="BG43" s="336">
        <f t="shared" ref="BG43" si="85">(((BF43*(1+($B$38*$B$4)))-BF43)/12)+BF43</f>
        <v>20.557528087625109</v>
      </c>
      <c r="BH43" s="335">
        <f t="shared" ref="BH43" si="86">(((BG43*(1+($B$38*$B$4)))-BG43)/12)+BG43</f>
        <v>20.680873256150861</v>
      </c>
      <c r="BI43" s="335">
        <f t="shared" ref="BI43" si="87">(((BH43*(1+($B$38*$B$4)))-BH43)/12)+BH43</f>
        <v>20.804958495687767</v>
      </c>
      <c r="BJ43" s="335">
        <f t="shared" ref="BJ43" si="88">(((BI43*(1+($B$38*$B$4)))-BI43)/12)+BI43</f>
        <v>20.929788246661893</v>
      </c>
      <c r="BK43" s="335">
        <f t="shared" ref="BK43" si="89">(((BJ43*(1+($B$38*$B$4)))-BJ43)/12)+BJ43</f>
        <v>21.055366976141865</v>
      </c>
      <c r="BL43" s="335">
        <f t="shared" ref="BL43" si="90">(((BK43*(1+($B$38*$B$4)))-BK43)/12)+BK43</f>
        <v>21.181699177998716</v>
      </c>
      <c r="BM43" s="335">
        <f t="shared" ref="BM43" si="91">(((BL43*(1+($B$38*$B$4)))-BL43)/12)+BL43</f>
        <v>21.308789373066709</v>
      </c>
      <c r="BN43" s="335">
        <f t="shared" ref="BN43" si="92">(((BM43*(1+($B$38*$B$4)))-BM43)/12)+BM43</f>
        <v>21.436642109305108</v>
      </c>
      <c r="BO43" s="335">
        <f t="shared" ref="BO43" si="93">(((BN43*(1+($B$38*$B$4)))-BN43)/12)+BN43</f>
        <v>21.565261961960939</v>
      </c>
      <c r="BP43" s="335">
        <f t="shared" ref="BP43" si="94">(((BO43*(1+($B$38*$B$4)))-BO43)/12)+BO43</f>
        <v>21.694653533732705</v>
      </c>
      <c r="BQ43" s="335">
        <f t="shared" ref="BQ43" si="95">(((BP43*(1+($B$38*$B$4)))-BP43)/12)+BP43</f>
        <v>21.824821454935101</v>
      </c>
      <c r="BR43" s="335">
        <f t="shared" ref="BR43" si="96">(((BQ43*(1+($B$38*$B$4)))-BQ43)/12)+BQ43</f>
        <v>21.955770383664714</v>
      </c>
      <c r="BS43" s="336">
        <f t="shared" ref="BS43" si="97">(((BR43*(1+($B$39*$B$4)))-BR43)/12)+BR43</f>
        <v>22.087505005966701</v>
      </c>
      <c r="BT43" s="335">
        <f t="shared" ref="BT43" si="98">(((BS43*(1+($B$39*$B$4)))-BS43)/12)+BS43</f>
        <v>22.220030036002502</v>
      </c>
      <c r="BU43" s="335">
        <f t="shared" ref="BU43" si="99">(((BT43*(1+($B$39*$B$4)))-BT43)/12)+BT43</f>
        <v>22.353350216218516</v>
      </c>
      <c r="BV43" s="335">
        <f t="shared" ref="BV43" si="100">(((BU43*(1+($B$39*$B$4)))-BU43)/12)+BU43</f>
        <v>22.487470317515829</v>
      </c>
      <c r="BW43" s="335">
        <f t="shared" ref="BW43" si="101">(((BV43*(1+($B$39*$B$4)))-BV43)/12)+BV43</f>
        <v>22.622395139420924</v>
      </c>
      <c r="BX43" s="335">
        <f t="shared" ref="BX43" si="102">(((BW43*(1+($B$39*$B$4)))-BW43)/12)+BW43</f>
        <v>22.758129510257451</v>
      </c>
      <c r="BY43" s="335">
        <f t="shared" ref="BY43" si="103">(((BX43*(1+($B$39*$B$4)))-BX43)/12)+BX43</f>
        <v>22.894678287318996</v>
      </c>
      <c r="BZ43" s="335">
        <f t="shared" ref="BZ43" si="104">(((BY43*(1+($B$39*$B$4)))-BY43)/12)+BY43</f>
        <v>23.032046357042908</v>
      </c>
      <c r="CA43" s="335">
        <f t="shared" ref="CA43" si="105">(((BZ43*(1+($B$39*$B$4)))-BZ43)/12)+BZ43</f>
        <v>23.170238635185164</v>
      </c>
      <c r="CB43" s="335">
        <f t="shared" ref="CB43" si="106">(((CA43*(1+($B$39*$B$4)))-CA43)/12)+CA43</f>
        <v>23.309260066996277</v>
      </c>
      <c r="CC43" s="335">
        <f t="shared" ref="CC43" si="107">(((CB43*(1+($B$39*$B$4)))-CB43)/12)+CB43</f>
        <v>23.449115627398253</v>
      </c>
      <c r="CD43" s="335">
        <f t="shared" ref="CD43" si="108">(((CC43*(1+($B$39*$B$4)))-CC43)/12)+CC43</f>
        <v>23.589810321162641</v>
      </c>
      <c r="CE43" s="336">
        <f t="shared" ref="CE43" si="109">(((CD43*(1+($B$40*$B$4)))-CD43)/12)+CD43</f>
        <v>23.731349183089616</v>
      </c>
      <c r="CF43" s="335">
        <f t="shared" ref="CF43" si="110">(((CE43*(1+($B$40*$B$4)))-CE43)/12)+CE43</f>
        <v>23.873737278188155</v>
      </c>
      <c r="CG43" s="335">
        <f t="shared" ref="CG43" si="111">(((CF43*(1+($B$40*$B$4)))-CF43)/12)+CF43</f>
        <v>24.016979701857284</v>
      </c>
      <c r="CH43" s="335">
        <f t="shared" ref="CH43" si="112">(((CG43*(1+($B$40*$B$4)))-CG43)/12)+CG43</f>
        <v>24.161081580068426</v>
      </c>
      <c r="CI43" s="335">
        <f t="shared" ref="CI43" si="113">(((CH43*(1+($B$40*$B$4)))-CH43)/12)+CH43</f>
        <v>24.306048069548837</v>
      </c>
      <c r="CJ43" s="335">
        <f t="shared" ref="CJ43" si="114">(((CI43*(1+($B$40*$B$4)))-CI43)/12)+CI43</f>
        <v>24.451884357966129</v>
      </c>
      <c r="CK43" s="335">
        <f t="shared" ref="CK43" si="115">(((CJ43*(1+($B$40*$B$4)))-CJ43)/12)+CJ43</f>
        <v>24.598595664113926</v>
      </c>
      <c r="CL43" s="335">
        <f t="shared" ref="CL43" si="116">(((CK43*(1+($B$40*$B$4)))-CK43)/12)+CK43</f>
        <v>24.74618723809861</v>
      </c>
      <c r="CM43" s="335">
        <f t="shared" ref="CM43" si="117">(((CL43*(1+($B$40*$B$4)))-CL43)/12)+CL43</f>
        <v>24.894664361527202</v>
      </c>
      <c r="CN43" s="335">
        <f t="shared" ref="CN43" si="118">(((CM43*(1+($B$40*$B$4)))-CM43)/12)+CM43</f>
        <v>25.044032347696366</v>
      </c>
      <c r="CO43" s="335">
        <f t="shared" ref="CO43" si="119">(((CN43*(1+($B$40*$B$4)))-CN43)/12)+CN43</f>
        <v>25.194296541782542</v>
      </c>
      <c r="CP43" s="335">
        <f t="shared" ref="CP43" si="120">(((CO43*(1+($B$40*$B$4)))-CO43)/12)+CO43</f>
        <v>25.345462321033239</v>
      </c>
      <c r="CQ43" s="336">
        <f t="shared" ref="CQ43" si="121">(((CP43*(1+($B$41*$B$4)))-CP43)/12)+CP43</f>
        <v>25.497535094959439</v>
      </c>
      <c r="CR43" s="335">
        <f t="shared" ref="CR43" si="122">(((CQ43*(1+($B$41*$B$4)))-CQ43)/12)+CQ43</f>
        <v>25.650520305529195</v>
      </c>
      <c r="CS43" s="335">
        <f t="shared" ref="CS43" si="123">(((CR43*(1+($B$41*$B$4)))-CR43)/12)+CR43</f>
        <v>25.804423427362369</v>
      </c>
      <c r="CT43" s="335">
        <f t="shared" ref="CT43" si="124">(((CS43*(1+($B$41*$B$4)))-CS43)/12)+CS43</f>
        <v>25.959249967926542</v>
      </c>
      <c r="CU43" s="335">
        <f t="shared" ref="CU43" si="125">(((CT43*(1+($B$41*$B$4)))-CT43)/12)+CT43</f>
        <v>26.1150054677341</v>
      </c>
      <c r="CV43" s="335">
        <f t="shared" ref="CV43" si="126">(((CU43*(1+($B$41*$B$4)))-CU43)/12)+CU43</f>
        <v>26.271695500540506</v>
      </c>
      <c r="CW43" s="335">
        <f t="shared" ref="CW43" si="127">(((CV43*(1+($B$41*$B$4)))-CV43)/12)+CV43</f>
        <v>26.429325673543751</v>
      </c>
      <c r="CX43" s="335">
        <f t="shared" ref="CX43" si="128">(((CW43*(1+($B$41*$B$4)))-CW43)/12)+CW43</f>
        <v>26.587901627585012</v>
      </c>
      <c r="CY43" s="335">
        <f t="shared" ref="CY43" si="129">(((CX43*(1+($B$41*$B$4)))-CX43)/12)+CX43</f>
        <v>26.747429037350521</v>
      </c>
      <c r="CZ43" s="335">
        <f t="shared" ref="CZ43" si="130">(((CY43*(1+($B$41*$B$4)))-CY43)/12)+CY43</f>
        <v>26.907913611574624</v>
      </c>
      <c r="DA43" s="335">
        <f t="shared" ref="DA43" si="131">(((CZ43*(1+($B$41*$B$4)))-CZ43)/12)+CZ43</f>
        <v>27.069361093244073</v>
      </c>
      <c r="DB43" s="335">
        <f t="shared" ref="DB43" si="132">(((DA43*(1+($B$41*$B$4)))-DA43)/12)+DA43</f>
        <v>27.231777259803536</v>
      </c>
      <c r="DC43" s="336">
        <f t="shared" ref="DC43" si="133">(((DB43*(1+($B$42*$B$4)))-DB43)/12)+DB43</f>
        <v>27.395167923362358</v>
      </c>
      <c r="DD43" s="335">
        <f t="shared" ref="DD43" si="134">(((DC43*(1+($B$42*$B$4)))-DC43)/12)+DC43</f>
        <v>27.559538930902534</v>
      </c>
      <c r="DE43" s="335">
        <f t="shared" ref="DE43" si="135">(((DD43*(1+($B$42*$B$4)))-DD43)/12)+DD43</f>
        <v>27.724896164487948</v>
      </c>
      <c r="DF43" s="335">
        <f t="shared" ref="DF43" si="136">(((DE43*(1+($B$42*$B$4)))-DE43)/12)+DE43</f>
        <v>27.891245541474877</v>
      </c>
      <c r="DG43" s="335">
        <f t="shared" ref="DG43" si="137">(((DF43*(1+($B$42*$B$4)))-DF43)/12)+DF43</f>
        <v>28.058593014723726</v>
      </c>
      <c r="DH43" s="335">
        <f t="shared" ref="DH43" si="138">(((DG43*(1+($B$42*$B$4)))-DG43)/12)+DG43</f>
        <v>28.226944572812069</v>
      </c>
      <c r="DI43" s="335">
        <f t="shared" ref="DI43" si="139">(((DH43*(1+($B$42*$B$4)))-DH43)/12)+DH43</f>
        <v>28.396306240248943</v>
      </c>
      <c r="DJ43" s="335">
        <f t="shared" ref="DJ43" si="140">(((DI43*(1+($B$42*$B$4)))-DI43)/12)+DI43</f>
        <v>28.566684077690436</v>
      </c>
      <c r="DK43" s="335">
        <f t="shared" ref="DK43" si="141">(((DJ43*(1+($B$42*$B$4)))-DJ43)/12)+DJ43</f>
        <v>28.738084182156577</v>
      </c>
      <c r="DL43" s="335">
        <f t="shared" ref="DL43" si="142">(((DK43*(1+($B$42*$B$4)))-DK43)/12)+DK43</f>
        <v>28.910512687249515</v>
      </c>
      <c r="DM43" s="335">
        <f t="shared" ref="DM43" si="143">(((DL43*(1+($B$42*$B$4)))-DL43)/12)+DL43</f>
        <v>29.083975763373012</v>
      </c>
      <c r="DN43" s="335">
        <f t="shared" ref="DN43" si="144">(((DM43*(1+($B$42*$B$4)))-DM43)/12)+DM43</f>
        <v>29.258479617953249</v>
      </c>
      <c r="DO43" s="336">
        <f t="shared" ref="DO43" si="145">(((DN43*(1+($B$43*$B$4)))-DN43)/12)+DN43</f>
        <v>29.43403049566097</v>
      </c>
      <c r="DP43" s="335">
        <f t="shared" ref="DP43" si="146">(((DO43*(1+($B$43*$B$4)))-DO43)/12)+DO43</f>
        <v>29.610634678634938</v>
      </c>
      <c r="DQ43" s="335">
        <f t="shared" ref="DQ43" si="147">(((DP43*(1+($B$43*$B$4)))-DP43)/12)+DP43</f>
        <v>29.788298486706747</v>
      </c>
      <c r="DR43" s="335">
        <f t="shared" ref="DR43" si="148">(((DQ43*(1+($B$43*$B$4)))-DQ43)/12)+DQ43</f>
        <v>29.967028277626987</v>
      </c>
      <c r="DS43" s="335">
        <f t="shared" ref="DS43" si="149">(((DR43*(1+($B$43*$B$4)))-DR43)/12)+DR43</f>
        <v>30.14683044729275</v>
      </c>
      <c r="DT43" s="335">
        <f t="shared" ref="DT43" si="150">(((DS43*(1+($B$43*$B$4)))-DS43)/12)+DS43</f>
        <v>30.327711429976507</v>
      </c>
      <c r="DU43" s="335">
        <f t="shared" ref="DU43" si="151">(((DT43*(1+($B$43*$B$4)))-DT43)/12)+DT43</f>
        <v>30.509677698556366</v>
      </c>
      <c r="DV43" s="335">
        <f t="shared" ref="DV43" si="152">(((DU43*(1+($B$43*$B$4)))-DU43)/12)+DU43</f>
        <v>30.692735764747706</v>
      </c>
      <c r="DW43" s="335">
        <f t="shared" ref="DW43" si="153">(((DV43*(1+($B$43*$B$4)))-DV43)/12)+DV43</f>
        <v>30.876892179336192</v>
      </c>
      <c r="DX43" s="335">
        <f t="shared" ref="DX43" si="154">(((DW43*(1+($B$43*$B$4)))-DW43)/12)+DW43</f>
        <v>31.062153532412211</v>
      </c>
      <c r="DY43" s="335">
        <f t="shared" ref="DY43" si="155">(((DX43*(1+($B$43*$B$4)))-DX43)/12)+DX43</f>
        <v>31.248526453606683</v>
      </c>
      <c r="DZ43" s="335">
        <f t="shared" ref="DZ43" si="156">(((DY43*(1+($B$43*$B$4)))-DY43)/12)+DY43</f>
        <v>31.436017612328325</v>
      </c>
      <c r="EA43" s="336">
        <f>(((DZ43*(1+($B$44*$B$4)))-DZ43)/12)+DZ43</f>
        <v>31.624633718002293</v>
      </c>
      <c r="EB43" s="335">
        <f>(((EA43*(1+($B$44*$B$4)))-EA43)/12)+EA43</f>
        <v>31.814381520310306</v>
      </c>
      <c r="EC43" s="335">
        <f>(((EB43*(1+($B$44*$B$4)))-EB43)/12)+EB43</f>
        <v>32.005267809432169</v>
      </c>
      <c r="ED43" s="337">
        <f>(((EC43*(1+($B$44*$B$4)))-EC43)/12)+EC43</f>
        <v>32.197299416288764</v>
      </c>
    </row>
    <row r="44" spans="1:134" ht="18.95" customHeight="1" outlineLevel="1" x14ac:dyDescent="0.3">
      <c r="A44" t="s">
        <v>229</v>
      </c>
      <c r="B44" s="82">
        <f>'Growth Prediction Exec Summary'!L5</f>
        <v>0.08</v>
      </c>
      <c r="C44" s="736"/>
      <c r="D44" s="739" t="s">
        <v>230</v>
      </c>
      <c r="E44" s="730"/>
      <c r="F44" s="730"/>
      <c r="G44" s="730"/>
      <c r="H44" s="730"/>
      <c r="I44" s="730"/>
      <c r="J44" s="730"/>
      <c r="K44" s="730"/>
      <c r="L44" s="740"/>
      <c r="M44" s="139"/>
      <c r="N44" s="574">
        <f>'SEC Benches Data'!AO4</f>
        <v>270</v>
      </c>
      <c r="O44" s="575">
        <f>'SEC Benches Data'!AP4</f>
        <v>314</v>
      </c>
      <c r="P44" s="520">
        <f>'SEC Benches Data'!AQ4</f>
        <v>305</v>
      </c>
      <c r="Q44" s="140"/>
      <c r="R44" s="147"/>
      <c r="S44" s="537"/>
      <c r="T44" s="537"/>
      <c r="U44" s="141"/>
      <c r="V44" s="321">
        <f>ROUNDUP((ROUNDUP(N43,0))+((ROUNDUP(N43,0))/7),0)</f>
        <v>11</v>
      </c>
      <c r="W44" s="520">
        <f>ROUNDUP(W43,0)+(W43/7)</f>
        <v>10.246386554621848</v>
      </c>
      <c r="X44" s="520">
        <f t="shared" ref="X44" si="157">ROUNDUP(X43,0)+(X43/7)</f>
        <v>10.246386554621848</v>
      </c>
      <c r="Y44" s="520">
        <f t="shared" ref="Y44" si="158">ROUNDUP(Y43,0)+(Y43/7)</f>
        <v>10.246386554621848</v>
      </c>
      <c r="Z44" s="520">
        <f>ROUNDUP(Z43,0)+(Z43/7)</f>
        <v>14.745030812324931</v>
      </c>
      <c r="AA44" s="520">
        <f t="shared" ref="AA44" si="159">ROUNDUP(AA43,0)+(AA43/7)</f>
        <v>14.745030812324931</v>
      </c>
      <c r="AB44" s="520">
        <f t="shared" ref="AB44" si="160">ROUNDUP(AB43,0)+(AB43/7)</f>
        <v>14.745030812324931</v>
      </c>
      <c r="AC44" s="520">
        <f t="shared" ref="AC44" si="161">ROUNDUP(AC43,0)+(AC43/7)</f>
        <v>20.528851540616248</v>
      </c>
      <c r="AD44" s="520">
        <f t="shared" ref="AD44" si="162">ROUNDUP(AD43,0)+(AD43/7)</f>
        <v>20.528851540616248</v>
      </c>
      <c r="AE44" s="520">
        <f t="shared" ref="AE44" si="163">ROUNDUP(AE43,0)+(AE43/7)</f>
        <v>20.528851540616248</v>
      </c>
      <c r="AF44" s="520">
        <f t="shared" ref="AF44" si="164">ROUNDUP(AF43,0)+(AF43/7)</f>
        <v>20.528851540616248</v>
      </c>
      <c r="AG44" s="520">
        <f t="shared" ref="AG44" si="165">ROUNDUP(AG43,0)+(AG43/7)</f>
        <v>20.528851540616248</v>
      </c>
      <c r="AH44" s="520">
        <f t="shared" ref="AH44" si="166">ROUNDUP(AH43,0)+(AH43/7)</f>
        <v>20.528851540616248</v>
      </c>
      <c r="AI44" s="520">
        <f t="shared" ref="AI44" si="167">ROUNDUP(AI43,0)+(AI43/7)</f>
        <v>20.544024649859946</v>
      </c>
      <c r="AJ44" s="520">
        <f t="shared" ref="AJ44" si="168">ROUNDUP(AJ43,0)+(AJ43/7)</f>
        <v>20.559288797759105</v>
      </c>
      <c r="AK44" s="520">
        <f t="shared" ref="AK44" si="169">ROUNDUP(AK43,0)+(AK43/7)</f>
        <v>21.574644530545658</v>
      </c>
      <c r="AL44" s="520">
        <f t="shared" ref="AL44" si="170">ROUNDUP(AL43,0)+(AL43/7)</f>
        <v>21.590092397728931</v>
      </c>
      <c r="AM44" s="520">
        <f t="shared" ref="AM44" si="171">ROUNDUP(AM43,0)+(AM43/7)</f>
        <v>21.605632952115307</v>
      </c>
      <c r="AN44" s="520">
        <f t="shared" ref="AN44" si="172">ROUNDUP(AN43,0)+(AN43/7)</f>
        <v>21.621266749827999</v>
      </c>
      <c r="AO44" s="520">
        <f t="shared" ref="AO44" si="173">ROUNDUP(AO43,0)+(AO43/7)</f>
        <v>21.636994350326965</v>
      </c>
      <c r="AP44" s="520">
        <f t="shared" ref="AP44" si="174">ROUNDUP(AP43,0)+(AP43/7)</f>
        <v>21.652816316428929</v>
      </c>
      <c r="AQ44" s="520">
        <f t="shared" ref="AQ44" si="175">ROUNDUP(AQ43,0)+(AQ43/7)</f>
        <v>21.668733214327499</v>
      </c>
      <c r="AR44" s="520">
        <f t="shared" ref="AR44" si="176">ROUNDUP(AR43,0)+(AR43/7)</f>
        <v>21.684745613613465</v>
      </c>
      <c r="AS44" s="520">
        <f t="shared" ref="AS44" si="177">ROUNDUP(AS43,0)+(AS43/7)</f>
        <v>21.700854087295145</v>
      </c>
      <c r="AT44" s="520">
        <f t="shared" ref="AT44" si="178">ROUNDUP(AT43,0)+(AT43/7)</f>
        <v>22.717059211818917</v>
      </c>
      <c r="AU44" s="520">
        <f t="shared" ref="AU44" si="179">ROUNDUP(AU43,0)+(AU43/7)</f>
        <v>22.73336156708983</v>
      </c>
      <c r="AV44" s="520">
        <f t="shared" ref="AV44" si="180">ROUNDUP(AV43,0)+(AV43/7)</f>
        <v>22.749761736492371</v>
      </c>
      <c r="AW44" s="520">
        <f t="shared" ref="AW44" si="181">ROUNDUP(AW43,0)+(AW43/7)</f>
        <v>22.766260306911324</v>
      </c>
      <c r="AX44" s="520">
        <f t="shared" ref="AX44" si="182">ROUNDUP(AX43,0)+(AX43/7)</f>
        <v>22.782857868752792</v>
      </c>
      <c r="AY44" s="520">
        <f t="shared" ref="AY44" si="183">ROUNDUP(AY43,0)+(AY43/7)</f>
        <v>22.799555015965311</v>
      </c>
      <c r="AZ44" s="520">
        <f t="shared" ref="AZ44" si="184">ROUNDUP(AZ43,0)+(AZ43/7)</f>
        <v>22.816352346061102</v>
      </c>
      <c r="BA44" s="520">
        <f t="shared" ref="BA44" si="185">ROUNDUP(BA43,0)+(BA43/7)</f>
        <v>22.833250460137467</v>
      </c>
      <c r="BB44" s="520">
        <f t="shared" ref="BB44" si="186">ROUNDUP(BB43,0)+(BB43/7)</f>
        <v>22.850249962898292</v>
      </c>
      <c r="BC44" s="520">
        <f t="shared" ref="BC44" si="187">ROUNDUP(BC43,0)+(BC43/7)</f>
        <v>23.867351462675682</v>
      </c>
      <c r="BD44" s="520">
        <f t="shared" ref="BD44" si="188">ROUNDUP(BD43,0)+(BD43/7)</f>
        <v>23.884555571451735</v>
      </c>
      <c r="BE44" s="520">
        <f t="shared" ref="BE44" si="189">ROUNDUP(BE43,0)+(BE43/7)</f>
        <v>23.901862904880446</v>
      </c>
      <c r="BF44" s="520">
        <f t="shared" ref="BF44" si="190">ROUNDUP(BF43,0)+(BF43/7)</f>
        <v>23.91927408230973</v>
      </c>
      <c r="BG44" s="520">
        <f t="shared" ref="BG44" si="191">ROUNDUP(BG43,0)+(BG43/7)</f>
        <v>23.936789726803585</v>
      </c>
      <c r="BH44" s="520">
        <f t="shared" ref="BH44" si="192">ROUNDUP(BH43,0)+(BH43/7)</f>
        <v>23.954410465164408</v>
      </c>
      <c r="BI44" s="520">
        <f t="shared" ref="BI44" si="193">ROUNDUP(BI43,0)+(BI43/7)</f>
        <v>23.972136927955397</v>
      </c>
      <c r="BJ44" s="520">
        <f t="shared" ref="BJ44" si="194">ROUNDUP(BJ43,0)+(BJ43/7)</f>
        <v>23.989969749523127</v>
      </c>
      <c r="BK44" s="520">
        <f t="shared" ref="BK44" si="195">ROUNDUP(BK43,0)+(BK43/7)</f>
        <v>25.007909568020267</v>
      </c>
      <c r="BL44" s="520">
        <f t="shared" ref="BL44" si="196">ROUNDUP(BL43,0)+(BL43/7)</f>
        <v>25.025957025428387</v>
      </c>
      <c r="BM44" s="520">
        <f t="shared" ref="BM44" si="197">ROUNDUP(BM43,0)+(BM43/7)</f>
        <v>25.044112767580959</v>
      </c>
      <c r="BN44" s="520">
        <f t="shared" ref="BN44" si="198">ROUNDUP(BN43,0)+(BN43/7)</f>
        <v>25.062377444186446</v>
      </c>
      <c r="BO44" s="520">
        <f t="shared" ref="BO44" si="199">ROUNDUP(BO43,0)+(BO43/7)</f>
        <v>25.080751708851562</v>
      </c>
      <c r="BP44" s="520">
        <f t="shared" ref="BP44" si="200">ROUNDUP(BP43,0)+(BP43/7)</f>
        <v>25.099236219104672</v>
      </c>
      <c r="BQ44" s="520">
        <f t="shared" ref="BQ44" si="201">ROUNDUP(BQ43,0)+(BQ43/7)</f>
        <v>25.1178316364193</v>
      </c>
      <c r="BR44" s="520">
        <f t="shared" ref="BR44" si="202">ROUNDUP(BR43,0)+(BR43/7)</f>
        <v>25.136538626237815</v>
      </c>
      <c r="BS44" s="520">
        <f t="shared" ref="BS44" si="203">ROUNDUP(BS43,0)+(BS43/7)</f>
        <v>26.155357857995241</v>
      </c>
      <c r="BT44" s="520">
        <f t="shared" ref="BT44" si="204">ROUNDUP(BT43,0)+(BT43/7)</f>
        <v>26.174290005143213</v>
      </c>
      <c r="BU44" s="520">
        <f t="shared" ref="BU44" si="205">ROUNDUP(BU43,0)+(BU43/7)</f>
        <v>26.193335745174075</v>
      </c>
      <c r="BV44" s="520">
        <f t="shared" ref="BV44" si="206">ROUNDUP(BV43,0)+(BV43/7)</f>
        <v>26.212495759645119</v>
      </c>
      <c r="BW44" s="520">
        <f t="shared" ref="BW44" si="207">ROUNDUP(BW43,0)+(BW43/7)</f>
        <v>26.231770734202989</v>
      </c>
      <c r="BX44" s="520">
        <f t="shared" ref="BX44" si="208">ROUNDUP(BX43,0)+(BX43/7)</f>
        <v>26.251161358608208</v>
      </c>
      <c r="BY44" s="520">
        <f t="shared" ref="BY44" si="209">ROUNDUP(BY43,0)+(BY43/7)</f>
        <v>26.270668326759857</v>
      </c>
      <c r="BZ44" s="520">
        <f t="shared" ref="BZ44" si="210">ROUNDUP(BZ43,0)+(BZ43/7)</f>
        <v>27.290292336720416</v>
      </c>
      <c r="CA44" s="520">
        <f t="shared" ref="CA44" si="211">ROUNDUP(CA43,0)+(CA43/7)</f>
        <v>27.310034090740739</v>
      </c>
      <c r="CB44" s="520">
        <f t="shared" ref="CB44" si="212">ROUNDUP(CB43,0)+(CB43/7)</f>
        <v>27.329894295285182</v>
      </c>
      <c r="CC44" s="520">
        <f t="shared" ref="CC44" si="213">ROUNDUP(CC43,0)+(CC43/7)</f>
        <v>27.349873661056893</v>
      </c>
      <c r="CD44" s="520">
        <f t="shared" ref="CD44" si="214">ROUNDUP(CD43,0)+(CD43/7)</f>
        <v>27.369972903023235</v>
      </c>
      <c r="CE44" s="520">
        <f t="shared" ref="CE44" si="215">ROUNDUP(CE43,0)+(CE43/7)</f>
        <v>27.390192740441375</v>
      </c>
      <c r="CF44" s="520">
        <f t="shared" ref="CF44" si="216">ROUNDUP(CF43,0)+(CF43/7)</f>
        <v>27.410533896884022</v>
      </c>
      <c r="CG44" s="520">
        <f t="shared" ref="CG44" si="217">ROUNDUP(CG43,0)+(CG43/7)</f>
        <v>28.430997100265326</v>
      </c>
      <c r="CH44" s="520">
        <f t="shared" ref="CH44" si="218">ROUNDUP(CH43,0)+(CH43/7)</f>
        <v>28.451583082866918</v>
      </c>
      <c r="CI44" s="520">
        <f t="shared" ref="CI44" si="219">ROUNDUP(CI43,0)+(CI43/7)</f>
        <v>28.472292581364119</v>
      </c>
      <c r="CJ44" s="520">
        <f t="shared" ref="CJ44" si="220">ROUNDUP(CJ43,0)+(CJ43/7)</f>
        <v>28.493126336852303</v>
      </c>
      <c r="CK44" s="520">
        <f t="shared" ref="CK44" si="221">ROUNDUP(CK43,0)+(CK43/7)</f>
        <v>28.514085094873419</v>
      </c>
      <c r="CL44" s="520">
        <f t="shared" ref="CL44" si="222">ROUNDUP(CL43,0)+(CL43/7)</f>
        <v>28.535169605442658</v>
      </c>
      <c r="CM44" s="520">
        <f t="shared" ref="CM44" si="223">ROUNDUP(CM43,0)+(CM43/7)</f>
        <v>28.556380623075313</v>
      </c>
      <c r="CN44" s="520">
        <f t="shared" ref="CN44" si="224">ROUNDUP(CN43,0)+(CN43/7)</f>
        <v>29.577718906813768</v>
      </c>
      <c r="CO44" s="520">
        <f t="shared" ref="CO44" si="225">ROUNDUP(CO43,0)+(CO43/7)</f>
        <v>29.59918522025465</v>
      </c>
      <c r="CP44" s="520">
        <f t="shared" ref="CP44" si="226">ROUNDUP(CP43,0)+(CP43/7)</f>
        <v>29.620780331576178</v>
      </c>
      <c r="CQ44" s="520">
        <f t="shared" ref="CQ44" si="227">ROUNDUP(CQ43,0)+(CQ43/7)</f>
        <v>29.642505013565636</v>
      </c>
      <c r="CR44" s="520">
        <f t="shared" ref="CR44" si="228">ROUNDUP(CR43,0)+(CR43/7)</f>
        <v>29.664360043647029</v>
      </c>
      <c r="CS44" s="520">
        <f t="shared" ref="CS44" si="229">ROUNDUP(CS43,0)+(CS43/7)</f>
        <v>29.686346203908911</v>
      </c>
      <c r="CT44" s="520">
        <f t="shared" ref="CT44" si="230">ROUNDUP(CT43,0)+(CT43/7)</f>
        <v>29.708464281132365</v>
      </c>
      <c r="CU44" s="520">
        <f t="shared" ref="CU44" si="231">ROUNDUP(CU43,0)+(CU43/7)</f>
        <v>30.730715066819158</v>
      </c>
      <c r="CV44" s="520">
        <f t="shared" ref="CV44" si="232">ROUNDUP(CV43,0)+(CV43/7)</f>
        <v>30.753099357220073</v>
      </c>
      <c r="CW44" s="520">
        <f t="shared" ref="CW44" si="233">ROUNDUP(CW43,0)+(CW43/7)</f>
        <v>30.775617953363394</v>
      </c>
      <c r="CX44" s="520">
        <f t="shared" ref="CX44" si="234">ROUNDUP(CX43,0)+(CX43/7)</f>
        <v>30.798271661083572</v>
      </c>
      <c r="CY44" s="520">
        <f t="shared" ref="CY44" si="235">ROUNDUP(CY43,0)+(CY43/7)</f>
        <v>30.821061291050075</v>
      </c>
      <c r="CZ44" s="520">
        <f t="shared" ref="CZ44" si="236">ROUNDUP(CZ43,0)+(CZ43/7)</f>
        <v>30.843987658796376</v>
      </c>
      <c r="DA44" s="520">
        <f t="shared" ref="DA44" si="237">ROUNDUP(DA43,0)+(DA43/7)</f>
        <v>31.867051584749152</v>
      </c>
      <c r="DB44" s="520">
        <f t="shared" ref="DB44" si="238">ROUNDUP(DB43,0)+(DB43/7)</f>
        <v>31.890253894257647</v>
      </c>
      <c r="DC44" s="520">
        <f t="shared" ref="DC44" si="239">ROUNDUP(DC43,0)+(DC43/7)</f>
        <v>31.913595417623196</v>
      </c>
      <c r="DD44" s="520">
        <f t="shared" ref="DD44" si="240">ROUNDUP(DD43,0)+(DD43/7)</f>
        <v>31.937076990128933</v>
      </c>
      <c r="DE44" s="520">
        <f t="shared" ref="DE44" si="241">ROUNDUP(DE43,0)+(DE43/7)</f>
        <v>31.960699452069708</v>
      </c>
      <c r="DF44" s="520">
        <f t="shared" ref="DF44" si="242">ROUNDUP(DF43,0)+(DF43/7)</f>
        <v>31.984463648782125</v>
      </c>
      <c r="DG44" s="520">
        <f t="shared" ref="DG44" si="243">ROUNDUP(DG43,0)+(DG43/7)</f>
        <v>33.008370430674816</v>
      </c>
      <c r="DH44" s="520">
        <f t="shared" ref="DH44" si="244">ROUNDUP(DH43,0)+(DH43/7)</f>
        <v>33.032420653258868</v>
      </c>
      <c r="DI44" s="520">
        <f t="shared" ref="DI44" si="245">ROUNDUP(DI43,0)+(DI43/7)</f>
        <v>33.056615177178422</v>
      </c>
      <c r="DJ44" s="520">
        <f t="shared" ref="DJ44" si="246">ROUNDUP(DJ43,0)+(DJ43/7)</f>
        <v>33.080954868241491</v>
      </c>
      <c r="DK44" s="520">
        <f t="shared" ref="DK44" si="247">ROUNDUP(DK43,0)+(DK43/7)</f>
        <v>33.105440597450936</v>
      </c>
      <c r="DL44" s="520">
        <f t="shared" ref="DL44" si="248">ROUNDUP(DL43,0)+(DL43/7)</f>
        <v>33.130073241035646</v>
      </c>
      <c r="DM44" s="520">
        <f t="shared" ref="DM44" si="249">ROUNDUP(DM43,0)+(DM43/7)</f>
        <v>34.154853680481857</v>
      </c>
      <c r="DN44" s="520">
        <f t="shared" ref="DN44" si="250">ROUNDUP(DN43,0)+(DN43/7)</f>
        <v>34.179782802564752</v>
      </c>
      <c r="DO44" s="520">
        <f t="shared" ref="DO44" si="251">ROUNDUP(DO43,0)+(DO43/7)</f>
        <v>34.204861499380137</v>
      </c>
      <c r="DP44" s="520">
        <f t="shared" ref="DP44" si="252">ROUNDUP(DP43,0)+(DP43/7)</f>
        <v>34.23009066837642</v>
      </c>
      <c r="DQ44" s="520">
        <f t="shared" ref="DQ44" si="253">ROUNDUP(DQ43,0)+(DQ43/7)</f>
        <v>34.255471212386681</v>
      </c>
      <c r="DR44" s="520">
        <f t="shared" ref="DR44" si="254">ROUNDUP(DR43,0)+(DR43/7)</f>
        <v>34.281004039660999</v>
      </c>
      <c r="DS44" s="520">
        <f t="shared" ref="DS44" si="255">ROUNDUP(DS43,0)+(DS43/7)</f>
        <v>35.306690063898962</v>
      </c>
      <c r="DT44" s="520">
        <f t="shared" ref="DT44" si="256">ROUNDUP(DT43,0)+(DT43/7)</f>
        <v>35.332530204282357</v>
      </c>
      <c r="DU44" s="520">
        <f t="shared" ref="DU44" si="257">ROUNDUP(DU43,0)+(DU43/7)</f>
        <v>35.358525385508052</v>
      </c>
      <c r="DV44" s="520">
        <f t="shared" ref="DV44" si="258">ROUNDUP(DV43,0)+(DV43/7)</f>
        <v>35.3846765378211</v>
      </c>
      <c r="DW44" s="520">
        <f t="shared" ref="DW44" si="259">ROUNDUP(DW43,0)+(DW43/7)</f>
        <v>35.410984597048028</v>
      </c>
      <c r="DX44" s="520">
        <f t="shared" ref="DX44" si="260">ROUNDUP(DX43,0)+(DX43/7)</f>
        <v>36.437450504630313</v>
      </c>
      <c r="DY44" s="520">
        <f t="shared" ref="DY44" si="261">ROUNDUP(DY43,0)+(DY43/7)</f>
        <v>36.464075207658098</v>
      </c>
      <c r="DZ44" s="520">
        <f t="shared" ref="DZ44" si="262">ROUNDUP(DZ43,0)+(DZ43/7)</f>
        <v>36.490859658904043</v>
      </c>
      <c r="EA44" s="520">
        <f t="shared" ref="EA44" si="263">ROUNDUP(EA43,0)+(EA43/7)</f>
        <v>36.51780481685747</v>
      </c>
      <c r="EB44" s="520">
        <f t="shared" ref="EB44" si="264">ROUNDUP(EB43,0)+(EB43/7)</f>
        <v>36.544911645758617</v>
      </c>
      <c r="EC44" s="520">
        <f t="shared" ref="EC44" si="265">ROUNDUP(EC43,0)+(EC43/7)</f>
        <v>37.572181115633164</v>
      </c>
      <c r="ED44" s="520">
        <f t="shared" ref="ED44" si="266">ROUNDUP(ED43,0)+(ED43/7)</f>
        <v>37.599614202326968</v>
      </c>
    </row>
    <row r="45" spans="1:134" ht="18.95" customHeight="1" outlineLevel="1" x14ac:dyDescent="0.3">
      <c r="B45" s="82"/>
      <c r="C45" s="736"/>
      <c r="D45" s="758" t="s">
        <v>231</v>
      </c>
      <c r="E45" s="759"/>
      <c r="F45" s="759"/>
      <c r="G45" s="759"/>
      <c r="H45" s="759"/>
      <c r="I45" s="759"/>
      <c r="J45" s="759"/>
      <c r="K45" s="759"/>
      <c r="L45" s="760"/>
      <c r="M45" s="207"/>
      <c r="N45" s="583">
        <f>'SEC Benches Data'!AO4*('SEC Benches Data'!AL4/100)</f>
        <v>278.10000000000002</v>
      </c>
      <c r="O45" s="597"/>
      <c r="P45" s="584"/>
      <c r="Q45" s="598"/>
      <c r="R45" s="599"/>
      <c r="S45" s="699" t="s">
        <v>232</v>
      </c>
      <c r="T45" s="700"/>
      <c r="U45" s="593"/>
      <c r="V45" s="538"/>
      <c r="W45" s="582"/>
      <c r="X45" s="582"/>
      <c r="Y45" s="582"/>
      <c r="Z45" s="582"/>
      <c r="AA45" s="582"/>
      <c r="AB45" s="582"/>
      <c r="AC45" s="582"/>
      <c r="AD45" s="582"/>
      <c r="AE45" s="582"/>
      <c r="AF45" s="582"/>
      <c r="AG45" s="582"/>
      <c r="AH45" s="582"/>
      <c r="AI45" s="582"/>
      <c r="AJ45" s="582"/>
      <c r="AK45" s="582"/>
      <c r="AL45" s="582"/>
      <c r="AM45" s="582"/>
      <c r="AN45" s="582"/>
      <c r="AO45" s="582"/>
      <c r="AP45" s="582"/>
      <c r="AQ45" s="582"/>
      <c r="AR45" s="582"/>
      <c r="AS45" s="582"/>
      <c r="AT45" s="582"/>
      <c r="AU45" s="582"/>
      <c r="AV45" s="582"/>
      <c r="AW45" s="582"/>
      <c r="AX45" s="582"/>
      <c r="AY45" s="582"/>
      <c r="AZ45" s="582"/>
      <c r="BA45" s="582"/>
      <c r="BB45" s="582"/>
      <c r="BC45" s="582"/>
      <c r="BD45" s="582"/>
      <c r="BE45" s="582"/>
      <c r="BF45" s="582"/>
      <c r="BG45" s="582"/>
      <c r="BH45" s="582"/>
      <c r="BI45" s="582"/>
      <c r="BJ45" s="582"/>
      <c r="BK45" s="582"/>
      <c r="BL45" s="582"/>
      <c r="BM45" s="582"/>
      <c r="BN45" s="582"/>
      <c r="BO45" s="582"/>
      <c r="BP45" s="582"/>
      <c r="BQ45" s="582"/>
      <c r="BR45" s="582"/>
      <c r="BS45" s="582"/>
      <c r="BT45" s="582"/>
      <c r="BU45" s="582"/>
      <c r="BV45" s="582"/>
      <c r="BW45" s="582"/>
      <c r="BX45" s="582"/>
      <c r="BY45" s="582"/>
      <c r="BZ45" s="582"/>
      <c r="CA45" s="582"/>
      <c r="CB45" s="582"/>
      <c r="CC45" s="582"/>
      <c r="CD45" s="582"/>
      <c r="CE45" s="582"/>
      <c r="CF45" s="582"/>
      <c r="CG45" s="582"/>
      <c r="CH45" s="582"/>
      <c r="CI45" s="582"/>
      <c r="CJ45" s="582"/>
      <c r="CK45" s="582"/>
      <c r="CL45" s="582"/>
      <c r="CM45" s="582"/>
      <c r="CN45" s="582"/>
      <c r="CO45" s="582"/>
      <c r="CP45" s="582"/>
      <c r="CQ45" s="582"/>
      <c r="CR45" s="582"/>
      <c r="CS45" s="582"/>
      <c r="CT45" s="582"/>
      <c r="CU45" s="582"/>
      <c r="CV45" s="582"/>
      <c r="CW45" s="582"/>
      <c r="CX45" s="582"/>
      <c r="CY45" s="582"/>
      <c r="CZ45" s="582"/>
      <c r="DA45" s="582"/>
      <c r="DB45" s="582"/>
      <c r="DC45" s="582"/>
      <c r="DD45" s="582"/>
      <c r="DE45" s="582"/>
      <c r="DF45" s="582"/>
      <c r="DG45" s="582"/>
      <c r="DH45" s="582"/>
      <c r="DI45" s="582"/>
      <c r="DJ45" s="582"/>
      <c r="DK45" s="582"/>
      <c r="DL45" s="582"/>
      <c r="DM45" s="582"/>
      <c r="DN45" s="582"/>
      <c r="DO45" s="582"/>
      <c r="DP45" s="582"/>
      <c r="DQ45" s="582"/>
      <c r="DR45" s="582"/>
      <c r="DS45" s="582"/>
      <c r="DT45" s="582"/>
      <c r="DU45" s="582"/>
      <c r="DV45" s="582"/>
      <c r="DW45" s="582"/>
      <c r="DX45" s="582"/>
      <c r="DY45" s="582"/>
      <c r="DZ45" s="582"/>
      <c r="EA45" s="582"/>
      <c r="EB45" s="582"/>
      <c r="EC45" s="582"/>
      <c r="ED45" s="582"/>
    </row>
    <row r="46" spans="1:134" ht="18.95" customHeight="1" outlineLevel="1" x14ac:dyDescent="0.3">
      <c r="B46" s="82"/>
      <c r="C46" s="736"/>
      <c r="D46" s="701" t="s">
        <v>233</v>
      </c>
      <c r="E46" s="702"/>
      <c r="F46" s="702"/>
      <c r="G46" s="702"/>
      <c r="H46" s="702"/>
      <c r="I46" s="702"/>
      <c r="J46" s="702"/>
      <c r="K46" s="702"/>
      <c r="L46" s="702"/>
      <c r="M46" s="703"/>
      <c r="N46" s="600">
        <f>N43/$T$46</f>
        <v>0.18176470588235294</v>
      </c>
      <c r="O46" s="594">
        <f t="shared" ref="O46:P46" si="267">O43/$T$46</f>
        <v>0.25448366013071894</v>
      </c>
      <c r="P46" s="594">
        <f t="shared" si="267"/>
        <v>0.36879084967320264</v>
      </c>
      <c r="Q46" s="584"/>
      <c r="R46" s="585"/>
      <c r="S46" s="574"/>
      <c r="T46" s="596">
        <f>(S35*T35)+(S37*T37)+(S39*T39)+(S41*T41)</f>
        <v>48</v>
      </c>
      <c r="U46" s="593"/>
      <c r="V46" s="538"/>
      <c r="W46" s="582"/>
      <c r="X46" s="582"/>
      <c r="Y46" s="582"/>
      <c r="Z46" s="582"/>
      <c r="AA46" s="582"/>
      <c r="AB46" s="582"/>
      <c r="AC46" s="582"/>
      <c r="AD46" s="582"/>
      <c r="AE46" s="582"/>
      <c r="AF46" s="582"/>
      <c r="AG46" s="582"/>
      <c r="AH46" s="582"/>
      <c r="AI46" s="582"/>
      <c r="AJ46" s="582"/>
      <c r="AK46" s="582"/>
      <c r="AL46" s="582"/>
      <c r="AM46" s="582"/>
      <c r="AN46" s="582"/>
      <c r="AO46" s="582"/>
      <c r="AP46" s="582"/>
      <c r="AQ46" s="582"/>
      <c r="AR46" s="582"/>
      <c r="AS46" s="582"/>
      <c r="AT46" s="582"/>
      <c r="AU46" s="582"/>
      <c r="AV46" s="582"/>
      <c r="AW46" s="582"/>
      <c r="AX46" s="582"/>
      <c r="AY46" s="582"/>
      <c r="AZ46" s="582"/>
      <c r="BA46" s="582"/>
      <c r="BB46" s="582"/>
      <c r="BC46" s="582"/>
      <c r="BD46" s="582"/>
      <c r="BE46" s="582"/>
      <c r="BF46" s="582"/>
      <c r="BG46" s="582"/>
      <c r="BH46" s="582"/>
      <c r="BI46" s="582"/>
      <c r="BJ46" s="582"/>
      <c r="BK46" s="582"/>
      <c r="BL46" s="582"/>
      <c r="BM46" s="582"/>
      <c r="BN46" s="582"/>
      <c r="BO46" s="582"/>
      <c r="BP46" s="582"/>
      <c r="BQ46" s="582"/>
      <c r="BR46" s="582"/>
      <c r="BS46" s="582"/>
      <c r="BT46" s="582"/>
      <c r="BU46" s="582"/>
      <c r="BV46" s="582"/>
      <c r="BW46" s="582"/>
      <c r="BX46" s="582"/>
      <c r="BY46" s="582"/>
      <c r="BZ46" s="582"/>
      <c r="CA46" s="582"/>
      <c r="CB46" s="582"/>
      <c r="CC46" s="582"/>
      <c r="CD46" s="582"/>
      <c r="CE46" s="582"/>
      <c r="CF46" s="582"/>
      <c r="CG46" s="582"/>
      <c r="CH46" s="582"/>
      <c r="CI46" s="582"/>
      <c r="CJ46" s="582"/>
      <c r="CK46" s="582"/>
      <c r="CL46" s="582"/>
      <c r="CM46" s="582"/>
      <c r="CN46" s="582"/>
      <c r="CO46" s="582"/>
      <c r="CP46" s="582"/>
      <c r="CQ46" s="582"/>
      <c r="CR46" s="582"/>
      <c r="CS46" s="582"/>
      <c r="CT46" s="582"/>
      <c r="CU46" s="582"/>
      <c r="CV46" s="582"/>
      <c r="CW46" s="582"/>
      <c r="CX46" s="582"/>
      <c r="CY46" s="582"/>
      <c r="CZ46" s="582"/>
      <c r="DA46" s="582"/>
      <c r="DB46" s="582"/>
      <c r="DC46" s="582"/>
      <c r="DD46" s="582"/>
      <c r="DE46" s="582"/>
      <c r="DF46" s="582"/>
      <c r="DG46" s="582"/>
      <c r="DH46" s="582"/>
      <c r="DI46" s="582"/>
      <c r="DJ46" s="582"/>
      <c r="DK46" s="582"/>
      <c r="DL46" s="582"/>
      <c r="DM46" s="582"/>
      <c r="DN46" s="582"/>
      <c r="DO46" s="582"/>
      <c r="DP46" s="582"/>
      <c r="DQ46" s="582"/>
      <c r="DR46" s="582"/>
      <c r="DS46" s="582"/>
      <c r="DT46" s="582"/>
      <c r="DU46" s="582"/>
      <c r="DV46" s="582"/>
      <c r="DW46" s="582"/>
      <c r="DX46" s="582"/>
      <c r="DY46" s="582"/>
      <c r="DZ46" s="582"/>
      <c r="EA46" s="582"/>
      <c r="EB46" s="582"/>
      <c r="EC46" s="582"/>
      <c r="ED46" s="582"/>
    </row>
    <row r="47" spans="1:134" ht="18.75" x14ac:dyDescent="0.3">
      <c r="C47" s="736"/>
      <c r="D47" s="81"/>
      <c r="AI47" s="133"/>
      <c r="AU47" s="133"/>
      <c r="BG47" s="133"/>
      <c r="BS47" s="133"/>
      <c r="CE47" s="133"/>
      <c r="CQ47" s="133"/>
      <c r="DC47" s="133"/>
      <c r="DO47" s="133"/>
      <c r="EA47" s="133"/>
    </row>
    <row r="48" spans="1:134" ht="18.75" outlineLevel="1" x14ac:dyDescent="0.3">
      <c r="A48" s="732" t="s">
        <v>234</v>
      </c>
      <c r="B48" s="732"/>
      <c r="C48" s="736"/>
      <c r="D48" s="195" t="s">
        <v>235</v>
      </c>
      <c r="E48" s="154"/>
      <c r="F48" s="154"/>
      <c r="G48" s="154"/>
      <c r="H48" s="154"/>
      <c r="I48" s="154"/>
      <c r="J48" s="154"/>
      <c r="K48" s="154"/>
      <c r="L48" s="155"/>
      <c r="M48" s="154"/>
      <c r="N48" s="159" t="s">
        <v>214</v>
      </c>
      <c r="O48" s="154"/>
      <c r="P48" s="154"/>
      <c r="Q48" s="154"/>
      <c r="R48" s="155"/>
      <c r="S48" s="154"/>
      <c r="T48" s="154"/>
      <c r="U48" s="154"/>
      <c r="V48" s="316">
        <f>SUM(V50,V52,V56)</f>
        <v>6</v>
      </c>
      <c r="W48" s="347">
        <f>SUM(W50,W52,W56)</f>
        <v>5</v>
      </c>
      <c r="X48" s="348">
        <f t="shared" ref="X48:CI48" si="268">SUM(X50,X52,X56)</f>
        <v>5</v>
      </c>
      <c r="Y48" s="348">
        <f t="shared" si="268"/>
        <v>5</v>
      </c>
      <c r="Z48" s="348">
        <f t="shared" si="268"/>
        <v>5</v>
      </c>
      <c r="AA48" s="348">
        <f t="shared" si="268"/>
        <v>5</v>
      </c>
      <c r="AB48" s="348">
        <f t="shared" si="268"/>
        <v>5</v>
      </c>
      <c r="AC48" s="348">
        <f t="shared" si="268"/>
        <v>5</v>
      </c>
      <c r="AD48" s="348">
        <f t="shared" si="268"/>
        <v>5</v>
      </c>
      <c r="AE48" s="348">
        <f t="shared" si="268"/>
        <v>5</v>
      </c>
      <c r="AF48" s="348">
        <f t="shared" si="268"/>
        <v>5</v>
      </c>
      <c r="AG48" s="348">
        <f t="shared" si="268"/>
        <v>5</v>
      </c>
      <c r="AH48" s="348">
        <f t="shared" si="268"/>
        <v>5</v>
      </c>
      <c r="AI48" s="349">
        <f t="shared" si="268"/>
        <v>5</v>
      </c>
      <c r="AJ48" s="348">
        <f t="shared" si="268"/>
        <v>5</v>
      </c>
      <c r="AK48" s="348">
        <f t="shared" si="268"/>
        <v>5</v>
      </c>
      <c r="AL48" s="348">
        <f t="shared" si="268"/>
        <v>5</v>
      </c>
      <c r="AM48" s="348">
        <f t="shared" si="268"/>
        <v>5</v>
      </c>
      <c r="AN48" s="348">
        <f t="shared" si="268"/>
        <v>5</v>
      </c>
      <c r="AO48" s="348">
        <f t="shared" si="268"/>
        <v>5</v>
      </c>
      <c r="AP48" s="348">
        <f t="shared" si="268"/>
        <v>5</v>
      </c>
      <c r="AQ48" s="348">
        <f t="shared" si="268"/>
        <v>5</v>
      </c>
      <c r="AR48" s="348">
        <f t="shared" si="268"/>
        <v>5</v>
      </c>
      <c r="AS48" s="348">
        <f t="shared" si="268"/>
        <v>5</v>
      </c>
      <c r="AT48" s="348">
        <f t="shared" si="268"/>
        <v>5</v>
      </c>
      <c r="AU48" s="349">
        <f t="shared" si="268"/>
        <v>5</v>
      </c>
      <c r="AV48" s="348">
        <f t="shared" si="268"/>
        <v>5</v>
      </c>
      <c r="AW48" s="348">
        <f t="shared" si="268"/>
        <v>5</v>
      </c>
      <c r="AX48" s="348">
        <f t="shared" si="268"/>
        <v>5</v>
      </c>
      <c r="AY48" s="348">
        <f t="shared" si="268"/>
        <v>5</v>
      </c>
      <c r="AZ48" s="348">
        <f t="shared" si="268"/>
        <v>5</v>
      </c>
      <c r="BA48" s="348">
        <f t="shared" si="268"/>
        <v>5</v>
      </c>
      <c r="BB48" s="348">
        <f t="shared" si="268"/>
        <v>5</v>
      </c>
      <c r="BC48" s="348">
        <f t="shared" si="268"/>
        <v>5</v>
      </c>
      <c r="BD48" s="348">
        <f t="shared" si="268"/>
        <v>5</v>
      </c>
      <c r="BE48" s="348">
        <f t="shared" si="268"/>
        <v>5</v>
      </c>
      <c r="BF48" s="348">
        <f t="shared" si="268"/>
        <v>5</v>
      </c>
      <c r="BG48" s="349">
        <f t="shared" si="268"/>
        <v>5</v>
      </c>
      <c r="BH48" s="348">
        <f t="shared" si="268"/>
        <v>5</v>
      </c>
      <c r="BI48" s="348">
        <f t="shared" si="268"/>
        <v>5</v>
      </c>
      <c r="BJ48" s="348">
        <f t="shared" si="268"/>
        <v>5</v>
      </c>
      <c r="BK48" s="348">
        <f t="shared" si="268"/>
        <v>5</v>
      </c>
      <c r="BL48" s="348">
        <f t="shared" si="268"/>
        <v>5</v>
      </c>
      <c r="BM48" s="348">
        <f t="shared" si="268"/>
        <v>5</v>
      </c>
      <c r="BN48" s="348">
        <f t="shared" si="268"/>
        <v>5</v>
      </c>
      <c r="BO48" s="348">
        <f t="shared" si="268"/>
        <v>5</v>
      </c>
      <c r="BP48" s="348">
        <f t="shared" si="268"/>
        <v>5</v>
      </c>
      <c r="BQ48" s="348">
        <f t="shared" si="268"/>
        <v>5</v>
      </c>
      <c r="BR48" s="348">
        <f t="shared" si="268"/>
        <v>5</v>
      </c>
      <c r="BS48" s="349">
        <f t="shared" si="268"/>
        <v>6</v>
      </c>
      <c r="BT48" s="348">
        <f t="shared" si="268"/>
        <v>6</v>
      </c>
      <c r="BU48" s="348">
        <f t="shared" si="268"/>
        <v>6</v>
      </c>
      <c r="BV48" s="348">
        <f t="shared" si="268"/>
        <v>6</v>
      </c>
      <c r="BW48" s="348">
        <f t="shared" si="268"/>
        <v>6</v>
      </c>
      <c r="BX48" s="348">
        <f t="shared" si="268"/>
        <v>6</v>
      </c>
      <c r="BY48" s="348">
        <f t="shared" si="268"/>
        <v>6</v>
      </c>
      <c r="BZ48" s="348">
        <f t="shared" si="268"/>
        <v>6</v>
      </c>
      <c r="CA48" s="348">
        <f t="shared" si="268"/>
        <v>6</v>
      </c>
      <c r="CB48" s="348">
        <f t="shared" si="268"/>
        <v>6</v>
      </c>
      <c r="CC48" s="348">
        <f t="shared" si="268"/>
        <v>6</v>
      </c>
      <c r="CD48" s="348">
        <f t="shared" si="268"/>
        <v>6</v>
      </c>
      <c r="CE48" s="349">
        <f t="shared" si="268"/>
        <v>7</v>
      </c>
      <c r="CF48" s="348">
        <f t="shared" si="268"/>
        <v>7</v>
      </c>
      <c r="CG48" s="348">
        <f t="shared" si="268"/>
        <v>7</v>
      </c>
      <c r="CH48" s="348">
        <f t="shared" si="268"/>
        <v>7</v>
      </c>
      <c r="CI48" s="348">
        <f t="shared" si="268"/>
        <v>7</v>
      </c>
      <c r="CJ48" s="348">
        <f t="shared" ref="CJ48:EC48" si="269">SUM(CJ50,CJ52,CJ56)</f>
        <v>7</v>
      </c>
      <c r="CK48" s="348">
        <f t="shared" si="269"/>
        <v>7</v>
      </c>
      <c r="CL48" s="348">
        <f t="shared" si="269"/>
        <v>7</v>
      </c>
      <c r="CM48" s="348">
        <f t="shared" si="269"/>
        <v>7</v>
      </c>
      <c r="CN48" s="348">
        <f t="shared" si="269"/>
        <v>7</v>
      </c>
      <c r="CO48" s="348">
        <f t="shared" si="269"/>
        <v>7</v>
      </c>
      <c r="CP48" s="348">
        <f t="shared" si="269"/>
        <v>7</v>
      </c>
      <c r="CQ48" s="349">
        <f t="shared" si="269"/>
        <v>7</v>
      </c>
      <c r="CR48" s="348">
        <f t="shared" si="269"/>
        <v>7</v>
      </c>
      <c r="CS48" s="348">
        <f t="shared" si="269"/>
        <v>7</v>
      </c>
      <c r="CT48" s="348">
        <f t="shared" si="269"/>
        <v>7</v>
      </c>
      <c r="CU48" s="348">
        <f t="shared" si="269"/>
        <v>7</v>
      </c>
      <c r="CV48" s="348">
        <f t="shared" si="269"/>
        <v>7</v>
      </c>
      <c r="CW48" s="348">
        <f t="shared" si="269"/>
        <v>7</v>
      </c>
      <c r="CX48" s="348">
        <f t="shared" si="269"/>
        <v>7</v>
      </c>
      <c r="CY48" s="348">
        <f t="shared" si="269"/>
        <v>7</v>
      </c>
      <c r="CZ48" s="348">
        <f t="shared" si="269"/>
        <v>7</v>
      </c>
      <c r="DA48" s="348">
        <f t="shared" si="269"/>
        <v>7</v>
      </c>
      <c r="DB48" s="348">
        <f t="shared" si="269"/>
        <v>7</v>
      </c>
      <c r="DC48" s="349">
        <f t="shared" si="269"/>
        <v>7</v>
      </c>
      <c r="DD48" s="348">
        <f t="shared" si="269"/>
        <v>7</v>
      </c>
      <c r="DE48" s="348">
        <f t="shared" si="269"/>
        <v>7</v>
      </c>
      <c r="DF48" s="348">
        <f t="shared" si="269"/>
        <v>7</v>
      </c>
      <c r="DG48" s="348">
        <f t="shared" si="269"/>
        <v>7</v>
      </c>
      <c r="DH48" s="348">
        <f t="shared" si="269"/>
        <v>7</v>
      </c>
      <c r="DI48" s="348">
        <f t="shared" si="269"/>
        <v>7</v>
      </c>
      <c r="DJ48" s="348">
        <f t="shared" si="269"/>
        <v>7</v>
      </c>
      <c r="DK48" s="348">
        <f t="shared" si="269"/>
        <v>7</v>
      </c>
      <c r="DL48" s="348">
        <f t="shared" si="269"/>
        <v>7</v>
      </c>
      <c r="DM48" s="348">
        <f t="shared" si="269"/>
        <v>7</v>
      </c>
      <c r="DN48" s="348">
        <f t="shared" si="269"/>
        <v>7</v>
      </c>
      <c r="DO48" s="349">
        <f t="shared" si="269"/>
        <v>7</v>
      </c>
      <c r="DP48" s="348">
        <f t="shared" si="269"/>
        <v>7</v>
      </c>
      <c r="DQ48" s="348">
        <f t="shared" si="269"/>
        <v>7</v>
      </c>
      <c r="DR48" s="348">
        <f t="shared" si="269"/>
        <v>7</v>
      </c>
      <c r="DS48" s="348">
        <f t="shared" si="269"/>
        <v>7</v>
      </c>
      <c r="DT48" s="348">
        <f t="shared" si="269"/>
        <v>7</v>
      </c>
      <c r="DU48" s="348">
        <f t="shared" si="269"/>
        <v>7</v>
      </c>
      <c r="DV48" s="348">
        <f t="shared" si="269"/>
        <v>7</v>
      </c>
      <c r="DW48" s="348">
        <f t="shared" si="269"/>
        <v>7</v>
      </c>
      <c r="DX48" s="348">
        <f t="shared" si="269"/>
        <v>7</v>
      </c>
      <c r="DY48" s="348">
        <f t="shared" si="269"/>
        <v>7</v>
      </c>
      <c r="DZ48" s="348">
        <f t="shared" si="269"/>
        <v>7</v>
      </c>
      <c r="EA48" s="349">
        <f t="shared" si="269"/>
        <v>7</v>
      </c>
      <c r="EB48" s="348">
        <f t="shared" si="269"/>
        <v>7</v>
      </c>
      <c r="EC48" s="348">
        <f t="shared" si="269"/>
        <v>7</v>
      </c>
      <c r="ED48" s="350">
        <f>SUM(ED50,ED52,ED56)</f>
        <v>7</v>
      </c>
    </row>
    <row r="49" spans="1:134" ht="18.75" outlineLevel="1" x14ac:dyDescent="0.3">
      <c r="A49" t="s">
        <v>215</v>
      </c>
      <c r="B49" s="82">
        <f>'Growth Prediction Exec Summary'!C6</f>
        <v>0.155</v>
      </c>
      <c r="C49" s="736"/>
      <c r="D49" s="713" t="s">
        <v>236</v>
      </c>
      <c r="E49" s="713"/>
      <c r="F49" s="713"/>
      <c r="G49" s="713"/>
      <c r="H49" s="713"/>
      <c r="I49" s="713"/>
      <c r="J49" s="713"/>
      <c r="K49" s="713"/>
      <c r="L49" s="156"/>
      <c r="M49" s="496">
        <f>N49*100</f>
        <v>43</v>
      </c>
      <c r="N49" s="560">
        <f>'AM Benches Data'!K4/100</f>
        <v>0.43</v>
      </c>
      <c r="O49" s="561">
        <f>'AM Benches Data'!U4/100</f>
        <v>0.38</v>
      </c>
      <c r="P49" s="561">
        <f>'AM Benches Data'!AC4/100</f>
        <v>0.4</v>
      </c>
      <c r="Q49" s="149"/>
      <c r="R49" s="160">
        <f t="shared" ref="R49:R55" si="270">P49-N49</f>
        <v>-2.9999999999999971E-2</v>
      </c>
      <c r="S49" s="150">
        <v>12</v>
      </c>
      <c r="T49" s="150">
        <v>2</v>
      </c>
      <c r="U49" s="148"/>
      <c r="V49" s="317"/>
      <c r="W49" s="351">
        <f>M49</f>
        <v>43</v>
      </c>
      <c r="X49" s="352">
        <f>W49</f>
        <v>43</v>
      </c>
      <c r="Y49" s="352">
        <f>X49</f>
        <v>43</v>
      </c>
      <c r="Z49" s="352">
        <f>O49*100</f>
        <v>38</v>
      </c>
      <c r="AA49" s="352">
        <f>Z49</f>
        <v>38</v>
      </c>
      <c r="AB49" s="352">
        <f>AA49</f>
        <v>38</v>
      </c>
      <c r="AC49" s="352">
        <f>P49*100</f>
        <v>40</v>
      </c>
      <c r="AD49" s="352">
        <f>AC49</f>
        <v>40</v>
      </c>
      <c r="AE49" s="352">
        <f>AD49</f>
        <v>40</v>
      </c>
      <c r="AF49" s="352">
        <f>AE49</f>
        <v>40</v>
      </c>
      <c r="AG49" s="352">
        <f>AF49</f>
        <v>40</v>
      </c>
      <c r="AH49" s="352">
        <f>AG49</f>
        <v>40</v>
      </c>
      <c r="AI49" s="353">
        <f t="shared" ref="AI49:AT49" si="271">(((AH49*(1+($B$36*$B$4)))-AH49)/12)+AH49</f>
        <v>40.24</v>
      </c>
      <c r="AJ49" s="352">
        <f t="shared" si="271"/>
        <v>40.481439999999999</v>
      </c>
      <c r="AK49" s="352">
        <f t="shared" si="271"/>
        <v>40.724328639999996</v>
      </c>
      <c r="AL49" s="352">
        <f t="shared" si="271"/>
        <v>40.968674611839994</v>
      </c>
      <c r="AM49" s="352">
        <f t="shared" si="271"/>
        <v>41.214486659511032</v>
      </c>
      <c r="AN49" s="352">
        <f t="shared" si="271"/>
        <v>41.461773579468101</v>
      </c>
      <c r="AO49" s="352">
        <f t="shared" si="271"/>
        <v>41.710544220944911</v>
      </c>
      <c r="AP49" s="352">
        <f t="shared" si="271"/>
        <v>41.960807486270582</v>
      </c>
      <c r="AQ49" s="352">
        <f t="shared" si="271"/>
        <v>42.212572331188206</v>
      </c>
      <c r="AR49" s="352">
        <f t="shared" si="271"/>
        <v>42.465847765175333</v>
      </c>
      <c r="AS49" s="352">
        <f t="shared" si="271"/>
        <v>42.720642851766385</v>
      </c>
      <c r="AT49" s="352">
        <f t="shared" si="271"/>
        <v>42.976966708876986</v>
      </c>
      <c r="AU49" s="353">
        <f t="shared" ref="AU49:BF49" si="272">(((AT49*(1+($B$37*$B$4)))-AT49)/12)+AT49</f>
        <v>43.234828509130246</v>
      </c>
      <c r="AV49" s="352">
        <f t="shared" si="272"/>
        <v>43.494237480185028</v>
      </c>
      <c r="AW49" s="352">
        <f t="shared" si="272"/>
        <v>43.755202905066142</v>
      </c>
      <c r="AX49" s="352">
        <f t="shared" si="272"/>
        <v>44.017734122496542</v>
      </c>
      <c r="AY49" s="352">
        <f t="shared" si="272"/>
        <v>44.281840527231523</v>
      </c>
      <c r="AZ49" s="352">
        <f t="shared" si="272"/>
        <v>44.547531570394909</v>
      </c>
      <c r="BA49" s="352">
        <f t="shared" si="272"/>
        <v>44.814816759817276</v>
      </c>
      <c r="BB49" s="352">
        <f t="shared" si="272"/>
        <v>45.083705660376182</v>
      </c>
      <c r="BC49" s="352">
        <f t="shared" si="272"/>
        <v>45.354207894338437</v>
      </c>
      <c r="BD49" s="352">
        <f t="shared" si="272"/>
        <v>45.626333141704464</v>
      </c>
      <c r="BE49" s="352">
        <f t="shared" si="272"/>
        <v>45.900091140554693</v>
      </c>
      <c r="BF49" s="352">
        <f t="shared" si="272"/>
        <v>46.175491687398022</v>
      </c>
      <c r="BG49" s="353">
        <f t="shared" ref="BG49:BR49" si="273">(((BF49*(1+($B$38*$B$4)))-BF49)/12)+BF49</f>
        <v>46.452544637522408</v>
      </c>
      <c r="BH49" s="352">
        <f t="shared" si="273"/>
        <v>46.731259905347542</v>
      </c>
      <c r="BI49" s="352">
        <f t="shared" si="273"/>
        <v>47.011647464779628</v>
      </c>
      <c r="BJ49" s="352">
        <f t="shared" si="273"/>
        <v>47.293717349568304</v>
      </c>
      <c r="BK49" s="352">
        <f t="shared" si="273"/>
        <v>47.577479653665712</v>
      </c>
      <c r="BL49" s="352">
        <f t="shared" si="273"/>
        <v>47.862944531587708</v>
      </c>
      <c r="BM49" s="352">
        <f t="shared" si="273"/>
        <v>48.150122198777233</v>
      </c>
      <c r="BN49" s="352">
        <f t="shared" si="273"/>
        <v>48.439022931969895</v>
      </c>
      <c r="BO49" s="352">
        <f t="shared" si="273"/>
        <v>48.729657069561711</v>
      </c>
      <c r="BP49" s="352">
        <f t="shared" si="273"/>
        <v>49.022035011979078</v>
      </c>
      <c r="BQ49" s="352">
        <f t="shared" si="273"/>
        <v>49.31616722205095</v>
      </c>
      <c r="BR49" s="352">
        <f t="shared" si="273"/>
        <v>49.612064225383257</v>
      </c>
      <c r="BS49" s="353">
        <f t="shared" ref="BS49:CD49" si="274">(((BR49*(1+($B$39*$B$4)))-BR49)/12)+BR49</f>
        <v>49.909736610735557</v>
      </c>
      <c r="BT49" s="352">
        <f t="shared" si="274"/>
        <v>50.209195030399968</v>
      </c>
      <c r="BU49" s="352">
        <f t="shared" si="274"/>
        <v>50.510450200582369</v>
      </c>
      <c r="BV49" s="352">
        <f t="shared" si="274"/>
        <v>50.813512901785863</v>
      </c>
      <c r="BW49" s="352">
        <f t="shared" si="274"/>
        <v>51.118393979196576</v>
      </c>
      <c r="BX49" s="352">
        <f t="shared" si="274"/>
        <v>51.425104343071752</v>
      </c>
      <c r="BY49" s="352">
        <f t="shared" si="274"/>
        <v>51.733654969130185</v>
      </c>
      <c r="BZ49" s="352">
        <f t="shared" si="274"/>
        <v>52.044056898944966</v>
      </c>
      <c r="CA49" s="352">
        <f t="shared" si="274"/>
        <v>52.356321240338637</v>
      </c>
      <c r="CB49" s="352">
        <f t="shared" si="274"/>
        <v>52.67045916778067</v>
      </c>
      <c r="CC49" s="352">
        <f t="shared" si="274"/>
        <v>52.986481922787355</v>
      </c>
      <c r="CD49" s="352">
        <f t="shared" si="274"/>
        <v>53.304400814324083</v>
      </c>
      <c r="CE49" s="353">
        <f t="shared" ref="CE49:CP49" si="275">(((CD49*(1+($B$40*$B$4)))-CD49)/12)+CD49</f>
        <v>53.624227219210027</v>
      </c>
      <c r="CF49" s="352">
        <f t="shared" si="275"/>
        <v>53.945972582525286</v>
      </c>
      <c r="CG49" s="352">
        <f t="shared" si="275"/>
        <v>54.269648418020438</v>
      </c>
      <c r="CH49" s="352">
        <f t="shared" si="275"/>
        <v>54.595266308528558</v>
      </c>
      <c r="CI49" s="352">
        <f t="shared" si="275"/>
        <v>54.922837906379726</v>
      </c>
      <c r="CJ49" s="352">
        <f t="shared" si="275"/>
        <v>55.252374933818004</v>
      </c>
      <c r="CK49" s="352">
        <f t="shared" si="275"/>
        <v>55.583889183420915</v>
      </c>
      <c r="CL49" s="352">
        <f t="shared" si="275"/>
        <v>55.917392518521439</v>
      </c>
      <c r="CM49" s="352">
        <f t="shared" si="275"/>
        <v>56.252896873632565</v>
      </c>
      <c r="CN49" s="352">
        <f t="shared" si="275"/>
        <v>56.590414254874361</v>
      </c>
      <c r="CO49" s="352">
        <f t="shared" si="275"/>
        <v>56.929956740403604</v>
      </c>
      <c r="CP49" s="352">
        <f t="shared" si="275"/>
        <v>57.271536480846024</v>
      </c>
      <c r="CQ49" s="353">
        <f t="shared" ref="CQ49:DB49" si="276">(((CP49*(1+($B$41*$B$4)))-CP49)/12)+CP49</f>
        <v>57.615165699731101</v>
      </c>
      <c r="CR49" s="352">
        <f t="shared" si="276"/>
        <v>57.960856693929486</v>
      </c>
      <c r="CS49" s="352">
        <f t="shared" si="276"/>
        <v>58.30862183409306</v>
      </c>
      <c r="CT49" s="352">
        <f t="shared" si="276"/>
        <v>58.658473565097616</v>
      </c>
      <c r="CU49" s="352">
        <f t="shared" si="276"/>
        <v>59.010424406488198</v>
      </c>
      <c r="CV49" s="352">
        <f t="shared" si="276"/>
        <v>59.36448695292713</v>
      </c>
      <c r="CW49" s="352">
        <f t="shared" si="276"/>
        <v>59.720673874644696</v>
      </c>
      <c r="CX49" s="352">
        <f t="shared" si="276"/>
        <v>60.078997917892565</v>
      </c>
      <c r="CY49" s="352">
        <f t="shared" si="276"/>
        <v>60.43947190539992</v>
      </c>
      <c r="CZ49" s="352">
        <f t="shared" si="276"/>
        <v>60.802108736832317</v>
      </c>
      <c r="DA49" s="352">
        <f t="shared" si="276"/>
        <v>61.166921389253311</v>
      </c>
      <c r="DB49" s="352">
        <f t="shared" si="276"/>
        <v>61.533922917588832</v>
      </c>
      <c r="DC49" s="353">
        <f t="shared" ref="DC49:DN49" si="277">(((DB49*(1+($B$42*$B$4)))-DB49)/12)+DB49</f>
        <v>61.903126455094366</v>
      </c>
      <c r="DD49" s="352">
        <f t="shared" si="277"/>
        <v>62.274545213824936</v>
      </c>
      <c r="DE49" s="352">
        <f t="shared" si="277"/>
        <v>62.648192485107884</v>
      </c>
      <c r="DF49" s="352">
        <f t="shared" si="277"/>
        <v>63.02408164001853</v>
      </c>
      <c r="DG49" s="352">
        <f t="shared" si="277"/>
        <v>63.40222612985864</v>
      </c>
      <c r="DH49" s="352">
        <f t="shared" si="277"/>
        <v>63.782639486637791</v>
      </c>
      <c r="DI49" s="352">
        <f t="shared" si="277"/>
        <v>64.165335323557613</v>
      </c>
      <c r="DJ49" s="352">
        <f t="shared" si="277"/>
        <v>64.550327335498963</v>
      </c>
      <c r="DK49" s="352">
        <f t="shared" si="277"/>
        <v>64.937629299511954</v>
      </c>
      <c r="DL49" s="352">
        <f t="shared" si="277"/>
        <v>65.327255075309026</v>
      </c>
      <c r="DM49" s="352">
        <f t="shared" si="277"/>
        <v>65.719218605760886</v>
      </c>
      <c r="DN49" s="352">
        <f t="shared" si="277"/>
        <v>66.113533917395458</v>
      </c>
      <c r="DO49" s="353">
        <f t="shared" ref="DO49:DZ49" si="278">(((DN49*(1+($B$43*$B$4)))-DN49)/12)+DN49</f>
        <v>66.510215120899829</v>
      </c>
      <c r="DP49" s="352">
        <f t="shared" si="278"/>
        <v>66.909276411625228</v>
      </c>
      <c r="DQ49" s="352">
        <f t="shared" si="278"/>
        <v>67.310732070094986</v>
      </c>
      <c r="DR49" s="352">
        <f t="shared" si="278"/>
        <v>67.714596462515559</v>
      </c>
      <c r="DS49" s="352">
        <f t="shared" si="278"/>
        <v>68.120884041290651</v>
      </c>
      <c r="DT49" s="352">
        <f t="shared" si="278"/>
        <v>68.52960934553839</v>
      </c>
      <c r="DU49" s="352">
        <f t="shared" si="278"/>
        <v>68.940787001611625</v>
      </c>
      <c r="DV49" s="352">
        <f t="shared" si="278"/>
        <v>69.354431723621289</v>
      </c>
      <c r="DW49" s="352">
        <f t="shared" si="278"/>
        <v>69.770558313963022</v>
      </c>
      <c r="DX49" s="352">
        <f t="shared" si="278"/>
        <v>70.189181663846796</v>
      </c>
      <c r="DY49" s="352">
        <f t="shared" si="278"/>
        <v>70.610316753829878</v>
      </c>
      <c r="DZ49" s="352">
        <f t="shared" si="278"/>
        <v>71.033978654352865</v>
      </c>
      <c r="EA49" s="353">
        <f>(((DZ49*(1+($B$44*$B$4)))-DZ49)/12)+DZ49</f>
        <v>71.460182526278984</v>
      </c>
      <c r="EB49" s="352">
        <f>(((EA49*(1+($B$44*$B$4)))-EA49)/12)+EA49</f>
        <v>71.888943621436653</v>
      </c>
      <c r="EC49" s="352">
        <f>(((EB49*(1+($B$44*$B$4)))-EB49)/12)+EB49</f>
        <v>72.320277283165268</v>
      </c>
      <c r="ED49" s="354">
        <f>(((EC49*(1+($B$44*$B$4)))-EC49)/12)+EC49</f>
        <v>72.754198946864264</v>
      </c>
    </row>
    <row r="50" spans="1:134" ht="18.75" outlineLevel="1" x14ac:dyDescent="0.3">
      <c r="A50" t="s">
        <v>217</v>
      </c>
      <c r="B50" s="82">
        <f>'Growth Prediction Exec Summary'!D6</f>
        <v>0.224</v>
      </c>
      <c r="C50" s="736"/>
      <c r="D50" s="714"/>
      <c r="E50" s="714"/>
      <c r="F50" s="714"/>
      <c r="G50" s="714"/>
      <c r="H50" s="714"/>
      <c r="I50" s="714"/>
      <c r="J50" s="714"/>
      <c r="K50" s="714"/>
      <c r="L50" s="157"/>
      <c r="M50" s="151"/>
      <c r="N50" s="562"/>
      <c r="O50" s="563"/>
      <c r="P50" s="563"/>
      <c r="Q50" s="152"/>
      <c r="R50" s="161"/>
      <c r="S50" s="153"/>
      <c r="T50" s="153"/>
      <c r="U50" s="151"/>
      <c r="V50" s="277">
        <v>3</v>
      </c>
      <c r="W50" s="355">
        <f>ROUNDUP($V50*(W49/100)/0.8,0)</f>
        <v>2</v>
      </c>
      <c r="X50" s="356">
        <f t="shared" ref="X50:CI50" si="279">ROUNDUP($V$50*(X49/100)/0.8,0)</f>
        <v>2</v>
      </c>
      <c r="Y50" s="356">
        <f t="shared" si="279"/>
        <v>2</v>
      </c>
      <c r="Z50" s="356">
        <f t="shared" si="279"/>
        <v>2</v>
      </c>
      <c r="AA50" s="356">
        <f t="shared" si="279"/>
        <v>2</v>
      </c>
      <c r="AB50" s="356">
        <f t="shared" si="279"/>
        <v>2</v>
      </c>
      <c r="AC50" s="356">
        <f t="shared" si="279"/>
        <v>2</v>
      </c>
      <c r="AD50" s="356">
        <f t="shared" si="279"/>
        <v>2</v>
      </c>
      <c r="AE50" s="356">
        <f t="shared" si="279"/>
        <v>2</v>
      </c>
      <c r="AF50" s="356">
        <f t="shared" si="279"/>
        <v>2</v>
      </c>
      <c r="AG50" s="356">
        <f t="shared" si="279"/>
        <v>2</v>
      </c>
      <c r="AH50" s="356">
        <f t="shared" si="279"/>
        <v>2</v>
      </c>
      <c r="AI50" s="357">
        <f t="shared" si="279"/>
        <v>2</v>
      </c>
      <c r="AJ50" s="356">
        <f t="shared" si="279"/>
        <v>2</v>
      </c>
      <c r="AK50" s="356">
        <f t="shared" si="279"/>
        <v>2</v>
      </c>
      <c r="AL50" s="356">
        <f t="shared" si="279"/>
        <v>2</v>
      </c>
      <c r="AM50" s="356">
        <f t="shared" si="279"/>
        <v>2</v>
      </c>
      <c r="AN50" s="356">
        <f t="shared" si="279"/>
        <v>2</v>
      </c>
      <c r="AO50" s="356">
        <f t="shared" si="279"/>
        <v>2</v>
      </c>
      <c r="AP50" s="356">
        <f t="shared" si="279"/>
        <v>2</v>
      </c>
      <c r="AQ50" s="356">
        <f t="shared" si="279"/>
        <v>2</v>
      </c>
      <c r="AR50" s="356">
        <f t="shared" si="279"/>
        <v>2</v>
      </c>
      <c r="AS50" s="356">
        <f t="shared" si="279"/>
        <v>2</v>
      </c>
      <c r="AT50" s="356">
        <f t="shared" si="279"/>
        <v>2</v>
      </c>
      <c r="AU50" s="357">
        <f t="shared" si="279"/>
        <v>2</v>
      </c>
      <c r="AV50" s="356">
        <f t="shared" si="279"/>
        <v>2</v>
      </c>
      <c r="AW50" s="356">
        <f t="shared" si="279"/>
        <v>2</v>
      </c>
      <c r="AX50" s="356">
        <f t="shared" si="279"/>
        <v>2</v>
      </c>
      <c r="AY50" s="356">
        <f t="shared" si="279"/>
        <v>2</v>
      </c>
      <c r="AZ50" s="356">
        <f t="shared" si="279"/>
        <v>2</v>
      </c>
      <c r="BA50" s="356">
        <f t="shared" si="279"/>
        <v>2</v>
      </c>
      <c r="BB50" s="356">
        <f t="shared" si="279"/>
        <v>2</v>
      </c>
      <c r="BC50" s="356">
        <f t="shared" si="279"/>
        <v>2</v>
      </c>
      <c r="BD50" s="356">
        <f t="shared" si="279"/>
        <v>2</v>
      </c>
      <c r="BE50" s="356">
        <f t="shared" si="279"/>
        <v>2</v>
      </c>
      <c r="BF50" s="356">
        <f t="shared" si="279"/>
        <v>2</v>
      </c>
      <c r="BG50" s="357">
        <f t="shared" si="279"/>
        <v>2</v>
      </c>
      <c r="BH50" s="356">
        <f t="shared" si="279"/>
        <v>2</v>
      </c>
      <c r="BI50" s="356">
        <f t="shared" si="279"/>
        <v>2</v>
      </c>
      <c r="BJ50" s="356">
        <f t="shared" si="279"/>
        <v>2</v>
      </c>
      <c r="BK50" s="356">
        <f t="shared" si="279"/>
        <v>2</v>
      </c>
      <c r="BL50" s="356">
        <f t="shared" si="279"/>
        <v>2</v>
      </c>
      <c r="BM50" s="356">
        <f t="shared" si="279"/>
        <v>2</v>
      </c>
      <c r="BN50" s="356">
        <f t="shared" si="279"/>
        <v>2</v>
      </c>
      <c r="BO50" s="356">
        <f t="shared" si="279"/>
        <v>2</v>
      </c>
      <c r="BP50" s="356">
        <f t="shared" si="279"/>
        <v>2</v>
      </c>
      <c r="BQ50" s="356">
        <f t="shared" si="279"/>
        <v>2</v>
      </c>
      <c r="BR50" s="356">
        <f t="shared" si="279"/>
        <v>2</v>
      </c>
      <c r="BS50" s="357">
        <f t="shared" si="279"/>
        <v>2</v>
      </c>
      <c r="BT50" s="356">
        <f t="shared" si="279"/>
        <v>2</v>
      </c>
      <c r="BU50" s="356">
        <f t="shared" si="279"/>
        <v>2</v>
      </c>
      <c r="BV50" s="356">
        <f t="shared" si="279"/>
        <v>2</v>
      </c>
      <c r="BW50" s="356">
        <f t="shared" si="279"/>
        <v>2</v>
      </c>
      <c r="BX50" s="356">
        <f t="shared" si="279"/>
        <v>2</v>
      </c>
      <c r="BY50" s="356">
        <f t="shared" si="279"/>
        <v>2</v>
      </c>
      <c r="BZ50" s="356">
        <f t="shared" si="279"/>
        <v>2</v>
      </c>
      <c r="CA50" s="356">
        <f t="shared" si="279"/>
        <v>2</v>
      </c>
      <c r="CB50" s="356">
        <f t="shared" si="279"/>
        <v>2</v>
      </c>
      <c r="CC50" s="356">
        <f t="shared" si="279"/>
        <v>2</v>
      </c>
      <c r="CD50" s="356">
        <f t="shared" si="279"/>
        <v>2</v>
      </c>
      <c r="CE50" s="357">
        <f t="shared" si="279"/>
        <v>3</v>
      </c>
      <c r="CF50" s="356">
        <f t="shared" si="279"/>
        <v>3</v>
      </c>
      <c r="CG50" s="356">
        <f t="shared" si="279"/>
        <v>3</v>
      </c>
      <c r="CH50" s="356">
        <f t="shared" si="279"/>
        <v>3</v>
      </c>
      <c r="CI50" s="356">
        <f t="shared" si="279"/>
        <v>3</v>
      </c>
      <c r="CJ50" s="356">
        <f t="shared" ref="CJ50:ED50" si="280">ROUNDUP($V$50*(CJ49/100)/0.8,0)</f>
        <v>3</v>
      </c>
      <c r="CK50" s="356">
        <f t="shared" si="280"/>
        <v>3</v>
      </c>
      <c r="CL50" s="356">
        <f t="shared" si="280"/>
        <v>3</v>
      </c>
      <c r="CM50" s="356">
        <f t="shared" si="280"/>
        <v>3</v>
      </c>
      <c r="CN50" s="356">
        <f t="shared" si="280"/>
        <v>3</v>
      </c>
      <c r="CO50" s="356">
        <f t="shared" si="280"/>
        <v>3</v>
      </c>
      <c r="CP50" s="356">
        <f t="shared" si="280"/>
        <v>3</v>
      </c>
      <c r="CQ50" s="357">
        <f t="shared" si="280"/>
        <v>3</v>
      </c>
      <c r="CR50" s="356">
        <f t="shared" si="280"/>
        <v>3</v>
      </c>
      <c r="CS50" s="356">
        <f t="shared" si="280"/>
        <v>3</v>
      </c>
      <c r="CT50" s="356">
        <f t="shared" si="280"/>
        <v>3</v>
      </c>
      <c r="CU50" s="356">
        <f t="shared" si="280"/>
        <v>3</v>
      </c>
      <c r="CV50" s="356">
        <f t="shared" si="280"/>
        <v>3</v>
      </c>
      <c r="CW50" s="356">
        <f t="shared" si="280"/>
        <v>3</v>
      </c>
      <c r="CX50" s="356">
        <f t="shared" si="280"/>
        <v>3</v>
      </c>
      <c r="CY50" s="356">
        <f t="shared" si="280"/>
        <v>3</v>
      </c>
      <c r="CZ50" s="356">
        <f t="shared" si="280"/>
        <v>3</v>
      </c>
      <c r="DA50" s="356">
        <f t="shared" si="280"/>
        <v>3</v>
      </c>
      <c r="DB50" s="356">
        <f t="shared" si="280"/>
        <v>3</v>
      </c>
      <c r="DC50" s="357">
        <f t="shared" si="280"/>
        <v>3</v>
      </c>
      <c r="DD50" s="356">
        <f t="shared" si="280"/>
        <v>3</v>
      </c>
      <c r="DE50" s="356">
        <f t="shared" si="280"/>
        <v>3</v>
      </c>
      <c r="DF50" s="356">
        <f t="shared" si="280"/>
        <v>3</v>
      </c>
      <c r="DG50" s="356">
        <f t="shared" si="280"/>
        <v>3</v>
      </c>
      <c r="DH50" s="356">
        <f t="shared" si="280"/>
        <v>3</v>
      </c>
      <c r="DI50" s="356">
        <f t="shared" si="280"/>
        <v>3</v>
      </c>
      <c r="DJ50" s="356">
        <f t="shared" si="280"/>
        <v>3</v>
      </c>
      <c r="DK50" s="356">
        <f t="shared" si="280"/>
        <v>3</v>
      </c>
      <c r="DL50" s="356">
        <f t="shared" si="280"/>
        <v>3</v>
      </c>
      <c r="DM50" s="356">
        <f t="shared" si="280"/>
        <v>3</v>
      </c>
      <c r="DN50" s="356">
        <f t="shared" si="280"/>
        <v>3</v>
      </c>
      <c r="DO50" s="357">
        <f t="shared" si="280"/>
        <v>3</v>
      </c>
      <c r="DP50" s="356">
        <f t="shared" si="280"/>
        <v>3</v>
      </c>
      <c r="DQ50" s="356">
        <f t="shared" si="280"/>
        <v>3</v>
      </c>
      <c r="DR50" s="356">
        <f t="shared" si="280"/>
        <v>3</v>
      </c>
      <c r="DS50" s="356">
        <f t="shared" si="280"/>
        <v>3</v>
      </c>
      <c r="DT50" s="356">
        <f t="shared" si="280"/>
        <v>3</v>
      </c>
      <c r="DU50" s="356">
        <f t="shared" si="280"/>
        <v>3</v>
      </c>
      <c r="DV50" s="356">
        <f t="shared" si="280"/>
        <v>3</v>
      </c>
      <c r="DW50" s="356">
        <f t="shared" si="280"/>
        <v>3</v>
      </c>
      <c r="DX50" s="356">
        <f t="shared" si="280"/>
        <v>3</v>
      </c>
      <c r="DY50" s="356">
        <f t="shared" si="280"/>
        <v>3</v>
      </c>
      <c r="DZ50" s="356">
        <f t="shared" si="280"/>
        <v>3</v>
      </c>
      <c r="EA50" s="357">
        <f t="shared" si="280"/>
        <v>3</v>
      </c>
      <c r="EB50" s="356">
        <f t="shared" si="280"/>
        <v>3</v>
      </c>
      <c r="EC50" s="356">
        <f t="shared" si="280"/>
        <v>3</v>
      </c>
      <c r="ED50" s="358">
        <f t="shared" si="280"/>
        <v>3</v>
      </c>
    </row>
    <row r="51" spans="1:134" ht="18.75" outlineLevel="1" x14ac:dyDescent="0.3">
      <c r="A51" t="s">
        <v>218</v>
      </c>
      <c r="B51" s="82">
        <f>'Growth Prediction Exec Summary'!E6</f>
        <v>0.216</v>
      </c>
      <c r="C51" s="736"/>
      <c r="D51" s="713" t="s">
        <v>237</v>
      </c>
      <c r="E51" s="713"/>
      <c r="F51" s="713"/>
      <c r="G51" s="713"/>
      <c r="H51" s="713"/>
      <c r="I51" s="713"/>
      <c r="J51" s="713"/>
      <c r="K51" s="713"/>
      <c r="L51" s="156"/>
      <c r="M51" s="496">
        <f>N51*100</f>
        <v>63.5</v>
      </c>
      <c r="N51" s="560">
        <f>'AM Benches Data'!E4/100</f>
        <v>0.63500000000000001</v>
      </c>
      <c r="O51" s="561">
        <f>'AM Benches Data'!O4/100</f>
        <v>0.625</v>
      </c>
      <c r="P51" s="561">
        <f>'AM Benches Data'!Y4/100</f>
        <v>0.64500000000000002</v>
      </c>
      <c r="Q51" s="149"/>
      <c r="R51" s="160">
        <f t="shared" si="270"/>
        <v>1.0000000000000009E-2</v>
      </c>
      <c r="S51" s="150">
        <v>8</v>
      </c>
      <c r="T51" s="150">
        <v>2</v>
      </c>
      <c r="U51" s="148"/>
      <c r="V51" s="317"/>
      <c r="W51" s="359">
        <f>M51</f>
        <v>63.5</v>
      </c>
      <c r="X51" s="360">
        <f t="shared" ref="X51:Y55" si="281">W51</f>
        <v>63.5</v>
      </c>
      <c r="Y51" s="360">
        <f t="shared" si="281"/>
        <v>63.5</v>
      </c>
      <c r="Z51" s="360">
        <f>O51*100</f>
        <v>62.5</v>
      </c>
      <c r="AA51" s="360">
        <f>Z51</f>
        <v>62.5</v>
      </c>
      <c r="AB51" s="360">
        <f>AA51</f>
        <v>62.5</v>
      </c>
      <c r="AC51" s="360">
        <f>P51*100</f>
        <v>64.5</v>
      </c>
      <c r="AD51" s="360">
        <f>AC51</f>
        <v>64.5</v>
      </c>
      <c r="AE51" s="360">
        <f>AD51</f>
        <v>64.5</v>
      </c>
      <c r="AF51" s="360">
        <f>AE51</f>
        <v>64.5</v>
      </c>
      <c r="AG51" s="360">
        <f>AF51</f>
        <v>64.5</v>
      </c>
      <c r="AH51" s="360">
        <f>AG51</f>
        <v>64.5</v>
      </c>
      <c r="AI51" s="361">
        <f t="shared" ref="AI51:AT51" si="282">(((AH51*(1+($B$36*$B$4)))-AH51)/12)+AH51</f>
        <v>64.887</v>
      </c>
      <c r="AJ51" s="360">
        <f t="shared" si="282"/>
        <v>65.276321999999993</v>
      </c>
      <c r="AK51" s="360">
        <f t="shared" si="282"/>
        <v>65.667979931999994</v>
      </c>
      <c r="AL51" s="360">
        <f t="shared" si="282"/>
        <v>66.06198781159199</v>
      </c>
      <c r="AM51" s="360">
        <f t="shared" si="282"/>
        <v>66.458359738461539</v>
      </c>
      <c r="AN51" s="360">
        <f t="shared" si="282"/>
        <v>66.857109896892311</v>
      </c>
      <c r="AO51" s="360">
        <f t="shared" si="282"/>
        <v>67.258252556273661</v>
      </c>
      <c r="AP51" s="360">
        <f t="shared" si="282"/>
        <v>67.661802071611305</v>
      </c>
      <c r="AQ51" s="360">
        <f t="shared" si="282"/>
        <v>68.067772884040977</v>
      </c>
      <c r="AR51" s="360">
        <f t="shared" si="282"/>
        <v>68.476179521345216</v>
      </c>
      <c r="AS51" s="360">
        <f t="shared" si="282"/>
        <v>68.887036598473287</v>
      </c>
      <c r="AT51" s="360">
        <f t="shared" si="282"/>
        <v>69.300358818064126</v>
      </c>
      <c r="AU51" s="361">
        <f t="shared" ref="AU51:BF51" si="283">(((AT51*(1+($B$37*$B$4)))-AT51)/12)+AT51</f>
        <v>69.71616097097251</v>
      </c>
      <c r="AV51" s="360">
        <f t="shared" si="283"/>
        <v>70.134457936798341</v>
      </c>
      <c r="AW51" s="360">
        <f t="shared" si="283"/>
        <v>70.555264684419129</v>
      </c>
      <c r="AX51" s="360">
        <f t="shared" si="283"/>
        <v>70.97859627252565</v>
      </c>
      <c r="AY51" s="360">
        <f t="shared" si="283"/>
        <v>71.404467850160799</v>
      </c>
      <c r="AZ51" s="360">
        <f t="shared" si="283"/>
        <v>71.832894657261761</v>
      </c>
      <c r="BA51" s="360">
        <f t="shared" si="283"/>
        <v>72.263892025205337</v>
      </c>
      <c r="BB51" s="360">
        <f t="shared" si="283"/>
        <v>72.697475377356568</v>
      </c>
      <c r="BC51" s="360">
        <f t="shared" si="283"/>
        <v>73.133660229620702</v>
      </c>
      <c r="BD51" s="360">
        <f t="shared" si="283"/>
        <v>73.572462190998422</v>
      </c>
      <c r="BE51" s="360">
        <f t="shared" si="283"/>
        <v>74.013896964144408</v>
      </c>
      <c r="BF51" s="360">
        <f t="shared" si="283"/>
        <v>74.457980345929272</v>
      </c>
      <c r="BG51" s="361">
        <f t="shared" ref="BG51:BR51" si="284">(((BF51*(1+($B$38*$B$4)))-BF51)/12)+BF51</f>
        <v>74.904728228004842</v>
      </c>
      <c r="BH51" s="360">
        <f t="shared" si="284"/>
        <v>75.354156597372878</v>
      </c>
      <c r="BI51" s="360">
        <f t="shared" si="284"/>
        <v>75.806281536957115</v>
      </c>
      <c r="BJ51" s="360">
        <f t="shared" si="284"/>
        <v>76.261119226178863</v>
      </c>
      <c r="BK51" s="360">
        <f t="shared" si="284"/>
        <v>76.718685941535938</v>
      </c>
      <c r="BL51" s="360">
        <f t="shared" si="284"/>
        <v>77.178998057185154</v>
      </c>
      <c r="BM51" s="360">
        <f t="shared" si="284"/>
        <v>77.642072045528266</v>
      </c>
      <c r="BN51" s="360">
        <f t="shared" si="284"/>
        <v>78.107924477801433</v>
      </c>
      <c r="BO51" s="360">
        <f t="shared" si="284"/>
        <v>78.576572024668238</v>
      </c>
      <c r="BP51" s="360">
        <f t="shared" si="284"/>
        <v>79.048031456816247</v>
      </c>
      <c r="BQ51" s="360">
        <f t="shared" si="284"/>
        <v>79.522319645557147</v>
      </c>
      <c r="BR51" s="360">
        <f t="shared" si="284"/>
        <v>79.999453563430492</v>
      </c>
      <c r="BS51" s="361">
        <f t="shared" ref="BS51:CD51" si="285">(((BR51*(1+($B$39*$B$4)))-BR51)/12)+BR51</f>
        <v>80.47945028481108</v>
      </c>
      <c r="BT51" s="360">
        <f t="shared" si="285"/>
        <v>80.96232698651994</v>
      </c>
      <c r="BU51" s="360">
        <f t="shared" si="285"/>
        <v>81.448100948439063</v>
      </c>
      <c r="BV51" s="360">
        <f t="shared" si="285"/>
        <v>81.936789554129703</v>
      </c>
      <c r="BW51" s="360">
        <f t="shared" si="285"/>
        <v>82.428410291454483</v>
      </c>
      <c r="BX51" s="360">
        <f t="shared" si="285"/>
        <v>82.922980753203205</v>
      </c>
      <c r="BY51" s="360">
        <f t="shared" si="285"/>
        <v>83.420518637722424</v>
      </c>
      <c r="BZ51" s="360">
        <f t="shared" si="285"/>
        <v>83.921041749548763</v>
      </c>
      <c r="CA51" s="360">
        <f t="shared" si="285"/>
        <v>84.424568000046051</v>
      </c>
      <c r="CB51" s="360">
        <f t="shared" si="285"/>
        <v>84.931115408046324</v>
      </c>
      <c r="CC51" s="360">
        <f t="shared" si="285"/>
        <v>85.440702100494605</v>
      </c>
      <c r="CD51" s="360">
        <f t="shared" si="285"/>
        <v>85.953346313097569</v>
      </c>
      <c r="CE51" s="361">
        <f t="shared" ref="CE51:CP51" si="286">(((CD51*(1+($B$40*$B$4)))-CD51)/12)+CD51</f>
        <v>86.469066390976153</v>
      </c>
      <c r="CF51" s="360">
        <f t="shared" si="286"/>
        <v>86.987880789322006</v>
      </c>
      <c r="CG51" s="360">
        <f t="shared" si="286"/>
        <v>87.509808074057943</v>
      </c>
      <c r="CH51" s="360">
        <f t="shared" si="286"/>
        <v>88.034866922502289</v>
      </c>
      <c r="CI51" s="360">
        <f t="shared" si="286"/>
        <v>88.563076124037309</v>
      </c>
      <c r="CJ51" s="360">
        <f t="shared" si="286"/>
        <v>89.09445458078153</v>
      </c>
      <c r="CK51" s="360">
        <f t="shared" si="286"/>
        <v>89.629021308266218</v>
      </c>
      <c r="CL51" s="360">
        <f t="shared" si="286"/>
        <v>90.166795436115819</v>
      </c>
      <c r="CM51" s="360">
        <f t="shared" si="286"/>
        <v>90.707796208732518</v>
      </c>
      <c r="CN51" s="360">
        <f t="shared" si="286"/>
        <v>91.252042985984914</v>
      </c>
      <c r="CO51" s="360">
        <f t="shared" si="286"/>
        <v>91.799555243900826</v>
      </c>
      <c r="CP51" s="360">
        <f t="shared" si="286"/>
        <v>92.350352575364226</v>
      </c>
      <c r="CQ51" s="361">
        <f t="shared" ref="CQ51:DB51" si="287">(((CP51*(1+($B$41*$B$4)))-CP51)/12)+CP51</f>
        <v>92.904454690816408</v>
      </c>
      <c r="CR51" s="360">
        <f t="shared" si="287"/>
        <v>93.461881418961312</v>
      </c>
      <c r="CS51" s="360">
        <f t="shared" si="287"/>
        <v>94.022652707475075</v>
      </c>
      <c r="CT51" s="360">
        <f t="shared" si="287"/>
        <v>94.586788623719926</v>
      </c>
      <c r="CU51" s="360">
        <f t="shared" si="287"/>
        <v>95.154309355462246</v>
      </c>
      <c r="CV51" s="360">
        <f t="shared" si="287"/>
        <v>95.72523521159502</v>
      </c>
      <c r="CW51" s="360">
        <f t="shared" si="287"/>
        <v>96.299586622864595</v>
      </c>
      <c r="CX51" s="360">
        <f t="shared" si="287"/>
        <v>96.877384142601784</v>
      </c>
      <c r="CY51" s="360">
        <f t="shared" si="287"/>
        <v>97.458648447457392</v>
      </c>
      <c r="CZ51" s="360">
        <f t="shared" si="287"/>
        <v>98.043400338142135</v>
      </c>
      <c r="DA51" s="360">
        <f t="shared" si="287"/>
        <v>98.631660740170986</v>
      </c>
      <c r="DB51" s="360">
        <f t="shared" si="287"/>
        <v>99.22345070461202</v>
      </c>
      <c r="DC51" s="361">
        <f t="shared" ref="DC51:DN51" si="288">(((DB51*(1+($B$42*$B$4)))-DB51)/12)+DB51</f>
        <v>99.818791408839687</v>
      </c>
      <c r="DD51" s="360">
        <f t="shared" si="288"/>
        <v>100.41770415729272</v>
      </c>
      <c r="DE51" s="360">
        <f t="shared" si="288"/>
        <v>101.02021038223647</v>
      </c>
      <c r="DF51" s="360">
        <f t="shared" si="288"/>
        <v>101.62633164452988</v>
      </c>
      <c r="DG51" s="360">
        <f t="shared" si="288"/>
        <v>102.23608963439706</v>
      </c>
      <c r="DH51" s="360">
        <f t="shared" si="288"/>
        <v>102.84950617220345</v>
      </c>
      <c r="DI51" s="360">
        <f t="shared" si="288"/>
        <v>103.46660320923667</v>
      </c>
      <c r="DJ51" s="360">
        <f t="shared" si="288"/>
        <v>104.08740282849209</v>
      </c>
      <c r="DK51" s="360">
        <f t="shared" si="288"/>
        <v>104.71192724546304</v>
      </c>
      <c r="DL51" s="360">
        <f t="shared" si="288"/>
        <v>105.34019880893582</v>
      </c>
      <c r="DM51" s="360">
        <f t="shared" si="288"/>
        <v>105.97224000178944</v>
      </c>
      <c r="DN51" s="360">
        <f t="shared" si="288"/>
        <v>106.60807344180019</v>
      </c>
      <c r="DO51" s="361">
        <f t="shared" ref="DO51:DZ51" si="289">(((DN51*(1+($B$43*$B$4)))-DN51)/12)+DN51</f>
        <v>107.24772188245099</v>
      </c>
      <c r="DP51" s="360">
        <f t="shared" si="289"/>
        <v>107.8912082137457</v>
      </c>
      <c r="DQ51" s="360">
        <f t="shared" si="289"/>
        <v>108.53855546302817</v>
      </c>
      <c r="DR51" s="360">
        <f t="shared" si="289"/>
        <v>109.18978679580634</v>
      </c>
      <c r="DS51" s="360">
        <f t="shared" si="289"/>
        <v>109.84492551658118</v>
      </c>
      <c r="DT51" s="360">
        <f t="shared" si="289"/>
        <v>110.50399506968067</v>
      </c>
      <c r="DU51" s="360">
        <f t="shared" si="289"/>
        <v>111.16701904009875</v>
      </c>
      <c r="DV51" s="360">
        <f t="shared" si="289"/>
        <v>111.83402115433934</v>
      </c>
      <c r="DW51" s="360">
        <f t="shared" si="289"/>
        <v>112.50502528126538</v>
      </c>
      <c r="DX51" s="360">
        <f t="shared" si="289"/>
        <v>113.18005543295297</v>
      </c>
      <c r="DY51" s="360">
        <f t="shared" si="289"/>
        <v>113.85913576555069</v>
      </c>
      <c r="DZ51" s="360">
        <f t="shared" si="289"/>
        <v>114.542290580144</v>
      </c>
      <c r="EA51" s="361">
        <f>(((DZ51*(1+($B$44*$B$4)))-DZ51)/12)+DZ51</f>
        <v>115.22954432362486</v>
      </c>
      <c r="EB51" s="360">
        <f>(((EA51*(1+($B$44*$B$4)))-EA51)/12)+EA51</f>
        <v>115.92092158956662</v>
      </c>
      <c r="EC51" s="360">
        <f>(((EB51*(1+($B$44*$B$4)))-EB51)/12)+EB51</f>
        <v>116.61644711910402</v>
      </c>
      <c r="ED51" s="362">
        <f>(((EC51*(1+($B$44*$B$4)))-EC51)/12)+EC51</f>
        <v>117.31614580181865</v>
      </c>
    </row>
    <row r="52" spans="1:134" ht="18.75" outlineLevel="1" x14ac:dyDescent="0.3">
      <c r="A52" t="s">
        <v>220</v>
      </c>
      <c r="B52" s="82">
        <f>'Growth Prediction Exec Summary'!F6</f>
        <v>0.2</v>
      </c>
      <c r="C52" s="736"/>
      <c r="D52" s="714"/>
      <c r="E52" s="714"/>
      <c r="F52" s="714"/>
      <c r="G52" s="714"/>
      <c r="H52" s="714"/>
      <c r="I52" s="714"/>
      <c r="J52" s="714"/>
      <c r="K52" s="714"/>
      <c r="L52" s="157"/>
      <c r="M52" s="151"/>
      <c r="N52" s="562"/>
      <c r="O52" s="563"/>
      <c r="P52" s="563"/>
      <c r="Q52" s="152"/>
      <c r="R52" s="161"/>
      <c r="S52" s="153"/>
      <c r="T52" s="153"/>
      <c r="U52" s="151"/>
      <c r="V52" s="277">
        <v>2</v>
      </c>
      <c r="W52" s="363">
        <f>ROUNDUP($V$52*(W51/100)/0.8,0)</f>
        <v>2</v>
      </c>
      <c r="X52" s="364">
        <f t="shared" ref="X52:CI52" si="290">ROUNDUP($V$52*(X51/100)/0.8,0)</f>
        <v>2</v>
      </c>
      <c r="Y52" s="364">
        <f t="shared" si="290"/>
        <v>2</v>
      </c>
      <c r="Z52" s="364">
        <f t="shared" si="290"/>
        <v>2</v>
      </c>
      <c r="AA52" s="364">
        <f t="shared" si="290"/>
        <v>2</v>
      </c>
      <c r="AB52" s="364">
        <f t="shared" si="290"/>
        <v>2</v>
      </c>
      <c r="AC52" s="364">
        <f t="shared" si="290"/>
        <v>2</v>
      </c>
      <c r="AD52" s="364">
        <f t="shared" si="290"/>
        <v>2</v>
      </c>
      <c r="AE52" s="364">
        <f t="shared" si="290"/>
        <v>2</v>
      </c>
      <c r="AF52" s="364">
        <f t="shared" si="290"/>
        <v>2</v>
      </c>
      <c r="AG52" s="364">
        <f t="shared" si="290"/>
        <v>2</v>
      </c>
      <c r="AH52" s="364">
        <f t="shared" si="290"/>
        <v>2</v>
      </c>
      <c r="AI52" s="365">
        <f t="shared" si="290"/>
        <v>2</v>
      </c>
      <c r="AJ52" s="364">
        <f t="shared" si="290"/>
        <v>2</v>
      </c>
      <c r="AK52" s="364">
        <f t="shared" si="290"/>
        <v>2</v>
      </c>
      <c r="AL52" s="364">
        <f t="shared" si="290"/>
        <v>2</v>
      </c>
      <c r="AM52" s="364">
        <f t="shared" si="290"/>
        <v>2</v>
      </c>
      <c r="AN52" s="364">
        <f t="shared" si="290"/>
        <v>2</v>
      </c>
      <c r="AO52" s="364">
        <f t="shared" si="290"/>
        <v>2</v>
      </c>
      <c r="AP52" s="364">
        <f t="shared" si="290"/>
        <v>2</v>
      </c>
      <c r="AQ52" s="364">
        <f t="shared" si="290"/>
        <v>2</v>
      </c>
      <c r="AR52" s="364">
        <f t="shared" si="290"/>
        <v>2</v>
      </c>
      <c r="AS52" s="364">
        <f t="shared" si="290"/>
        <v>2</v>
      </c>
      <c r="AT52" s="364">
        <f t="shared" si="290"/>
        <v>2</v>
      </c>
      <c r="AU52" s="365">
        <f t="shared" si="290"/>
        <v>2</v>
      </c>
      <c r="AV52" s="364">
        <f t="shared" si="290"/>
        <v>2</v>
      </c>
      <c r="AW52" s="364">
        <f t="shared" si="290"/>
        <v>2</v>
      </c>
      <c r="AX52" s="364">
        <f t="shared" si="290"/>
        <v>2</v>
      </c>
      <c r="AY52" s="364">
        <f t="shared" si="290"/>
        <v>2</v>
      </c>
      <c r="AZ52" s="364">
        <f t="shared" si="290"/>
        <v>2</v>
      </c>
      <c r="BA52" s="364">
        <f t="shared" si="290"/>
        <v>2</v>
      </c>
      <c r="BB52" s="364">
        <f t="shared" si="290"/>
        <v>2</v>
      </c>
      <c r="BC52" s="364">
        <f t="shared" si="290"/>
        <v>2</v>
      </c>
      <c r="BD52" s="364">
        <f t="shared" si="290"/>
        <v>2</v>
      </c>
      <c r="BE52" s="364">
        <f t="shared" si="290"/>
        <v>2</v>
      </c>
      <c r="BF52" s="364">
        <f t="shared" si="290"/>
        <v>2</v>
      </c>
      <c r="BG52" s="365">
        <f t="shared" si="290"/>
        <v>2</v>
      </c>
      <c r="BH52" s="364">
        <f t="shared" si="290"/>
        <v>2</v>
      </c>
      <c r="BI52" s="364">
        <f t="shared" si="290"/>
        <v>2</v>
      </c>
      <c r="BJ52" s="364">
        <f t="shared" si="290"/>
        <v>2</v>
      </c>
      <c r="BK52" s="364">
        <f t="shared" si="290"/>
        <v>2</v>
      </c>
      <c r="BL52" s="364">
        <f t="shared" si="290"/>
        <v>2</v>
      </c>
      <c r="BM52" s="364">
        <f t="shared" si="290"/>
        <v>2</v>
      </c>
      <c r="BN52" s="364">
        <f t="shared" si="290"/>
        <v>2</v>
      </c>
      <c r="BO52" s="364">
        <f t="shared" si="290"/>
        <v>2</v>
      </c>
      <c r="BP52" s="364">
        <f t="shared" si="290"/>
        <v>2</v>
      </c>
      <c r="BQ52" s="364">
        <f t="shared" si="290"/>
        <v>2</v>
      </c>
      <c r="BR52" s="364">
        <f t="shared" si="290"/>
        <v>2</v>
      </c>
      <c r="BS52" s="365">
        <f t="shared" si="290"/>
        <v>3</v>
      </c>
      <c r="BT52" s="364">
        <f t="shared" si="290"/>
        <v>3</v>
      </c>
      <c r="BU52" s="364">
        <f t="shared" si="290"/>
        <v>3</v>
      </c>
      <c r="BV52" s="364">
        <f t="shared" si="290"/>
        <v>3</v>
      </c>
      <c r="BW52" s="364">
        <f t="shared" si="290"/>
        <v>3</v>
      </c>
      <c r="BX52" s="364">
        <f t="shared" si="290"/>
        <v>3</v>
      </c>
      <c r="BY52" s="364">
        <f t="shared" si="290"/>
        <v>3</v>
      </c>
      <c r="BZ52" s="364">
        <f t="shared" si="290"/>
        <v>3</v>
      </c>
      <c r="CA52" s="364">
        <f t="shared" si="290"/>
        <v>3</v>
      </c>
      <c r="CB52" s="364">
        <f t="shared" si="290"/>
        <v>3</v>
      </c>
      <c r="CC52" s="364">
        <f t="shared" si="290"/>
        <v>3</v>
      </c>
      <c r="CD52" s="364">
        <f t="shared" si="290"/>
        <v>3</v>
      </c>
      <c r="CE52" s="365">
        <f t="shared" si="290"/>
        <v>3</v>
      </c>
      <c r="CF52" s="364">
        <f t="shared" si="290"/>
        <v>3</v>
      </c>
      <c r="CG52" s="364">
        <f t="shared" si="290"/>
        <v>3</v>
      </c>
      <c r="CH52" s="364">
        <f t="shared" si="290"/>
        <v>3</v>
      </c>
      <c r="CI52" s="364">
        <f t="shared" si="290"/>
        <v>3</v>
      </c>
      <c r="CJ52" s="364">
        <f t="shared" ref="CJ52:ED52" si="291">ROUNDUP($V$52*(CJ51/100)/0.8,0)</f>
        <v>3</v>
      </c>
      <c r="CK52" s="364">
        <f t="shared" si="291"/>
        <v>3</v>
      </c>
      <c r="CL52" s="364">
        <f t="shared" si="291"/>
        <v>3</v>
      </c>
      <c r="CM52" s="364">
        <f t="shared" si="291"/>
        <v>3</v>
      </c>
      <c r="CN52" s="364">
        <f t="shared" si="291"/>
        <v>3</v>
      </c>
      <c r="CO52" s="364">
        <f t="shared" si="291"/>
        <v>3</v>
      </c>
      <c r="CP52" s="364">
        <f t="shared" si="291"/>
        <v>3</v>
      </c>
      <c r="CQ52" s="365">
        <f t="shared" si="291"/>
        <v>3</v>
      </c>
      <c r="CR52" s="364">
        <f t="shared" si="291"/>
        <v>3</v>
      </c>
      <c r="CS52" s="364">
        <f t="shared" si="291"/>
        <v>3</v>
      </c>
      <c r="CT52" s="364">
        <f t="shared" si="291"/>
        <v>3</v>
      </c>
      <c r="CU52" s="364">
        <f t="shared" si="291"/>
        <v>3</v>
      </c>
      <c r="CV52" s="364">
        <f t="shared" si="291"/>
        <v>3</v>
      </c>
      <c r="CW52" s="364">
        <f t="shared" si="291"/>
        <v>3</v>
      </c>
      <c r="CX52" s="364">
        <f t="shared" si="291"/>
        <v>3</v>
      </c>
      <c r="CY52" s="364">
        <f t="shared" si="291"/>
        <v>3</v>
      </c>
      <c r="CZ52" s="364">
        <f t="shared" si="291"/>
        <v>3</v>
      </c>
      <c r="DA52" s="364">
        <f t="shared" si="291"/>
        <v>3</v>
      </c>
      <c r="DB52" s="364">
        <f t="shared" si="291"/>
        <v>3</v>
      </c>
      <c r="DC52" s="365">
        <f t="shared" si="291"/>
        <v>3</v>
      </c>
      <c r="DD52" s="364">
        <f t="shared" si="291"/>
        <v>3</v>
      </c>
      <c r="DE52" s="364">
        <f t="shared" si="291"/>
        <v>3</v>
      </c>
      <c r="DF52" s="364">
        <f t="shared" si="291"/>
        <v>3</v>
      </c>
      <c r="DG52" s="364">
        <f t="shared" si="291"/>
        <v>3</v>
      </c>
      <c r="DH52" s="364">
        <f t="shared" si="291"/>
        <v>3</v>
      </c>
      <c r="DI52" s="364">
        <f t="shared" si="291"/>
        <v>3</v>
      </c>
      <c r="DJ52" s="364">
        <f t="shared" si="291"/>
        <v>3</v>
      </c>
      <c r="DK52" s="364">
        <f t="shared" si="291"/>
        <v>3</v>
      </c>
      <c r="DL52" s="364">
        <f t="shared" si="291"/>
        <v>3</v>
      </c>
      <c r="DM52" s="364">
        <f t="shared" si="291"/>
        <v>3</v>
      </c>
      <c r="DN52" s="364">
        <f t="shared" si="291"/>
        <v>3</v>
      </c>
      <c r="DO52" s="365">
        <f t="shared" si="291"/>
        <v>3</v>
      </c>
      <c r="DP52" s="364">
        <f t="shared" si="291"/>
        <v>3</v>
      </c>
      <c r="DQ52" s="364">
        <f t="shared" si="291"/>
        <v>3</v>
      </c>
      <c r="DR52" s="364">
        <f t="shared" si="291"/>
        <v>3</v>
      </c>
      <c r="DS52" s="364">
        <f t="shared" si="291"/>
        <v>3</v>
      </c>
      <c r="DT52" s="364">
        <f t="shared" si="291"/>
        <v>3</v>
      </c>
      <c r="DU52" s="364">
        <f t="shared" si="291"/>
        <v>3</v>
      </c>
      <c r="DV52" s="364">
        <f t="shared" si="291"/>
        <v>3</v>
      </c>
      <c r="DW52" s="364">
        <f t="shared" si="291"/>
        <v>3</v>
      </c>
      <c r="DX52" s="364">
        <f t="shared" si="291"/>
        <v>3</v>
      </c>
      <c r="DY52" s="364">
        <f t="shared" si="291"/>
        <v>3</v>
      </c>
      <c r="DZ52" s="364">
        <f t="shared" si="291"/>
        <v>3</v>
      </c>
      <c r="EA52" s="365">
        <f t="shared" si="291"/>
        <v>3</v>
      </c>
      <c r="EB52" s="364">
        <f t="shared" si="291"/>
        <v>3</v>
      </c>
      <c r="EC52" s="364">
        <f t="shared" si="291"/>
        <v>3</v>
      </c>
      <c r="ED52" s="366">
        <f t="shared" si="291"/>
        <v>3</v>
      </c>
    </row>
    <row r="53" spans="1:134" ht="18.75" outlineLevel="1" x14ac:dyDescent="0.3">
      <c r="A53" t="s">
        <v>221</v>
      </c>
      <c r="B53" s="82">
        <f>'Growth Prediction Exec Summary'!G6</f>
        <v>0.2</v>
      </c>
      <c r="C53" s="736"/>
      <c r="D53" s="713" t="s">
        <v>238</v>
      </c>
      <c r="E53" s="713"/>
      <c r="F53" s="713"/>
      <c r="G53" s="713"/>
      <c r="H53" s="713"/>
      <c r="I53" s="713"/>
      <c r="J53" s="713"/>
      <c r="K53" s="713"/>
      <c r="L53" s="619"/>
      <c r="M53" s="496">
        <f>N53*100</f>
        <v>5</v>
      </c>
      <c r="N53" s="560">
        <f>'AM Benches Data'!J4/100</f>
        <v>0.05</v>
      </c>
      <c r="O53" s="561">
        <f>'AM Benches Data'!T4/100</f>
        <v>0.21</v>
      </c>
      <c r="P53" s="561">
        <f>'AM Benches Data'!AB4/100</f>
        <v>0.47</v>
      </c>
      <c r="Q53" s="149"/>
      <c r="R53" s="160">
        <f>P53-N53</f>
        <v>0.42</v>
      </c>
      <c r="S53" s="150">
        <v>4</v>
      </c>
      <c r="T53" s="150">
        <v>2</v>
      </c>
      <c r="U53" s="148"/>
      <c r="V53" s="317"/>
      <c r="W53" s="359">
        <f>M53</f>
        <v>5</v>
      </c>
      <c r="X53" s="360">
        <f t="shared" ref="X53" si="292">W53</f>
        <v>5</v>
      </c>
      <c r="Y53" s="360">
        <f t="shared" ref="Y53" si="293">X53</f>
        <v>5</v>
      </c>
      <c r="Z53" s="360">
        <f>O53*100</f>
        <v>21</v>
      </c>
      <c r="AA53" s="360">
        <f>Z53</f>
        <v>21</v>
      </c>
      <c r="AB53" s="360">
        <f>AA53</f>
        <v>21</v>
      </c>
      <c r="AC53" s="360">
        <f>P53*100</f>
        <v>47</v>
      </c>
      <c r="AD53" s="360">
        <f>AC53</f>
        <v>47</v>
      </c>
      <c r="AE53" s="360">
        <f>AD53</f>
        <v>47</v>
      </c>
      <c r="AF53" s="360">
        <f>AE53</f>
        <v>47</v>
      </c>
      <c r="AG53" s="360">
        <f>AF53</f>
        <v>47</v>
      </c>
      <c r="AH53" s="360">
        <f>AG53</f>
        <v>47</v>
      </c>
      <c r="AI53" s="361">
        <f t="shared" ref="AI53" si="294">(((AH53*(1+($B$36*$B$4)))-AH53)/12)+AH53</f>
        <v>47.281999999999996</v>
      </c>
      <c r="AJ53" s="360">
        <f t="shared" ref="AJ53" si="295">(((AI53*(1+($B$36*$B$4)))-AI53)/12)+AI53</f>
        <v>47.565691999999999</v>
      </c>
      <c r="AK53" s="360">
        <f t="shared" ref="AK53" si="296">(((AJ53*(1+($B$36*$B$4)))-AJ53)/12)+AJ53</f>
        <v>47.851086152000001</v>
      </c>
      <c r="AL53" s="360">
        <f t="shared" ref="AL53" si="297">(((AK53*(1+($B$36*$B$4)))-AK53)/12)+AK53</f>
        <v>48.138192668911998</v>
      </c>
      <c r="AM53" s="360">
        <f t="shared" ref="AM53" si="298">(((AL53*(1+($B$36*$B$4)))-AL53)/12)+AL53</f>
        <v>48.427021824925468</v>
      </c>
      <c r="AN53" s="360">
        <f t="shared" ref="AN53" si="299">(((AM53*(1+($B$36*$B$4)))-AM53)/12)+AM53</f>
        <v>48.717583955875021</v>
      </c>
      <c r="AO53" s="360">
        <f t="shared" ref="AO53" si="300">(((AN53*(1+($B$36*$B$4)))-AN53)/12)+AN53</f>
        <v>49.009889459610271</v>
      </c>
      <c r="AP53" s="360">
        <f t="shared" ref="AP53" si="301">(((AO53*(1+($B$36*$B$4)))-AO53)/12)+AO53</f>
        <v>49.303948796367933</v>
      </c>
      <c r="AQ53" s="360">
        <f t="shared" ref="AQ53" si="302">(((AP53*(1+($B$36*$B$4)))-AP53)/12)+AP53</f>
        <v>49.59977248914614</v>
      </c>
      <c r="AR53" s="360">
        <f t="shared" ref="AR53" si="303">(((AQ53*(1+($B$36*$B$4)))-AQ53)/12)+AQ53</f>
        <v>49.897371124081019</v>
      </c>
      <c r="AS53" s="360">
        <f t="shared" ref="AS53" si="304">(((AR53*(1+($B$36*$B$4)))-AR53)/12)+AR53</f>
        <v>50.196755350825505</v>
      </c>
      <c r="AT53" s="360">
        <f t="shared" ref="AT53" si="305">(((AS53*(1+($B$36*$B$4)))-AS53)/12)+AS53</f>
        <v>50.497935882930456</v>
      </c>
      <c r="AU53" s="361">
        <f t="shared" ref="AU53" si="306">(((AT53*(1+($B$37*$B$4)))-AT53)/12)+AT53</f>
        <v>50.800923498228038</v>
      </c>
      <c r="AV53" s="360">
        <f t="shared" ref="AV53" si="307">(((AU53*(1+($B$37*$B$4)))-AU53)/12)+AU53</f>
        <v>51.105729039217408</v>
      </c>
      <c r="AW53" s="360">
        <f t="shared" ref="AW53" si="308">(((AV53*(1+($B$37*$B$4)))-AV53)/12)+AV53</f>
        <v>51.412363413452709</v>
      </c>
      <c r="AX53" s="360">
        <f t="shared" ref="AX53" si="309">(((AW53*(1+($B$37*$B$4)))-AW53)/12)+AW53</f>
        <v>51.720837593933425</v>
      </c>
      <c r="AY53" s="360">
        <f t="shared" ref="AY53" si="310">(((AX53*(1+($B$37*$B$4)))-AX53)/12)+AX53</f>
        <v>52.031162619497024</v>
      </c>
      <c r="AZ53" s="360">
        <f t="shared" ref="AZ53" si="311">(((AY53*(1+($B$37*$B$4)))-AY53)/12)+AY53</f>
        <v>52.343349595214008</v>
      </c>
      <c r="BA53" s="360">
        <f t="shared" ref="BA53" si="312">(((AZ53*(1+($B$37*$B$4)))-AZ53)/12)+AZ53</f>
        <v>52.657409692785293</v>
      </c>
      <c r="BB53" s="360">
        <f t="shared" ref="BB53" si="313">(((BA53*(1+($B$37*$B$4)))-BA53)/12)+BA53</f>
        <v>52.973354150942008</v>
      </c>
      <c r="BC53" s="360">
        <f t="shared" ref="BC53" si="314">(((BB53*(1+($B$37*$B$4)))-BB53)/12)+BB53</f>
        <v>53.291194275847658</v>
      </c>
      <c r="BD53" s="360">
        <f t="shared" ref="BD53" si="315">(((BC53*(1+($B$37*$B$4)))-BC53)/12)+BC53</f>
        <v>53.610941441502746</v>
      </c>
      <c r="BE53" s="360">
        <f t="shared" ref="BE53" si="316">(((BD53*(1+($B$37*$B$4)))-BD53)/12)+BD53</f>
        <v>53.932607090151762</v>
      </c>
      <c r="BF53" s="360">
        <f t="shared" ref="BF53" si="317">(((BE53*(1+($B$37*$B$4)))-BE53)/12)+BE53</f>
        <v>54.256202732692671</v>
      </c>
      <c r="BG53" s="361">
        <f t="shared" ref="BG53" si="318">(((BF53*(1+($B$38*$B$4)))-BF53)/12)+BF53</f>
        <v>54.581739949088828</v>
      </c>
      <c r="BH53" s="360">
        <f t="shared" ref="BH53" si="319">(((BG53*(1+($B$38*$B$4)))-BG53)/12)+BG53</f>
        <v>54.909230388783364</v>
      </c>
      <c r="BI53" s="360">
        <f t="shared" ref="BI53" si="320">(((BH53*(1+($B$38*$B$4)))-BH53)/12)+BH53</f>
        <v>55.238685771116067</v>
      </c>
      <c r="BJ53" s="360">
        <f t="shared" ref="BJ53" si="321">(((BI53*(1+($B$38*$B$4)))-BI53)/12)+BI53</f>
        <v>55.570117885742761</v>
      </c>
      <c r="BK53" s="360">
        <f t="shared" ref="BK53" si="322">(((BJ53*(1+($B$38*$B$4)))-BJ53)/12)+BJ53</f>
        <v>55.90353859305722</v>
      </c>
      <c r="BL53" s="360">
        <f t="shared" ref="BL53" si="323">(((BK53*(1+($B$38*$B$4)))-BK53)/12)+BK53</f>
        <v>56.238959824615563</v>
      </c>
      <c r="BM53" s="360">
        <f t="shared" ref="BM53" si="324">(((BL53*(1+($B$38*$B$4)))-BL53)/12)+BL53</f>
        <v>56.576393583563259</v>
      </c>
      <c r="BN53" s="360">
        <f t="shared" ref="BN53" si="325">(((BM53*(1+($B$38*$B$4)))-BM53)/12)+BM53</f>
        <v>56.915851945064638</v>
      </c>
      <c r="BO53" s="360">
        <f t="shared" ref="BO53" si="326">(((BN53*(1+($B$38*$B$4)))-BN53)/12)+BN53</f>
        <v>57.257347056735028</v>
      </c>
      <c r="BP53" s="360">
        <f t="shared" ref="BP53" si="327">(((BO53*(1+($B$38*$B$4)))-BO53)/12)+BO53</f>
        <v>57.600891139075436</v>
      </c>
      <c r="BQ53" s="360">
        <f t="shared" ref="BQ53" si="328">(((BP53*(1+($B$38*$B$4)))-BP53)/12)+BP53</f>
        <v>57.94649648590989</v>
      </c>
      <c r="BR53" s="360">
        <f t="shared" ref="BR53" si="329">(((BQ53*(1+($B$38*$B$4)))-BQ53)/12)+BQ53</f>
        <v>58.294175464825351</v>
      </c>
      <c r="BS53" s="361">
        <f t="shared" ref="BS53" si="330">(((BR53*(1+($B$39*$B$4)))-BR53)/12)+BR53</f>
        <v>58.643940517614304</v>
      </c>
      <c r="BT53" s="360">
        <f t="shared" ref="BT53" si="331">(((BS53*(1+($B$39*$B$4)))-BS53)/12)+BS53</f>
        <v>58.995804160719992</v>
      </c>
      <c r="BU53" s="360">
        <f t="shared" ref="BU53" si="332">(((BT53*(1+($B$39*$B$4)))-BT53)/12)+BT53</f>
        <v>59.34977898568431</v>
      </c>
      <c r="BV53" s="360">
        <f t="shared" ref="BV53" si="333">(((BU53*(1+($B$39*$B$4)))-BU53)/12)+BU53</f>
        <v>59.705877659598414</v>
      </c>
      <c r="BW53" s="360">
        <f t="shared" ref="BW53" si="334">(((BV53*(1+($B$39*$B$4)))-BV53)/12)+BV53</f>
        <v>60.064112925556003</v>
      </c>
      <c r="BX53" s="360">
        <f t="shared" ref="BX53" si="335">(((BW53*(1+($B$39*$B$4)))-BW53)/12)+BW53</f>
        <v>60.424497603109337</v>
      </c>
      <c r="BY53" s="360">
        <f t="shared" ref="BY53" si="336">(((BX53*(1+($B$39*$B$4)))-BX53)/12)+BX53</f>
        <v>60.787044588727994</v>
      </c>
      <c r="BZ53" s="360">
        <f t="shared" ref="BZ53" si="337">(((BY53*(1+($B$39*$B$4)))-BY53)/12)+BY53</f>
        <v>61.151766856260366</v>
      </c>
      <c r="CA53" s="360">
        <f t="shared" ref="CA53" si="338">(((BZ53*(1+($B$39*$B$4)))-BZ53)/12)+BZ53</f>
        <v>61.518677457397928</v>
      </c>
      <c r="CB53" s="360">
        <f t="shared" ref="CB53" si="339">(((CA53*(1+($B$39*$B$4)))-CA53)/12)+CA53</f>
        <v>61.887789522142313</v>
      </c>
      <c r="CC53" s="360">
        <f t="shared" ref="CC53" si="340">(((CB53*(1+($B$39*$B$4)))-CB53)/12)+CB53</f>
        <v>62.259116259275167</v>
      </c>
      <c r="CD53" s="360">
        <f t="shared" ref="CD53" si="341">(((CC53*(1+($B$39*$B$4)))-CC53)/12)+CC53</f>
        <v>62.632670956830822</v>
      </c>
      <c r="CE53" s="361">
        <f t="shared" ref="CE53" si="342">(((CD53*(1+($B$40*$B$4)))-CD53)/12)+CD53</f>
        <v>63.008466982571804</v>
      </c>
      <c r="CF53" s="360">
        <f t="shared" ref="CF53" si="343">(((CE53*(1+($B$40*$B$4)))-CE53)/12)+CE53</f>
        <v>63.386517784467237</v>
      </c>
      <c r="CG53" s="360">
        <f t="shared" ref="CG53" si="344">(((CF53*(1+($B$40*$B$4)))-CF53)/12)+CF53</f>
        <v>63.766836891174044</v>
      </c>
      <c r="CH53" s="360">
        <f t="shared" ref="CH53" si="345">(((CG53*(1+($B$40*$B$4)))-CG53)/12)+CG53</f>
        <v>64.149437912521094</v>
      </c>
      <c r="CI53" s="360">
        <f t="shared" ref="CI53" si="346">(((CH53*(1+($B$40*$B$4)))-CH53)/12)+CH53</f>
        <v>64.534334539996223</v>
      </c>
      <c r="CJ53" s="360">
        <f t="shared" ref="CJ53" si="347">(((CI53*(1+($B$40*$B$4)))-CI53)/12)+CI53</f>
        <v>64.921540547236205</v>
      </c>
      <c r="CK53" s="360">
        <f t="shared" ref="CK53" si="348">(((CJ53*(1+($B$40*$B$4)))-CJ53)/12)+CJ53</f>
        <v>65.311069790519625</v>
      </c>
      <c r="CL53" s="360">
        <f t="shared" ref="CL53" si="349">(((CK53*(1+($B$40*$B$4)))-CK53)/12)+CK53</f>
        <v>65.702936209262745</v>
      </c>
      <c r="CM53" s="360">
        <f t="shared" ref="CM53" si="350">(((CL53*(1+($B$40*$B$4)))-CL53)/12)+CL53</f>
        <v>66.097153826518323</v>
      </c>
      <c r="CN53" s="360">
        <f t="shared" ref="CN53" si="351">(((CM53*(1+($B$40*$B$4)))-CM53)/12)+CM53</f>
        <v>66.493736749477435</v>
      </c>
      <c r="CO53" s="360">
        <f t="shared" ref="CO53" si="352">(((CN53*(1+($B$40*$B$4)))-CN53)/12)+CN53</f>
        <v>66.892699169974293</v>
      </c>
      <c r="CP53" s="360">
        <f t="shared" ref="CP53" si="353">(((CO53*(1+($B$40*$B$4)))-CO53)/12)+CO53</f>
        <v>67.294055364994136</v>
      </c>
      <c r="CQ53" s="361">
        <f t="shared" ref="CQ53" si="354">(((CP53*(1+($B$41*$B$4)))-CP53)/12)+CP53</f>
        <v>67.697819697184102</v>
      </c>
      <c r="CR53" s="360">
        <f t="shared" ref="CR53" si="355">(((CQ53*(1+($B$41*$B$4)))-CQ53)/12)+CQ53</f>
        <v>68.104006615367211</v>
      </c>
      <c r="CS53" s="360">
        <f t="shared" ref="CS53" si="356">(((CR53*(1+($B$41*$B$4)))-CR53)/12)+CR53</f>
        <v>68.512630655059411</v>
      </c>
      <c r="CT53" s="360">
        <f t="shared" ref="CT53" si="357">(((CS53*(1+($B$41*$B$4)))-CS53)/12)+CS53</f>
        <v>68.923706438989768</v>
      </c>
      <c r="CU53" s="360">
        <f t="shared" ref="CU53" si="358">(((CT53*(1+($B$41*$B$4)))-CT53)/12)+CT53</f>
        <v>69.337248677623705</v>
      </c>
      <c r="CV53" s="360">
        <f t="shared" ref="CV53" si="359">(((CU53*(1+($B$41*$B$4)))-CU53)/12)+CU53</f>
        <v>69.753272169689453</v>
      </c>
      <c r="CW53" s="360">
        <f t="shared" ref="CW53" si="360">(((CV53*(1+($B$41*$B$4)))-CV53)/12)+CV53</f>
        <v>70.171791802707588</v>
      </c>
      <c r="CX53" s="360">
        <f t="shared" ref="CX53" si="361">(((CW53*(1+($B$41*$B$4)))-CW53)/12)+CW53</f>
        <v>70.592822553523831</v>
      </c>
      <c r="CY53" s="360">
        <f t="shared" ref="CY53" si="362">(((CX53*(1+($B$41*$B$4)))-CX53)/12)+CX53</f>
        <v>71.016379488844976</v>
      </c>
      <c r="CZ53" s="360">
        <f t="shared" ref="CZ53" si="363">(((CY53*(1+($B$41*$B$4)))-CY53)/12)+CY53</f>
        <v>71.442477765778051</v>
      </c>
      <c r="DA53" s="360">
        <f t="shared" ref="DA53" si="364">(((CZ53*(1+($B$41*$B$4)))-CZ53)/12)+CZ53</f>
        <v>71.871132632372721</v>
      </c>
      <c r="DB53" s="360">
        <f t="shared" ref="DB53" si="365">(((DA53*(1+($B$41*$B$4)))-DA53)/12)+DA53</f>
        <v>72.302359428166952</v>
      </c>
      <c r="DC53" s="361">
        <f t="shared" ref="DC53" si="366">(((DB53*(1+($B$42*$B$4)))-DB53)/12)+DB53</f>
        <v>72.736173584735951</v>
      </c>
      <c r="DD53" s="360">
        <f t="shared" ref="DD53" si="367">(((DC53*(1+($B$42*$B$4)))-DC53)/12)+DC53</f>
        <v>73.172590626244371</v>
      </c>
      <c r="DE53" s="360">
        <f t="shared" ref="DE53" si="368">(((DD53*(1+($B$42*$B$4)))-DD53)/12)+DD53</f>
        <v>73.611626170001841</v>
      </c>
      <c r="DF53" s="360">
        <f t="shared" ref="DF53" si="369">(((DE53*(1+($B$42*$B$4)))-DE53)/12)+DE53</f>
        <v>74.05329592702185</v>
      </c>
      <c r="DG53" s="360">
        <f t="shared" ref="DG53" si="370">(((DF53*(1+($B$42*$B$4)))-DF53)/12)+DF53</f>
        <v>74.497615702583985</v>
      </c>
      <c r="DH53" s="360">
        <f t="shared" ref="DH53" si="371">(((DG53*(1+($B$42*$B$4)))-DG53)/12)+DG53</f>
        <v>74.944601396799484</v>
      </c>
      <c r="DI53" s="360">
        <f t="shared" ref="DI53" si="372">(((DH53*(1+($B$42*$B$4)))-DH53)/12)+DH53</f>
        <v>75.394269005180277</v>
      </c>
      <c r="DJ53" s="360">
        <f t="shared" ref="DJ53" si="373">(((DI53*(1+($B$42*$B$4)))-DI53)/12)+DI53</f>
        <v>75.846634619211358</v>
      </c>
      <c r="DK53" s="360">
        <f t="shared" ref="DK53" si="374">(((DJ53*(1+($B$42*$B$4)))-DJ53)/12)+DJ53</f>
        <v>76.301714426926623</v>
      </c>
      <c r="DL53" s="360">
        <f t="shared" ref="DL53" si="375">(((DK53*(1+($B$42*$B$4)))-DK53)/12)+DK53</f>
        <v>76.75952471348819</v>
      </c>
      <c r="DM53" s="360">
        <f t="shared" ref="DM53" si="376">(((DL53*(1+($B$42*$B$4)))-DL53)/12)+DL53</f>
        <v>77.220081861769117</v>
      </c>
      <c r="DN53" s="360">
        <f t="shared" ref="DN53" si="377">(((DM53*(1+($B$42*$B$4)))-DM53)/12)+DM53</f>
        <v>77.683402352939737</v>
      </c>
      <c r="DO53" s="361">
        <f t="shared" ref="DO53" si="378">(((DN53*(1+($B$43*$B$4)))-DN53)/12)+DN53</f>
        <v>78.149502767057371</v>
      </c>
      <c r="DP53" s="360">
        <f t="shared" ref="DP53" si="379">(((DO53*(1+($B$43*$B$4)))-DO53)/12)+DO53</f>
        <v>78.618399783659711</v>
      </c>
      <c r="DQ53" s="360">
        <f t="shared" ref="DQ53" si="380">(((DP53*(1+($B$43*$B$4)))-DP53)/12)+DP53</f>
        <v>79.09011018236167</v>
      </c>
      <c r="DR53" s="360">
        <f t="shared" ref="DR53" si="381">(((DQ53*(1+($B$43*$B$4)))-DQ53)/12)+DQ53</f>
        <v>79.564650843455837</v>
      </c>
      <c r="DS53" s="360">
        <f t="shared" ref="DS53" si="382">(((DR53*(1+($B$43*$B$4)))-DR53)/12)+DR53</f>
        <v>80.042038748516575</v>
      </c>
      <c r="DT53" s="360">
        <f t="shared" ref="DT53" si="383">(((DS53*(1+($B$43*$B$4)))-DS53)/12)+DS53</f>
        <v>80.522290981007671</v>
      </c>
      <c r="DU53" s="360">
        <f t="shared" ref="DU53" si="384">(((DT53*(1+($B$43*$B$4)))-DT53)/12)+DT53</f>
        <v>81.005424726893722</v>
      </c>
      <c r="DV53" s="360">
        <f t="shared" ref="DV53" si="385">(((DU53*(1+($B$43*$B$4)))-DU53)/12)+DU53</f>
        <v>81.491457275255087</v>
      </c>
      <c r="DW53" s="360">
        <f t="shared" ref="DW53" si="386">(((DV53*(1+($B$43*$B$4)))-DV53)/12)+DV53</f>
        <v>81.980406018906621</v>
      </c>
      <c r="DX53" s="360">
        <f t="shared" ref="DX53" si="387">(((DW53*(1+($B$43*$B$4)))-DW53)/12)+DW53</f>
        <v>82.472288455020063</v>
      </c>
      <c r="DY53" s="360">
        <f t="shared" ref="DY53" si="388">(((DX53*(1+($B$43*$B$4)))-DX53)/12)+DX53</f>
        <v>82.967122185750185</v>
      </c>
      <c r="DZ53" s="360">
        <f t="shared" ref="DZ53" si="389">(((DY53*(1+($B$43*$B$4)))-DY53)/12)+DY53</f>
        <v>83.464924918864682</v>
      </c>
      <c r="EA53" s="361">
        <f>(((DZ53*(1+($B$44*$B$4)))-DZ53)/12)+DZ53</f>
        <v>83.965714468377868</v>
      </c>
      <c r="EB53" s="360">
        <f>(((EA53*(1+($B$44*$B$4)))-EA53)/12)+EA53</f>
        <v>84.46950875518813</v>
      </c>
      <c r="EC53" s="360">
        <f>(((EB53*(1+($B$44*$B$4)))-EB53)/12)+EB53</f>
        <v>84.976325807719263</v>
      </c>
      <c r="ED53" s="362">
        <f>(((EC53*(1+($B$44*$B$4)))-EC53)/12)+EC53</f>
        <v>85.486183762565574</v>
      </c>
    </row>
    <row r="54" spans="1:134" ht="18.75" outlineLevel="1" x14ac:dyDescent="0.3">
      <c r="A54" t="s">
        <v>223</v>
      </c>
      <c r="B54" s="82">
        <f>'Growth Prediction Exec Summary'!H6</f>
        <v>0.2</v>
      </c>
      <c r="C54" s="736"/>
      <c r="D54" s="714"/>
      <c r="E54" s="714"/>
      <c r="F54" s="714"/>
      <c r="G54" s="714"/>
      <c r="H54" s="714"/>
      <c r="I54" s="714"/>
      <c r="J54" s="714"/>
      <c r="K54" s="714"/>
      <c r="L54" s="619"/>
      <c r="M54" s="151"/>
      <c r="N54" s="562"/>
      <c r="O54" s="563"/>
      <c r="P54" s="563"/>
      <c r="Q54" s="152"/>
      <c r="R54" s="161"/>
      <c r="S54" s="153"/>
      <c r="T54" s="153"/>
      <c r="U54" s="151"/>
      <c r="V54" s="277">
        <v>1</v>
      </c>
      <c r="W54" s="363">
        <f t="shared" ref="W54:AJ54" si="390">ROUNDUP($V$54*(W53/100)/0.8,0)</f>
        <v>1</v>
      </c>
      <c r="X54" s="364">
        <f t="shared" si="390"/>
        <v>1</v>
      </c>
      <c r="Y54" s="364">
        <f t="shared" si="390"/>
        <v>1</v>
      </c>
      <c r="Z54" s="364">
        <f t="shared" si="390"/>
        <v>1</v>
      </c>
      <c r="AA54" s="364">
        <f t="shared" si="390"/>
        <v>1</v>
      </c>
      <c r="AB54" s="364">
        <f t="shared" si="390"/>
        <v>1</v>
      </c>
      <c r="AC54" s="364">
        <f t="shared" si="390"/>
        <v>1</v>
      </c>
      <c r="AD54" s="364">
        <f t="shared" si="390"/>
        <v>1</v>
      </c>
      <c r="AE54" s="364">
        <f t="shared" si="390"/>
        <v>1</v>
      </c>
      <c r="AF54" s="364">
        <f t="shared" si="390"/>
        <v>1</v>
      </c>
      <c r="AG54" s="364">
        <f t="shared" si="390"/>
        <v>1</v>
      </c>
      <c r="AH54" s="364">
        <f t="shared" si="390"/>
        <v>1</v>
      </c>
      <c r="AI54" s="365">
        <f t="shared" si="390"/>
        <v>1</v>
      </c>
      <c r="AJ54" s="364">
        <f t="shared" si="390"/>
        <v>1</v>
      </c>
      <c r="AK54" s="364">
        <f t="shared" ref="AK54:CV54" si="391">ROUNDUP($V$54*(AK53/100)/0.8,0)</f>
        <v>1</v>
      </c>
      <c r="AL54" s="364">
        <f t="shared" si="391"/>
        <v>1</v>
      </c>
      <c r="AM54" s="364">
        <f t="shared" si="391"/>
        <v>1</v>
      </c>
      <c r="AN54" s="364">
        <f t="shared" si="391"/>
        <v>1</v>
      </c>
      <c r="AO54" s="364">
        <f t="shared" si="391"/>
        <v>1</v>
      </c>
      <c r="AP54" s="364">
        <f t="shared" si="391"/>
        <v>1</v>
      </c>
      <c r="AQ54" s="364">
        <f t="shared" si="391"/>
        <v>1</v>
      </c>
      <c r="AR54" s="364">
        <f t="shared" si="391"/>
        <v>1</v>
      </c>
      <c r="AS54" s="364">
        <f t="shared" si="391"/>
        <v>1</v>
      </c>
      <c r="AT54" s="364">
        <f t="shared" si="391"/>
        <v>1</v>
      </c>
      <c r="AU54" s="364">
        <f>ROUNDUP($V$54*(AU53/100)/0.8,0)</f>
        <v>1</v>
      </c>
      <c r="AV54" s="364">
        <f t="shared" si="391"/>
        <v>1</v>
      </c>
      <c r="AW54" s="364">
        <f t="shared" si="391"/>
        <v>1</v>
      </c>
      <c r="AX54" s="364">
        <f t="shared" si="391"/>
        <v>1</v>
      </c>
      <c r="AY54" s="364">
        <f t="shared" si="391"/>
        <v>1</v>
      </c>
      <c r="AZ54" s="364">
        <f t="shared" si="391"/>
        <v>1</v>
      </c>
      <c r="BA54" s="364">
        <f t="shared" si="391"/>
        <v>1</v>
      </c>
      <c r="BB54" s="364">
        <f t="shared" si="391"/>
        <v>1</v>
      </c>
      <c r="BC54" s="364">
        <f t="shared" si="391"/>
        <v>1</v>
      </c>
      <c r="BD54" s="364">
        <f t="shared" si="391"/>
        <v>1</v>
      </c>
      <c r="BE54" s="364">
        <f t="shared" si="391"/>
        <v>1</v>
      </c>
      <c r="BF54" s="364">
        <f t="shared" si="391"/>
        <v>1</v>
      </c>
      <c r="BG54" s="364">
        <f t="shared" si="391"/>
        <v>1</v>
      </c>
      <c r="BH54" s="364">
        <f t="shared" si="391"/>
        <v>1</v>
      </c>
      <c r="BI54" s="364">
        <f t="shared" si="391"/>
        <v>1</v>
      </c>
      <c r="BJ54" s="364">
        <f t="shared" si="391"/>
        <v>1</v>
      </c>
      <c r="BK54" s="364">
        <f t="shared" si="391"/>
        <v>1</v>
      </c>
      <c r="BL54" s="364">
        <f t="shared" si="391"/>
        <v>1</v>
      </c>
      <c r="BM54" s="364">
        <f t="shared" si="391"/>
        <v>1</v>
      </c>
      <c r="BN54" s="364">
        <f t="shared" si="391"/>
        <v>1</v>
      </c>
      <c r="BO54" s="364">
        <f t="shared" si="391"/>
        <v>1</v>
      </c>
      <c r="BP54" s="364">
        <f t="shared" si="391"/>
        <v>1</v>
      </c>
      <c r="BQ54" s="364">
        <f t="shared" si="391"/>
        <v>1</v>
      </c>
      <c r="BR54" s="364">
        <f t="shared" si="391"/>
        <v>1</v>
      </c>
      <c r="BS54" s="364">
        <f t="shared" si="391"/>
        <v>1</v>
      </c>
      <c r="BT54" s="364">
        <f t="shared" si="391"/>
        <v>1</v>
      </c>
      <c r="BU54" s="364">
        <f t="shared" si="391"/>
        <v>1</v>
      </c>
      <c r="BV54" s="364">
        <f t="shared" si="391"/>
        <v>1</v>
      </c>
      <c r="BW54" s="364">
        <f t="shared" si="391"/>
        <v>1</v>
      </c>
      <c r="BX54" s="364">
        <f t="shared" si="391"/>
        <v>1</v>
      </c>
      <c r="BY54" s="364">
        <f t="shared" si="391"/>
        <v>1</v>
      </c>
      <c r="BZ54" s="364">
        <f t="shared" si="391"/>
        <v>1</v>
      </c>
      <c r="CA54" s="364">
        <f t="shared" si="391"/>
        <v>1</v>
      </c>
      <c r="CB54" s="364">
        <f t="shared" si="391"/>
        <v>1</v>
      </c>
      <c r="CC54" s="364">
        <f t="shared" si="391"/>
        <v>1</v>
      </c>
      <c r="CD54" s="364">
        <f t="shared" si="391"/>
        <v>1</v>
      </c>
      <c r="CE54" s="364">
        <f t="shared" si="391"/>
        <v>1</v>
      </c>
      <c r="CF54" s="364">
        <f t="shared" si="391"/>
        <v>1</v>
      </c>
      <c r="CG54" s="364">
        <f t="shared" si="391"/>
        <v>1</v>
      </c>
      <c r="CH54" s="364">
        <f t="shared" si="391"/>
        <v>1</v>
      </c>
      <c r="CI54" s="364">
        <f t="shared" si="391"/>
        <v>1</v>
      </c>
      <c r="CJ54" s="364">
        <f t="shared" si="391"/>
        <v>1</v>
      </c>
      <c r="CK54" s="364">
        <f t="shared" si="391"/>
        <v>1</v>
      </c>
      <c r="CL54" s="364">
        <f t="shared" si="391"/>
        <v>1</v>
      </c>
      <c r="CM54" s="364">
        <f t="shared" si="391"/>
        <v>1</v>
      </c>
      <c r="CN54" s="364">
        <f t="shared" si="391"/>
        <v>1</v>
      </c>
      <c r="CO54" s="364">
        <f t="shared" si="391"/>
        <v>1</v>
      </c>
      <c r="CP54" s="364">
        <f t="shared" si="391"/>
        <v>1</v>
      </c>
      <c r="CQ54" s="364">
        <f t="shared" si="391"/>
        <v>1</v>
      </c>
      <c r="CR54" s="364">
        <f t="shared" si="391"/>
        <v>1</v>
      </c>
      <c r="CS54" s="364">
        <f t="shared" si="391"/>
        <v>1</v>
      </c>
      <c r="CT54" s="364">
        <f t="shared" si="391"/>
        <v>1</v>
      </c>
      <c r="CU54" s="364">
        <f t="shared" si="391"/>
        <v>1</v>
      </c>
      <c r="CV54" s="364">
        <f t="shared" si="391"/>
        <v>1</v>
      </c>
      <c r="CW54" s="364">
        <f t="shared" ref="CW54:ED54" si="392">ROUNDUP($V$54*(CW53/100)/0.8,0)</f>
        <v>1</v>
      </c>
      <c r="CX54" s="364">
        <f t="shared" si="392"/>
        <v>1</v>
      </c>
      <c r="CY54" s="364">
        <f t="shared" si="392"/>
        <v>1</v>
      </c>
      <c r="CZ54" s="364">
        <f t="shared" si="392"/>
        <v>1</v>
      </c>
      <c r="DA54" s="364">
        <f t="shared" si="392"/>
        <v>1</v>
      </c>
      <c r="DB54" s="364">
        <f t="shared" si="392"/>
        <v>1</v>
      </c>
      <c r="DC54" s="364">
        <f t="shared" si="392"/>
        <v>1</v>
      </c>
      <c r="DD54" s="364">
        <f t="shared" si="392"/>
        <v>1</v>
      </c>
      <c r="DE54" s="364">
        <f t="shared" si="392"/>
        <v>1</v>
      </c>
      <c r="DF54" s="364">
        <f t="shared" si="392"/>
        <v>1</v>
      </c>
      <c r="DG54" s="364">
        <f t="shared" si="392"/>
        <v>1</v>
      </c>
      <c r="DH54" s="364">
        <f t="shared" si="392"/>
        <v>1</v>
      </c>
      <c r="DI54" s="364">
        <f t="shared" si="392"/>
        <v>1</v>
      </c>
      <c r="DJ54" s="364">
        <f t="shared" si="392"/>
        <v>1</v>
      </c>
      <c r="DK54" s="364">
        <f t="shared" si="392"/>
        <v>1</v>
      </c>
      <c r="DL54" s="364">
        <f t="shared" si="392"/>
        <v>1</v>
      </c>
      <c r="DM54" s="364">
        <f t="shared" si="392"/>
        <v>1</v>
      </c>
      <c r="DN54" s="364">
        <f t="shared" si="392"/>
        <v>1</v>
      </c>
      <c r="DO54" s="364">
        <f t="shared" si="392"/>
        <v>1</v>
      </c>
      <c r="DP54" s="364">
        <f t="shared" si="392"/>
        <v>1</v>
      </c>
      <c r="DQ54" s="364">
        <f t="shared" si="392"/>
        <v>1</v>
      </c>
      <c r="DR54" s="364">
        <f t="shared" si="392"/>
        <v>1</v>
      </c>
      <c r="DS54" s="364">
        <f t="shared" si="392"/>
        <v>2</v>
      </c>
      <c r="DT54" s="364">
        <f t="shared" si="392"/>
        <v>2</v>
      </c>
      <c r="DU54" s="364">
        <f t="shared" si="392"/>
        <v>2</v>
      </c>
      <c r="DV54" s="364">
        <f t="shared" si="392"/>
        <v>2</v>
      </c>
      <c r="DW54" s="364">
        <f t="shared" si="392"/>
        <v>2</v>
      </c>
      <c r="DX54" s="364">
        <f t="shared" si="392"/>
        <v>2</v>
      </c>
      <c r="DY54" s="364">
        <f t="shared" si="392"/>
        <v>2</v>
      </c>
      <c r="DZ54" s="364">
        <f t="shared" si="392"/>
        <v>2</v>
      </c>
      <c r="EA54" s="364">
        <f t="shared" si="392"/>
        <v>2</v>
      </c>
      <c r="EB54" s="364">
        <f t="shared" si="392"/>
        <v>2</v>
      </c>
      <c r="EC54" s="364">
        <f t="shared" si="392"/>
        <v>2</v>
      </c>
      <c r="ED54" s="364">
        <f t="shared" si="392"/>
        <v>2</v>
      </c>
    </row>
    <row r="55" spans="1:134" ht="18.75" outlineLevel="1" x14ac:dyDescent="0.3">
      <c r="A55" t="s">
        <v>224</v>
      </c>
      <c r="B55" s="82">
        <f>'Growth Prediction Exec Summary'!I6</f>
        <v>0.2</v>
      </c>
      <c r="C55" s="736"/>
      <c r="D55" s="713" t="s">
        <v>239</v>
      </c>
      <c r="E55" s="713"/>
      <c r="F55" s="713"/>
      <c r="G55" s="713"/>
      <c r="H55" s="713"/>
      <c r="I55" s="713"/>
      <c r="J55" s="713"/>
      <c r="K55" s="713"/>
      <c r="L55" s="156"/>
      <c r="M55" s="496">
        <f>N55*100</f>
        <v>46</v>
      </c>
      <c r="N55" s="560">
        <f>'AM Benches Data'!I4/100</f>
        <v>0.46</v>
      </c>
      <c r="O55" s="561">
        <f>'AM Benches Data'!S4/100</f>
        <v>0.4</v>
      </c>
      <c r="P55" s="561">
        <f>'AM Benches Data'!AA4/100</f>
        <v>0.34</v>
      </c>
      <c r="Q55" s="149"/>
      <c r="R55" s="160">
        <f t="shared" si="270"/>
        <v>-0.12</v>
      </c>
      <c r="S55" s="150">
        <v>3</v>
      </c>
      <c r="T55" s="150">
        <v>2</v>
      </c>
      <c r="U55" s="148"/>
      <c r="V55" s="317"/>
      <c r="W55" s="351">
        <f>M55</f>
        <v>46</v>
      </c>
      <c r="X55" s="352">
        <f t="shared" si="281"/>
        <v>46</v>
      </c>
      <c r="Y55" s="352">
        <f t="shared" si="281"/>
        <v>46</v>
      </c>
      <c r="Z55" s="352">
        <f>O55*100</f>
        <v>40</v>
      </c>
      <c r="AA55" s="352">
        <f>Z55</f>
        <v>40</v>
      </c>
      <c r="AB55" s="352">
        <f>AA55</f>
        <v>40</v>
      </c>
      <c r="AC55" s="352">
        <f>P55*100</f>
        <v>34</v>
      </c>
      <c r="AD55" s="352">
        <f>AC55</f>
        <v>34</v>
      </c>
      <c r="AE55" s="352">
        <f>AD55</f>
        <v>34</v>
      </c>
      <c r="AF55" s="352">
        <f>AE55</f>
        <v>34</v>
      </c>
      <c r="AG55" s="352">
        <f>AF55</f>
        <v>34</v>
      </c>
      <c r="AH55" s="352">
        <f>AG55</f>
        <v>34</v>
      </c>
      <c r="AI55" s="353">
        <f t="shared" ref="AI55:AT55" si="393">(((AH55*(1+($B$36*$B$4)))-AH55)/12)+AH55</f>
        <v>34.204000000000001</v>
      </c>
      <c r="AJ55" s="352">
        <f t="shared" si="393"/>
        <v>34.409224000000002</v>
      </c>
      <c r="AK55" s="352">
        <f t="shared" si="393"/>
        <v>34.615679344</v>
      </c>
      <c r="AL55" s="352">
        <f t="shared" si="393"/>
        <v>34.823373420064001</v>
      </c>
      <c r="AM55" s="352">
        <f t="shared" si="393"/>
        <v>35.032313660584386</v>
      </c>
      <c r="AN55" s="352">
        <f t="shared" si="393"/>
        <v>35.242507542547891</v>
      </c>
      <c r="AO55" s="352">
        <f t="shared" si="393"/>
        <v>35.453962587803176</v>
      </c>
      <c r="AP55" s="352">
        <f t="shared" si="393"/>
        <v>35.666686363329994</v>
      </c>
      <c r="AQ55" s="352">
        <f t="shared" si="393"/>
        <v>35.880686481509976</v>
      </c>
      <c r="AR55" s="352">
        <f t="shared" si="393"/>
        <v>36.095970600399035</v>
      </c>
      <c r="AS55" s="352">
        <f t="shared" si="393"/>
        <v>36.312546424001432</v>
      </c>
      <c r="AT55" s="352">
        <f t="shared" si="393"/>
        <v>36.530421702545439</v>
      </c>
      <c r="AU55" s="353">
        <f t="shared" ref="AU55:BF55" si="394">(((AT55*(1+($B$37*$B$4)))-AT55)/12)+AT55</f>
        <v>36.74960423276071</v>
      </c>
      <c r="AV55" s="352">
        <f t="shared" si="394"/>
        <v>36.970101858157278</v>
      </c>
      <c r="AW55" s="352">
        <f t="shared" si="394"/>
        <v>37.19192246930622</v>
      </c>
      <c r="AX55" s="352">
        <f t="shared" si="394"/>
        <v>37.415074004122062</v>
      </c>
      <c r="AY55" s="352">
        <f t="shared" si="394"/>
        <v>37.639564448146793</v>
      </c>
      <c r="AZ55" s="352">
        <f t="shared" si="394"/>
        <v>37.865401834835673</v>
      </c>
      <c r="BA55" s="352">
        <f t="shared" si="394"/>
        <v>38.092594245844687</v>
      </c>
      <c r="BB55" s="352">
        <f t="shared" si="394"/>
        <v>38.321149811319756</v>
      </c>
      <c r="BC55" s="352">
        <f t="shared" si="394"/>
        <v>38.551076710187672</v>
      </c>
      <c r="BD55" s="352">
        <f t="shared" si="394"/>
        <v>38.782383170448796</v>
      </c>
      <c r="BE55" s="352">
        <f t="shared" si="394"/>
        <v>39.015077469471493</v>
      </c>
      <c r="BF55" s="352">
        <f t="shared" si="394"/>
        <v>39.249167934288323</v>
      </c>
      <c r="BG55" s="353">
        <f t="shared" ref="BG55:BR55" si="395">(((BF55*(1+($B$38*$B$4)))-BF55)/12)+BF55</f>
        <v>39.484662941894051</v>
      </c>
      <c r="BH55" s="352">
        <f t="shared" si="395"/>
        <v>39.721570919545414</v>
      </c>
      <c r="BI55" s="352">
        <f t="shared" si="395"/>
        <v>39.959900345062685</v>
      </c>
      <c r="BJ55" s="352">
        <f t="shared" si="395"/>
        <v>40.199659747133062</v>
      </c>
      <c r="BK55" s="352">
        <f t="shared" si="395"/>
        <v>40.440857705615862</v>
      </c>
      <c r="BL55" s="352">
        <f t="shared" si="395"/>
        <v>40.68350285184956</v>
      </c>
      <c r="BM55" s="352">
        <f t="shared" si="395"/>
        <v>40.927603868960659</v>
      </c>
      <c r="BN55" s="352">
        <f t="shared" si="395"/>
        <v>41.173169492174424</v>
      </c>
      <c r="BO55" s="352">
        <f t="shared" si="395"/>
        <v>41.42020850912747</v>
      </c>
      <c r="BP55" s="352">
        <f t="shared" si="395"/>
        <v>41.668729760182231</v>
      </c>
      <c r="BQ55" s="352">
        <f t="shared" si="395"/>
        <v>41.918742138743326</v>
      </c>
      <c r="BR55" s="352">
        <f t="shared" si="395"/>
        <v>42.170254591575784</v>
      </c>
      <c r="BS55" s="353">
        <f t="shared" ref="BS55:CD55" si="396">(((BR55*(1+($B$39*$B$4)))-BR55)/12)+BR55</f>
        <v>42.423276119125241</v>
      </c>
      <c r="BT55" s="352">
        <f t="shared" si="396"/>
        <v>42.677815775839996</v>
      </c>
      <c r="BU55" s="352">
        <f t="shared" si="396"/>
        <v>42.933882670495038</v>
      </c>
      <c r="BV55" s="352">
        <f t="shared" si="396"/>
        <v>43.191485966518009</v>
      </c>
      <c r="BW55" s="352">
        <f t="shared" si="396"/>
        <v>43.450634882317118</v>
      </c>
      <c r="BX55" s="352">
        <f t="shared" si="396"/>
        <v>43.711338691611019</v>
      </c>
      <c r="BY55" s="352">
        <f t="shared" si="396"/>
        <v>43.973606723760682</v>
      </c>
      <c r="BZ55" s="352">
        <f t="shared" si="396"/>
        <v>44.237448364103244</v>
      </c>
      <c r="CA55" s="352">
        <f t="shared" si="396"/>
        <v>44.502873054287861</v>
      </c>
      <c r="CB55" s="352">
        <f t="shared" si="396"/>
        <v>44.769890292613589</v>
      </c>
      <c r="CC55" s="352">
        <f t="shared" si="396"/>
        <v>45.038509634369269</v>
      </c>
      <c r="CD55" s="352">
        <f t="shared" si="396"/>
        <v>45.308740692175483</v>
      </c>
      <c r="CE55" s="353">
        <f t="shared" ref="CE55:CP55" si="397">(((CD55*(1+($B$40*$B$4)))-CD55)/12)+CD55</f>
        <v>45.580593136328538</v>
      </c>
      <c r="CF55" s="352">
        <f t="shared" si="397"/>
        <v>45.85407669514651</v>
      </c>
      <c r="CG55" s="352">
        <f t="shared" si="397"/>
        <v>46.129201155317389</v>
      </c>
      <c r="CH55" s="352">
        <f t="shared" si="397"/>
        <v>46.405976362249291</v>
      </c>
      <c r="CI55" s="352">
        <f t="shared" si="397"/>
        <v>46.684412220422786</v>
      </c>
      <c r="CJ55" s="352">
        <f t="shared" si="397"/>
        <v>46.964518693745319</v>
      </c>
      <c r="CK55" s="352">
        <f t="shared" si="397"/>
        <v>47.246305805907788</v>
      </c>
      <c r="CL55" s="352">
        <f t="shared" si="397"/>
        <v>47.529783640743233</v>
      </c>
      <c r="CM55" s="352">
        <f t="shared" si="397"/>
        <v>47.814962342587691</v>
      </c>
      <c r="CN55" s="352">
        <f t="shared" si="397"/>
        <v>48.101852116643215</v>
      </c>
      <c r="CO55" s="352">
        <f t="shared" si="397"/>
        <v>48.390463229343077</v>
      </c>
      <c r="CP55" s="352">
        <f t="shared" si="397"/>
        <v>48.680806008719138</v>
      </c>
      <c r="CQ55" s="353">
        <f t="shared" ref="CQ55:DB55" si="398">(((CP55*(1+($B$41*$B$4)))-CP55)/12)+CP55</f>
        <v>48.972890844771456</v>
      </c>
      <c r="CR55" s="352">
        <f t="shared" si="398"/>
        <v>49.266728189840087</v>
      </c>
      <c r="CS55" s="352">
        <f t="shared" si="398"/>
        <v>49.562328558979125</v>
      </c>
      <c r="CT55" s="352">
        <f t="shared" si="398"/>
        <v>49.859702530333003</v>
      </c>
      <c r="CU55" s="352">
        <f t="shared" si="398"/>
        <v>50.158860745515</v>
      </c>
      <c r="CV55" s="352">
        <f t="shared" si="398"/>
        <v>50.459813909988092</v>
      </c>
      <c r="CW55" s="352">
        <f t="shared" si="398"/>
        <v>50.762572793448022</v>
      </c>
      <c r="CX55" s="352">
        <f t="shared" si="398"/>
        <v>51.067148230208709</v>
      </c>
      <c r="CY55" s="352">
        <f t="shared" si="398"/>
        <v>51.373551119589962</v>
      </c>
      <c r="CZ55" s="352">
        <f t="shared" si="398"/>
        <v>51.681792426307503</v>
      </c>
      <c r="DA55" s="352">
        <f t="shared" si="398"/>
        <v>51.991883180865351</v>
      </c>
      <c r="DB55" s="352">
        <f t="shared" si="398"/>
        <v>52.303834479950545</v>
      </c>
      <c r="DC55" s="353">
        <f t="shared" ref="DC55:DN55" si="399">(((DB55*(1+($B$42*$B$4)))-DB55)/12)+DB55</f>
        <v>52.617657486830247</v>
      </c>
      <c r="DD55" s="352">
        <f t="shared" si="399"/>
        <v>52.933363431751232</v>
      </c>
      <c r="DE55" s="352">
        <f t="shared" si="399"/>
        <v>53.250963612341742</v>
      </c>
      <c r="DF55" s="352">
        <f t="shared" si="399"/>
        <v>53.570469394015795</v>
      </c>
      <c r="DG55" s="352">
        <f t="shared" si="399"/>
        <v>53.891892210379893</v>
      </c>
      <c r="DH55" s="352">
        <f t="shared" si="399"/>
        <v>54.215243563642176</v>
      </c>
      <c r="DI55" s="352">
        <f t="shared" si="399"/>
        <v>54.540535025024028</v>
      </c>
      <c r="DJ55" s="352">
        <f t="shared" si="399"/>
        <v>54.867778235174171</v>
      </c>
      <c r="DK55" s="352">
        <f t="shared" si="399"/>
        <v>55.196984904585214</v>
      </c>
      <c r="DL55" s="352">
        <f t="shared" si="399"/>
        <v>55.528166814012728</v>
      </c>
      <c r="DM55" s="352">
        <f t="shared" si="399"/>
        <v>55.861335814896805</v>
      </c>
      <c r="DN55" s="352">
        <f t="shared" si="399"/>
        <v>56.196503829786188</v>
      </c>
      <c r="DO55" s="353">
        <f t="shared" ref="DO55:DZ55" si="400">(((DN55*(1+($B$43*$B$4)))-DN55)/12)+DN55</f>
        <v>56.533682852764905</v>
      </c>
      <c r="DP55" s="352">
        <f t="shared" si="400"/>
        <v>56.872884949881495</v>
      </c>
      <c r="DQ55" s="352">
        <f t="shared" si="400"/>
        <v>57.214122259580783</v>
      </c>
      <c r="DR55" s="352">
        <f t="shared" si="400"/>
        <v>57.557406993138265</v>
      </c>
      <c r="DS55" s="352">
        <f t="shared" si="400"/>
        <v>57.902751435097095</v>
      </c>
      <c r="DT55" s="352">
        <f t="shared" si="400"/>
        <v>58.25016794370768</v>
      </c>
      <c r="DU55" s="352">
        <f t="shared" si="400"/>
        <v>58.599668951369928</v>
      </c>
      <c r="DV55" s="352">
        <f t="shared" si="400"/>
        <v>58.951266965078148</v>
      </c>
      <c r="DW55" s="352">
        <f t="shared" si="400"/>
        <v>59.304974566868616</v>
      </c>
      <c r="DX55" s="352">
        <f t="shared" si="400"/>
        <v>59.660804414269826</v>
      </c>
      <c r="DY55" s="352">
        <f t="shared" si="400"/>
        <v>60.018769240755447</v>
      </c>
      <c r="DZ55" s="352">
        <f t="shared" si="400"/>
        <v>60.378881856199982</v>
      </c>
      <c r="EA55" s="353">
        <f>(((DZ55*(1+($B$44*$B$4)))-DZ55)/12)+DZ55</f>
        <v>60.741155147337182</v>
      </c>
      <c r="EB55" s="352">
        <f>(((EA55*(1+($B$44*$B$4)))-EA55)/12)+EA55</f>
        <v>61.105602078221203</v>
      </c>
      <c r="EC55" s="352">
        <f>(((EB55*(1+($B$44*$B$4)))-EB55)/12)+EB55</f>
        <v>61.472235690690532</v>
      </c>
      <c r="ED55" s="354">
        <f>(((EC55*(1+($B$44*$B$4)))-EC55)/12)+EC55</f>
        <v>61.841069104834673</v>
      </c>
    </row>
    <row r="56" spans="1:134" ht="18.75" outlineLevel="1" x14ac:dyDescent="0.3">
      <c r="A56" t="s">
        <v>226</v>
      </c>
      <c r="B56" s="82">
        <f>'Growth Prediction Exec Summary'!J6</f>
        <v>0.2</v>
      </c>
      <c r="C56" s="736"/>
      <c r="D56" s="714"/>
      <c r="E56" s="714"/>
      <c r="F56" s="714"/>
      <c r="G56" s="714"/>
      <c r="H56" s="714"/>
      <c r="I56" s="714"/>
      <c r="J56" s="714"/>
      <c r="K56" s="714"/>
      <c r="L56" s="157"/>
      <c r="M56" s="151"/>
      <c r="N56" s="562"/>
      <c r="O56" s="563"/>
      <c r="P56" s="563"/>
      <c r="Q56" s="152"/>
      <c r="R56" s="161"/>
      <c r="S56" s="153"/>
      <c r="T56" s="153"/>
      <c r="U56" s="151"/>
      <c r="V56" s="277">
        <v>1</v>
      </c>
      <c r="W56" s="355">
        <f t="shared" ref="W56:BB56" si="401">ROUNDUP($V$56*(W55/100)/0.8,0)</f>
        <v>1</v>
      </c>
      <c r="X56" s="356">
        <f t="shared" si="401"/>
        <v>1</v>
      </c>
      <c r="Y56" s="356">
        <f t="shared" si="401"/>
        <v>1</v>
      </c>
      <c r="Z56" s="356">
        <f t="shared" si="401"/>
        <v>1</v>
      </c>
      <c r="AA56" s="356">
        <f t="shared" si="401"/>
        <v>1</v>
      </c>
      <c r="AB56" s="356">
        <f t="shared" si="401"/>
        <v>1</v>
      </c>
      <c r="AC56" s="356">
        <f t="shared" si="401"/>
        <v>1</v>
      </c>
      <c r="AD56" s="356">
        <f t="shared" si="401"/>
        <v>1</v>
      </c>
      <c r="AE56" s="356">
        <f t="shared" si="401"/>
        <v>1</v>
      </c>
      <c r="AF56" s="356">
        <f t="shared" si="401"/>
        <v>1</v>
      </c>
      <c r="AG56" s="356">
        <f t="shared" si="401"/>
        <v>1</v>
      </c>
      <c r="AH56" s="356">
        <f t="shared" si="401"/>
        <v>1</v>
      </c>
      <c r="AI56" s="357">
        <f t="shared" si="401"/>
        <v>1</v>
      </c>
      <c r="AJ56" s="356">
        <f t="shared" si="401"/>
        <v>1</v>
      </c>
      <c r="AK56" s="356">
        <f t="shared" si="401"/>
        <v>1</v>
      </c>
      <c r="AL56" s="356">
        <f t="shared" si="401"/>
        <v>1</v>
      </c>
      <c r="AM56" s="356">
        <f t="shared" si="401"/>
        <v>1</v>
      </c>
      <c r="AN56" s="356">
        <f t="shared" si="401"/>
        <v>1</v>
      </c>
      <c r="AO56" s="356">
        <f t="shared" si="401"/>
        <v>1</v>
      </c>
      <c r="AP56" s="356">
        <f t="shared" si="401"/>
        <v>1</v>
      </c>
      <c r="AQ56" s="356">
        <f t="shared" si="401"/>
        <v>1</v>
      </c>
      <c r="AR56" s="356">
        <f t="shared" si="401"/>
        <v>1</v>
      </c>
      <c r="AS56" s="356">
        <f t="shared" si="401"/>
        <v>1</v>
      </c>
      <c r="AT56" s="356">
        <f t="shared" si="401"/>
        <v>1</v>
      </c>
      <c r="AU56" s="357">
        <f t="shared" si="401"/>
        <v>1</v>
      </c>
      <c r="AV56" s="356">
        <f t="shared" si="401"/>
        <v>1</v>
      </c>
      <c r="AW56" s="356">
        <f t="shared" si="401"/>
        <v>1</v>
      </c>
      <c r="AX56" s="356">
        <f t="shared" si="401"/>
        <v>1</v>
      </c>
      <c r="AY56" s="356">
        <f t="shared" si="401"/>
        <v>1</v>
      </c>
      <c r="AZ56" s="356">
        <f t="shared" si="401"/>
        <v>1</v>
      </c>
      <c r="BA56" s="356">
        <f t="shared" si="401"/>
        <v>1</v>
      </c>
      <c r="BB56" s="356">
        <f t="shared" si="401"/>
        <v>1</v>
      </c>
      <c r="BC56" s="356">
        <f t="shared" ref="BC56:CH56" si="402">ROUNDUP($V$56*(BC55/100)/0.8,0)</f>
        <v>1</v>
      </c>
      <c r="BD56" s="356">
        <f t="shared" si="402"/>
        <v>1</v>
      </c>
      <c r="BE56" s="356">
        <f t="shared" si="402"/>
        <v>1</v>
      </c>
      <c r="BF56" s="356">
        <f t="shared" si="402"/>
        <v>1</v>
      </c>
      <c r="BG56" s="357">
        <f t="shared" si="402"/>
        <v>1</v>
      </c>
      <c r="BH56" s="356">
        <f t="shared" si="402"/>
        <v>1</v>
      </c>
      <c r="BI56" s="356">
        <f t="shared" si="402"/>
        <v>1</v>
      </c>
      <c r="BJ56" s="356">
        <f t="shared" si="402"/>
        <v>1</v>
      </c>
      <c r="BK56" s="356">
        <f t="shared" si="402"/>
        <v>1</v>
      </c>
      <c r="BL56" s="356">
        <f t="shared" si="402"/>
        <v>1</v>
      </c>
      <c r="BM56" s="356">
        <f t="shared" si="402"/>
        <v>1</v>
      </c>
      <c r="BN56" s="356">
        <f t="shared" si="402"/>
        <v>1</v>
      </c>
      <c r="BO56" s="356">
        <f t="shared" si="402"/>
        <v>1</v>
      </c>
      <c r="BP56" s="356">
        <f t="shared" si="402"/>
        <v>1</v>
      </c>
      <c r="BQ56" s="356">
        <f t="shared" si="402"/>
        <v>1</v>
      </c>
      <c r="BR56" s="356">
        <f t="shared" si="402"/>
        <v>1</v>
      </c>
      <c r="BS56" s="357">
        <f t="shared" si="402"/>
        <v>1</v>
      </c>
      <c r="BT56" s="356">
        <f t="shared" si="402"/>
        <v>1</v>
      </c>
      <c r="BU56" s="356">
        <f t="shared" si="402"/>
        <v>1</v>
      </c>
      <c r="BV56" s="356">
        <f t="shared" si="402"/>
        <v>1</v>
      </c>
      <c r="BW56" s="356">
        <f t="shared" si="402"/>
        <v>1</v>
      </c>
      <c r="BX56" s="356">
        <f t="shared" si="402"/>
        <v>1</v>
      </c>
      <c r="BY56" s="356">
        <f t="shared" si="402"/>
        <v>1</v>
      </c>
      <c r="BZ56" s="356">
        <f t="shared" si="402"/>
        <v>1</v>
      </c>
      <c r="CA56" s="356">
        <f t="shared" si="402"/>
        <v>1</v>
      </c>
      <c r="CB56" s="356">
        <f t="shared" si="402"/>
        <v>1</v>
      </c>
      <c r="CC56" s="356">
        <f t="shared" si="402"/>
        <v>1</v>
      </c>
      <c r="CD56" s="356">
        <f t="shared" si="402"/>
        <v>1</v>
      </c>
      <c r="CE56" s="357">
        <f t="shared" si="402"/>
        <v>1</v>
      </c>
      <c r="CF56" s="356">
        <f t="shared" si="402"/>
        <v>1</v>
      </c>
      <c r="CG56" s="356">
        <f t="shared" si="402"/>
        <v>1</v>
      </c>
      <c r="CH56" s="356">
        <f t="shared" si="402"/>
        <v>1</v>
      </c>
      <c r="CI56" s="356">
        <f>ROUNDUP($V$56*(CI55/100)/0.8,0)</f>
        <v>1</v>
      </c>
      <c r="CJ56" s="356">
        <f t="shared" ref="CJ56:ED56" si="403">ROUNDUP($V$56*(CJ55/100)/0.8,0)</f>
        <v>1</v>
      </c>
      <c r="CK56" s="356">
        <f t="shared" si="403"/>
        <v>1</v>
      </c>
      <c r="CL56" s="356">
        <f t="shared" si="403"/>
        <v>1</v>
      </c>
      <c r="CM56" s="356">
        <f t="shared" si="403"/>
        <v>1</v>
      </c>
      <c r="CN56" s="356">
        <f t="shared" si="403"/>
        <v>1</v>
      </c>
      <c r="CO56" s="356">
        <f t="shared" si="403"/>
        <v>1</v>
      </c>
      <c r="CP56" s="356">
        <f t="shared" si="403"/>
        <v>1</v>
      </c>
      <c r="CQ56" s="357">
        <f t="shared" si="403"/>
        <v>1</v>
      </c>
      <c r="CR56" s="356">
        <f t="shared" si="403"/>
        <v>1</v>
      </c>
      <c r="CS56" s="356">
        <f t="shared" si="403"/>
        <v>1</v>
      </c>
      <c r="CT56" s="356">
        <f t="shared" si="403"/>
        <v>1</v>
      </c>
      <c r="CU56" s="356">
        <f t="shared" si="403"/>
        <v>1</v>
      </c>
      <c r="CV56" s="356">
        <f t="shared" si="403"/>
        <v>1</v>
      </c>
      <c r="CW56" s="356">
        <f t="shared" si="403"/>
        <v>1</v>
      </c>
      <c r="CX56" s="356">
        <f t="shared" si="403"/>
        <v>1</v>
      </c>
      <c r="CY56" s="356">
        <f t="shared" si="403"/>
        <v>1</v>
      </c>
      <c r="CZ56" s="356">
        <f t="shared" si="403"/>
        <v>1</v>
      </c>
      <c r="DA56" s="356">
        <f t="shared" si="403"/>
        <v>1</v>
      </c>
      <c r="DB56" s="356">
        <f t="shared" si="403"/>
        <v>1</v>
      </c>
      <c r="DC56" s="357">
        <f t="shared" si="403"/>
        <v>1</v>
      </c>
      <c r="DD56" s="356">
        <f t="shared" si="403"/>
        <v>1</v>
      </c>
      <c r="DE56" s="356">
        <f t="shared" si="403"/>
        <v>1</v>
      </c>
      <c r="DF56" s="356">
        <f t="shared" si="403"/>
        <v>1</v>
      </c>
      <c r="DG56" s="356">
        <f t="shared" si="403"/>
        <v>1</v>
      </c>
      <c r="DH56" s="356">
        <f t="shared" si="403"/>
        <v>1</v>
      </c>
      <c r="DI56" s="356">
        <f t="shared" si="403"/>
        <v>1</v>
      </c>
      <c r="DJ56" s="356">
        <f t="shared" si="403"/>
        <v>1</v>
      </c>
      <c r="DK56" s="356">
        <f t="shared" si="403"/>
        <v>1</v>
      </c>
      <c r="DL56" s="356">
        <f t="shared" si="403"/>
        <v>1</v>
      </c>
      <c r="DM56" s="356">
        <f t="shared" si="403"/>
        <v>1</v>
      </c>
      <c r="DN56" s="356">
        <f t="shared" si="403"/>
        <v>1</v>
      </c>
      <c r="DO56" s="357">
        <f t="shared" si="403"/>
        <v>1</v>
      </c>
      <c r="DP56" s="356">
        <f t="shared" si="403"/>
        <v>1</v>
      </c>
      <c r="DQ56" s="356">
        <f t="shared" si="403"/>
        <v>1</v>
      </c>
      <c r="DR56" s="356">
        <f t="shared" si="403"/>
        <v>1</v>
      </c>
      <c r="DS56" s="356">
        <f t="shared" si="403"/>
        <v>1</v>
      </c>
      <c r="DT56" s="356">
        <f t="shared" si="403"/>
        <v>1</v>
      </c>
      <c r="DU56" s="356">
        <f t="shared" si="403"/>
        <v>1</v>
      </c>
      <c r="DV56" s="356">
        <f t="shared" si="403"/>
        <v>1</v>
      </c>
      <c r="DW56" s="356">
        <f t="shared" si="403"/>
        <v>1</v>
      </c>
      <c r="DX56" s="356">
        <f t="shared" si="403"/>
        <v>1</v>
      </c>
      <c r="DY56" s="356">
        <f t="shared" si="403"/>
        <v>1</v>
      </c>
      <c r="DZ56" s="356">
        <f t="shared" si="403"/>
        <v>1</v>
      </c>
      <c r="EA56" s="357">
        <f t="shared" si="403"/>
        <v>1</v>
      </c>
      <c r="EB56" s="356">
        <f t="shared" si="403"/>
        <v>1</v>
      </c>
      <c r="EC56" s="356">
        <f t="shared" si="403"/>
        <v>1</v>
      </c>
      <c r="ED56" s="358">
        <f t="shared" si="403"/>
        <v>1</v>
      </c>
    </row>
    <row r="57" spans="1:134" ht="18.75" outlineLevel="1" x14ac:dyDescent="0.25">
      <c r="C57" s="736"/>
      <c r="D57" s="741" t="s">
        <v>228</v>
      </c>
      <c r="E57" s="713"/>
      <c r="F57" s="713"/>
      <c r="G57" s="713"/>
      <c r="H57" s="713"/>
      <c r="I57" s="713"/>
      <c r="J57" s="713"/>
      <c r="K57" s="713"/>
      <c r="L57" s="742"/>
      <c r="M57" s="496">
        <f>N57</f>
        <v>24.370823529411766</v>
      </c>
      <c r="N57" s="539">
        <f>'AM Benches Data'!AJ4</f>
        <v>24.370823529411766</v>
      </c>
      <c r="O57" s="539">
        <f>'AM Benches Data'!AK4</f>
        <v>25.12</v>
      </c>
      <c r="P57" s="539">
        <f>'AM Benches Data'!AL4</f>
        <v>26.605176470588241</v>
      </c>
      <c r="Q57" s="540"/>
      <c r="R57" s="551">
        <f>P57-N57</f>
        <v>2.2343529411764749</v>
      </c>
      <c r="S57" s="540"/>
      <c r="T57" s="540"/>
      <c r="U57" s="364"/>
      <c r="V57" s="63"/>
      <c r="W57" s="351">
        <f>M57</f>
        <v>24.370823529411766</v>
      </c>
      <c r="X57" s="352">
        <f>W57</f>
        <v>24.370823529411766</v>
      </c>
      <c r="Y57" s="352">
        <f>X57</f>
        <v>24.370823529411766</v>
      </c>
      <c r="Z57" s="352">
        <f>O57</f>
        <v>25.12</v>
      </c>
      <c r="AA57" s="352">
        <f>Z57</f>
        <v>25.12</v>
      </c>
      <c r="AB57" s="352">
        <f>AA57</f>
        <v>25.12</v>
      </c>
      <c r="AC57" s="352">
        <f>P57</f>
        <v>26.605176470588241</v>
      </c>
      <c r="AD57" s="352">
        <f>AC57</f>
        <v>26.605176470588241</v>
      </c>
      <c r="AE57" s="352">
        <f>AD57</f>
        <v>26.605176470588241</v>
      </c>
      <c r="AF57" s="352">
        <f>AE57</f>
        <v>26.605176470588241</v>
      </c>
      <c r="AG57" s="352">
        <f>AF57</f>
        <v>26.605176470588241</v>
      </c>
      <c r="AH57" s="352">
        <f>AG57</f>
        <v>26.605176470588241</v>
      </c>
      <c r="AI57" s="353">
        <f t="shared" ref="AI57" si="404">(((AH57*(1+($B$36*$B$4)))-AH57)/12)+AH57</f>
        <v>26.764807529411769</v>
      </c>
      <c r="AJ57" s="352">
        <f t="shared" ref="AJ57" si="405">(((AI57*(1+($B$36*$B$4)))-AI57)/12)+AI57</f>
        <v>26.925396374588239</v>
      </c>
      <c r="AK57" s="352">
        <f t="shared" ref="AK57" si="406">(((AJ57*(1+($B$36*$B$4)))-AJ57)/12)+AJ57</f>
        <v>27.086948752835767</v>
      </c>
      <c r="AL57" s="352">
        <f t="shared" ref="AL57" si="407">(((AK57*(1+($B$36*$B$4)))-AK57)/12)+AK57</f>
        <v>27.249470445352781</v>
      </c>
      <c r="AM57" s="352">
        <f t="shared" ref="AM57" si="408">(((AL57*(1+($B$36*$B$4)))-AL57)/12)+AL57</f>
        <v>27.412967268024897</v>
      </c>
      <c r="AN57" s="352">
        <f t="shared" ref="AN57" si="409">(((AM57*(1+($B$36*$B$4)))-AM57)/12)+AM57</f>
        <v>27.577445071633047</v>
      </c>
      <c r="AO57" s="352">
        <f t="shared" ref="AO57" si="410">(((AN57*(1+($B$36*$B$4)))-AN57)/12)+AN57</f>
        <v>27.742909742062846</v>
      </c>
      <c r="AP57" s="352">
        <f t="shared" ref="AP57" si="411">(((AO57*(1+($B$36*$B$4)))-AO57)/12)+AO57</f>
        <v>27.909367200515224</v>
      </c>
      <c r="AQ57" s="352">
        <f t="shared" ref="AQ57" si="412">(((AP57*(1+($B$36*$B$4)))-AP57)/12)+AP57</f>
        <v>28.076823403718315</v>
      </c>
      <c r="AR57" s="352">
        <f t="shared" ref="AR57" si="413">(((AQ57*(1+($B$36*$B$4)))-AQ57)/12)+AQ57</f>
        <v>28.245284344140625</v>
      </c>
      <c r="AS57" s="352">
        <f t="shared" ref="AS57" si="414">(((AR57*(1+($B$36*$B$4)))-AR57)/12)+AR57</f>
        <v>28.414756050205469</v>
      </c>
      <c r="AT57" s="352">
        <f t="shared" ref="AT57" si="415">(((AS57*(1+($B$36*$B$4)))-AS57)/12)+AS57</f>
        <v>28.5852445865067</v>
      </c>
      <c r="AU57" s="353">
        <f t="shared" ref="AU57" si="416">(((AT57*(1+($B$37*$B$4)))-AT57)/12)+AT57</f>
        <v>28.75675605402574</v>
      </c>
      <c r="AV57" s="352">
        <f t="shared" ref="AV57" si="417">(((AU57*(1+($B$37*$B$4)))-AU57)/12)+AU57</f>
        <v>28.929296590349892</v>
      </c>
      <c r="AW57" s="352">
        <f t="shared" ref="AW57" si="418">(((AV57*(1+($B$37*$B$4)))-AV57)/12)+AV57</f>
        <v>29.10287236989199</v>
      </c>
      <c r="AX57" s="352">
        <f t="shared" ref="AX57" si="419">(((AW57*(1+($B$37*$B$4)))-AW57)/12)+AW57</f>
        <v>29.277489604111341</v>
      </c>
      <c r="AY57" s="352">
        <f t="shared" ref="AY57" si="420">(((AX57*(1+($B$37*$B$4)))-AX57)/12)+AX57</f>
        <v>29.453154541736009</v>
      </c>
      <c r="AZ57" s="352">
        <f t="shared" ref="AZ57" si="421">(((AY57*(1+($B$37*$B$4)))-AY57)/12)+AY57</f>
        <v>29.629873468986425</v>
      </c>
      <c r="BA57" s="352">
        <f t="shared" ref="BA57" si="422">(((AZ57*(1+($B$37*$B$4)))-AZ57)/12)+AZ57</f>
        <v>29.807652709800344</v>
      </c>
      <c r="BB57" s="352">
        <f t="shared" ref="BB57" si="423">(((BA57*(1+($B$37*$B$4)))-BA57)/12)+BA57</f>
        <v>29.986498626059145</v>
      </c>
      <c r="BC57" s="352">
        <f t="shared" ref="BC57" si="424">(((BB57*(1+($B$37*$B$4)))-BB57)/12)+BB57</f>
        <v>30.166417617815501</v>
      </c>
      <c r="BD57" s="352">
        <f t="shared" ref="BD57" si="425">(((BC57*(1+($B$37*$B$4)))-BC57)/12)+BC57</f>
        <v>30.347416123522393</v>
      </c>
      <c r="BE57" s="352">
        <f t="shared" ref="BE57" si="426">(((BD57*(1+($B$37*$B$4)))-BD57)/12)+BD57</f>
        <v>30.529500620263526</v>
      </c>
      <c r="BF57" s="352">
        <f t="shared" ref="BF57" si="427">(((BE57*(1+($B$37*$B$4)))-BE57)/12)+BE57</f>
        <v>30.712677623985108</v>
      </c>
      <c r="BG57" s="353">
        <f t="shared" ref="BG57" si="428">(((BF57*(1+($B$38*$B$4)))-BF57)/12)+BF57</f>
        <v>30.89695368972902</v>
      </c>
      <c r="BH57" s="352">
        <f t="shared" ref="BH57" si="429">(((BG57*(1+($B$38*$B$4)))-BG57)/12)+BG57</f>
        <v>31.082335411867394</v>
      </c>
      <c r="BI57" s="352">
        <f t="shared" ref="BI57" si="430">(((BH57*(1+($B$38*$B$4)))-BH57)/12)+BH57</f>
        <v>31.268829424338598</v>
      </c>
      <c r="BJ57" s="352">
        <f t="shared" ref="BJ57" si="431">(((BI57*(1+($B$38*$B$4)))-BI57)/12)+BI57</f>
        <v>31.45644240088463</v>
      </c>
      <c r="BK57" s="352">
        <f t="shared" ref="BK57" si="432">(((BJ57*(1+($B$38*$B$4)))-BJ57)/12)+BJ57</f>
        <v>31.645181055289939</v>
      </c>
      <c r="BL57" s="352">
        <f t="shared" ref="BL57" si="433">(((BK57*(1+($B$38*$B$4)))-BK57)/12)+BK57</f>
        <v>31.835052141621677</v>
      </c>
      <c r="BM57" s="352">
        <f t="shared" ref="BM57" si="434">(((BL57*(1+($B$38*$B$4)))-BL57)/12)+BL57</f>
        <v>32.026062454471408</v>
      </c>
      <c r="BN57" s="352">
        <f t="shared" ref="BN57" si="435">(((BM57*(1+($B$38*$B$4)))-BM57)/12)+BM57</f>
        <v>32.218218829198236</v>
      </c>
      <c r="BO57" s="352">
        <f t="shared" ref="BO57" si="436">(((BN57*(1+($B$38*$B$4)))-BN57)/12)+BN57</f>
        <v>32.411528142173424</v>
      </c>
      <c r="BP57" s="352">
        <f t="shared" ref="BP57" si="437">(((BO57*(1+($B$38*$B$4)))-BO57)/12)+BO57</f>
        <v>32.605997311026464</v>
      </c>
      <c r="BQ57" s="352">
        <f t="shared" ref="BQ57" si="438">(((BP57*(1+($B$38*$B$4)))-BP57)/12)+BP57</f>
        <v>32.801633294892625</v>
      </c>
      <c r="BR57" s="352">
        <f t="shared" ref="BR57" si="439">(((BQ57*(1+($B$38*$B$4)))-BQ57)/12)+BQ57</f>
        <v>32.99844309466198</v>
      </c>
      <c r="BS57" s="353">
        <f t="shared" ref="BS57" si="440">(((BR57*(1+($B$39*$B$4)))-BR57)/12)+BR57</f>
        <v>33.196433753229954</v>
      </c>
      <c r="BT57" s="352">
        <f t="shared" ref="BT57" si="441">(((BS57*(1+($B$39*$B$4)))-BS57)/12)+BS57</f>
        <v>33.395612355749336</v>
      </c>
      <c r="BU57" s="352">
        <f t="shared" ref="BU57" si="442">(((BT57*(1+($B$39*$B$4)))-BT57)/12)+BT57</f>
        <v>33.595986029883832</v>
      </c>
      <c r="BV57" s="352">
        <f t="shared" ref="BV57" si="443">(((BU57*(1+($B$39*$B$4)))-BU57)/12)+BU57</f>
        <v>33.797561946063134</v>
      </c>
      <c r="BW57" s="352">
        <f t="shared" ref="BW57" si="444">(((BV57*(1+($B$39*$B$4)))-BV57)/12)+BV57</f>
        <v>34.000347317739511</v>
      </c>
      <c r="BX57" s="352">
        <f t="shared" ref="BX57" si="445">(((BW57*(1+($B$39*$B$4)))-BW57)/12)+BW57</f>
        <v>34.204349401645949</v>
      </c>
      <c r="BY57" s="352">
        <f t="shared" ref="BY57" si="446">(((BX57*(1+($B$39*$B$4)))-BX57)/12)+BX57</f>
        <v>34.409575498055823</v>
      </c>
      <c r="BZ57" s="352">
        <f t="shared" ref="BZ57" si="447">(((BY57*(1+($B$39*$B$4)))-BY57)/12)+BY57</f>
        <v>34.616032951044161</v>
      </c>
      <c r="CA57" s="352">
        <f t="shared" ref="CA57" si="448">(((BZ57*(1+($B$39*$B$4)))-BZ57)/12)+BZ57</f>
        <v>34.823729148750424</v>
      </c>
      <c r="CB57" s="352">
        <f t="shared" ref="CB57" si="449">(((CA57*(1+($B$39*$B$4)))-CA57)/12)+CA57</f>
        <v>35.032671523642925</v>
      </c>
      <c r="CC57" s="352">
        <f t="shared" ref="CC57" si="450">(((CB57*(1+($B$39*$B$4)))-CB57)/12)+CB57</f>
        <v>35.24286755278478</v>
      </c>
      <c r="CD57" s="352">
        <f t="shared" ref="CD57" si="451">(((CC57*(1+($B$39*$B$4)))-CC57)/12)+CC57</f>
        <v>35.454324758101492</v>
      </c>
      <c r="CE57" s="353">
        <f t="shared" ref="CE57" si="452">(((CD57*(1+($B$40*$B$4)))-CD57)/12)+CD57</f>
        <v>35.667050706650102</v>
      </c>
      <c r="CF57" s="352">
        <f t="shared" ref="CF57" si="453">(((CE57*(1+($B$40*$B$4)))-CE57)/12)+CE57</f>
        <v>35.88105301089</v>
      </c>
      <c r="CG57" s="352">
        <f t="shared" ref="CG57" si="454">(((CF57*(1+($B$40*$B$4)))-CF57)/12)+CF57</f>
        <v>36.096339328955338</v>
      </c>
      <c r="CH57" s="352">
        <f t="shared" ref="CH57" si="455">(((CG57*(1+($B$40*$B$4)))-CG57)/12)+CG57</f>
        <v>36.312917364929071</v>
      </c>
      <c r="CI57" s="352">
        <f t="shared" ref="CI57" si="456">(((CH57*(1+($B$40*$B$4)))-CH57)/12)+CH57</f>
        <v>36.530794869118644</v>
      </c>
      <c r="CJ57" s="352">
        <f t="shared" ref="CJ57" si="457">(((CI57*(1+($B$40*$B$4)))-CI57)/12)+CI57</f>
        <v>36.749979638333357</v>
      </c>
      <c r="CK57" s="352">
        <f t="shared" ref="CK57" si="458">(((CJ57*(1+($B$40*$B$4)))-CJ57)/12)+CJ57</f>
        <v>36.970479516163358</v>
      </c>
      <c r="CL57" s="352">
        <f t="shared" ref="CL57" si="459">(((CK57*(1+($B$40*$B$4)))-CK57)/12)+CK57</f>
        <v>37.192302393260341</v>
      </c>
      <c r="CM57" s="352">
        <f t="shared" ref="CM57" si="460">(((CL57*(1+($B$40*$B$4)))-CL57)/12)+CL57</f>
        <v>37.415456207619904</v>
      </c>
      <c r="CN57" s="352">
        <f t="shared" ref="CN57" si="461">(((CM57*(1+($B$40*$B$4)))-CM57)/12)+CM57</f>
        <v>37.639948944865623</v>
      </c>
      <c r="CO57" s="352">
        <f t="shared" ref="CO57" si="462">(((CN57*(1+($B$40*$B$4)))-CN57)/12)+CN57</f>
        <v>37.865788638534816</v>
      </c>
      <c r="CP57" s="352">
        <f t="shared" ref="CP57" si="463">(((CO57*(1+($B$40*$B$4)))-CO57)/12)+CO57</f>
        <v>38.092983370366028</v>
      </c>
      <c r="CQ57" s="353">
        <f t="shared" ref="CQ57" si="464">(((CP57*(1+($B$41*$B$4)))-CP57)/12)+CP57</f>
        <v>38.321541270588227</v>
      </c>
      <c r="CR57" s="352">
        <f t="shared" ref="CR57" si="465">(((CQ57*(1+($B$41*$B$4)))-CQ57)/12)+CQ57</f>
        <v>38.551470518211758</v>
      </c>
      <c r="CS57" s="352">
        <f t="shared" ref="CS57" si="466">(((CR57*(1+($B$41*$B$4)))-CR57)/12)+CR57</f>
        <v>38.782779341321032</v>
      </c>
      <c r="CT57" s="352">
        <f t="shared" ref="CT57" si="467">(((CS57*(1+($B$41*$B$4)))-CS57)/12)+CS57</f>
        <v>39.015476017368961</v>
      </c>
      <c r="CU57" s="352">
        <f t="shared" ref="CU57" si="468">(((CT57*(1+($B$41*$B$4)))-CT57)/12)+CT57</f>
        <v>39.249568873473173</v>
      </c>
      <c r="CV57" s="352">
        <f t="shared" ref="CV57" si="469">(((CU57*(1+($B$41*$B$4)))-CU57)/12)+CU57</f>
        <v>39.485066286714016</v>
      </c>
      <c r="CW57" s="352">
        <f t="shared" ref="CW57" si="470">(((CV57*(1+($B$41*$B$4)))-CV57)/12)+CV57</f>
        <v>39.721976684434303</v>
      </c>
      <c r="CX57" s="352">
        <f t="shared" ref="CX57" si="471">(((CW57*(1+($B$41*$B$4)))-CW57)/12)+CW57</f>
        <v>39.960308544540908</v>
      </c>
      <c r="CY57" s="352">
        <f t="shared" ref="CY57" si="472">(((CX57*(1+($B$41*$B$4)))-CX57)/12)+CX57</f>
        <v>40.200070395808154</v>
      </c>
      <c r="CZ57" s="352">
        <f t="shared" ref="CZ57" si="473">(((CY57*(1+($B$41*$B$4)))-CY57)/12)+CY57</f>
        <v>40.441270818183</v>
      </c>
      <c r="DA57" s="352">
        <f t="shared" ref="DA57" si="474">(((CZ57*(1+($B$41*$B$4)))-CZ57)/12)+CZ57</f>
        <v>40.683918443092097</v>
      </c>
      <c r="DB57" s="352">
        <f t="shared" ref="DB57" si="475">(((DA57*(1+($B$41*$B$4)))-DA57)/12)+DA57</f>
        <v>40.928021953750651</v>
      </c>
      <c r="DC57" s="353">
        <f t="shared" ref="DC57" si="476">(((DB57*(1+($B$42*$B$4)))-DB57)/12)+DB57</f>
        <v>41.173590085473158</v>
      </c>
      <c r="DD57" s="352">
        <f t="shared" ref="DD57" si="477">(((DC57*(1+($B$42*$B$4)))-DC57)/12)+DC57</f>
        <v>41.420631625985997</v>
      </c>
      <c r="DE57" s="352">
        <f t="shared" ref="DE57" si="478">(((DD57*(1+($B$42*$B$4)))-DD57)/12)+DD57</f>
        <v>41.669155415741912</v>
      </c>
      <c r="DF57" s="352">
        <f t="shared" ref="DF57" si="479">(((DE57*(1+($B$42*$B$4)))-DE57)/12)+DE57</f>
        <v>41.919170348236364</v>
      </c>
      <c r="DG57" s="352">
        <f t="shared" ref="DG57" si="480">(((DF57*(1+($B$42*$B$4)))-DF57)/12)+DF57</f>
        <v>42.170685370325785</v>
      </c>
      <c r="DH57" s="352">
        <f t="shared" ref="DH57" si="481">(((DG57*(1+($B$42*$B$4)))-DG57)/12)+DG57</f>
        <v>42.423709482547743</v>
      </c>
      <c r="DI57" s="352">
        <f t="shared" ref="DI57" si="482">(((DH57*(1+($B$42*$B$4)))-DH57)/12)+DH57</f>
        <v>42.678251739443027</v>
      </c>
      <c r="DJ57" s="352">
        <f t="shared" ref="DJ57" si="483">(((DI57*(1+($B$42*$B$4)))-DI57)/12)+DI57</f>
        <v>42.934321249879687</v>
      </c>
      <c r="DK57" s="352">
        <f t="shared" ref="DK57" si="484">(((DJ57*(1+($B$42*$B$4)))-DJ57)/12)+DJ57</f>
        <v>43.191927177378965</v>
      </c>
      <c r="DL57" s="352">
        <f t="shared" ref="DL57" si="485">(((DK57*(1+($B$42*$B$4)))-DK57)/12)+DK57</f>
        <v>43.451078740443236</v>
      </c>
      <c r="DM57" s="352">
        <f t="shared" ref="DM57" si="486">(((DL57*(1+($B$42*$B$4)))-DL57)/12)+DL57</f>
        <v>43.711785212885893</v>
      </c>
      <c r="DN57" s="352">
        <f t="shared" ref="DN57" si="487">(((DM57*(1+($B$42*$B$4)))-DM57)/12)+DM57</f>
        <v>43.97405592416321</v>
      </c>
      <c r="DO57" s="353">
        <f t="shared" ref="DO57" si="488">(((DN57*(1+($B$43*$B$4)))-DN57)/12)+DN57</f>
        <v>44.237900259708191</v>
      </c>
      <c r="DP57" s="352">
        <f t="shared" ref="DP57" si="489">(((DO57*(1+($B$43*$B$4)))-DO57)/12)+DO57</f>
        <v>44.503327661266439</v>
      </c>
      <c r="DQ57" s="352">
        <f t="shared" ref="DQ57" si="490">(((DP57*(1+($B$43*$B$4)))-DP57)/12)+DP57</f>
        <v>44.770347627234038</v>
      </c>
      <c r="DR57" s="352">
        <f t="shared" ref="DR57" si="491">(((DQ57*(1+($B$43*$B$4)))-DQ57)/12)+DQ57</f>
        <v>45.038969712997442</v>
      </c>
      <c r="DS57" s="352">
        <f t="shared" ref="DS57" si="492">(((DR57*(1+($B$43*$B$4)))-DR57)/12)+DR57</f>
        <v>45.309203531275429</v>
      </c>
      <c r="DT57" s="352">
        <f t="shared" ref="DT57" si="493">(((DS57*(1+($B$43*$B$4)))-DS57)/12)+DS57</f>
        <v>45.581058752463079</v>
      </c>
      <c r="DU57" s="352">
        <f t="shared" ref="DU57" si="494">(((DT57*(1+($B$43*$B$4)))-DT57)/12)+DT57</f>
        <v>45.854545104977859</v>
      </c>
      <c r="DV57" s="352">
        <f t="shared" ref="DV57" si="495">(((DU57*(1+($B$43*$B$4)))-DU57)/12)+DU57</f>
        <v>46.129672375607726</v>
      </c>
      <c r="DW57" s="352">
        <f t="shared" ref="DW57" si="496">(((DV57*(1+($B$43*$B$4)))-DV57)/12)+DV57</f>
        <v>46.406450409861371</v>
      </c>
      <c r="DX57" s="352">
        <f t="shared" ref="DX57" si="497">(((DW57*(1+($B$43*$B$4)))-DW57)/12)+DW57</f>
        <v>46.684889112320541</v>
      </c>
      <c r="DY57" s="352">
        <f t="shared" ref="DY57" si="498">(((DX57*(1+($B$43*$B$4)))-DX57)/12)+DX57</f>
        <v>46.964998446994464</v>
      </c>
      <c r="DZ57" s="352">
        <f t="shared" ref="DZ57" si="499">(((DY57*(1+($B$43*$B$4)))-DY57)/12)+DY57</f>
        <v>47.246788437676429</v>
      </c>
      <c r="EA57" s="353">
        <f>(((DZ57*(1+($B$44*$B$4)))-DZ57)/12)+DZ57</f>
        <v>47.530269168302489</v>
      </c>
      <c r="EB57" s="352">
        <f>(((EA57*(1+($B$44*$B$4)))-EA57)/12)+EA57</f>
        <v>47.815450783312301</v>
      </c>
      <c r="EC57" s="352">
        <f>(((EB57*(1+($B$44*$B$4)))-EB57)/12)+EB57</f>
        <v>48.102343488012174</v>
      </c>
      <c r="ED57" s="354">
        <f>(((EC57*(1+($B$44*$B$4)))-EC57)/12)+EC57</f>
        <v>48.39095754894025</v>
      </c>
    </row>
    <row r="58" spans="1:134" ht="18.75" outlineLevel="1" x14ac:dyDescent="0.25">
      <c r="C58" s="736"/>
      <c r="D58" s="748" t="s">
        <v>230</v>
      </c>
      <c r="E58" s="714"/>
      <c r="F58" s="714"/>
      <c r="G58" s="714"/>
      <c r="H58" s="714"/>
      <c r="I58" s="714"/>
      <c r="J58" s="714"/>
      <c r="K58" s="714"/>
      <c r="L58" s="749"/>
      <c r="M58" s="151"/>
      <c r="N58" s="576">
        <f>'AM Benches Data'!AG4</f>
        <v>726</v>
      </c>
      <c r="O58" s="577">
        <f>'AM Benches Data'!AH4</f>
        <v>785</v>
      </c>
      <c r="P58" s="541">
        <f>'AM Benches Data'!AI4</f>
        <v>764</v>
      </c>
      <c r="Q58" s="152"/>
      <c r="R58" s="161"/>
      <c r="S58" s="540"/>
      <c r="T58" s="540"/>
      <c r="U58" s="151"/>
      <c r="V58" s="318">
        <f>ROUNDUP((ROUNDUP(N57,0))+((ROUNDUP(N57,0))/7),0)</f>
        <v>29</v>
      </c>
      <c r="W58" s="541">
        <f>ROUNDUP(W57,0)+(W57/7)</f>
        <v>28.481546218487395</v>
      </c>
      <c r="X58" s="541">
        <f t="shared" ref="X58" si="500">ROUNDUP(X57,0)+(X57/7)</f>
        <v>28.481546218487395</v>
      </c>
      <c r="Y58" s="541">
        <f t="shared" ref="Y58" si="501">ROUNDUP(Y57,0)+(Y57/7)</f>
        <v>28.481546218487395</v>
      </c>
      <c r="Z58" s="541">
        <f t="shared" ref="Z58" si="502">ROUNDUP(Z57,0)+(Z57/7)</f>
        <v>29.588571428571427</v>
      </c>
      <c r="AA58" s="541">
        <f t="shared" ref="AA58" si="503">ROUNDUP(AA57,0)+(AA57/7)</f>
        <v>29.588571428571427</v>
      </c>
      <c r="AB58" s="541">
        <f t="shared" ref="AB58" si="504">ROUNDUP(AB57,0)+(AB57/7)</f>
        <v>29.588571428571427</v>
      </c>
      <c r="AC58" s="541">
        <f t="shared" ref="AC58" si="505">ROUNDUP(AC57,0)+(AC57/7)</f>
        <v>30.800739495798322</v>
      </c>
      <c r="AD58" s="541">
        <f t="shared" ref="AD58" si="506">ROUNDUP(AD57,0)+(AD57/7)</f>
        <v>30.800739495798322</v>
      </c>
      <c r="AE58" s="541">
        <f t="shared" ref="AE58" si="507">ROUNDUP(AE57,0)+(AE57/7)</f>
        <v>30.800739495798322</v>
      </c>
      <c r="AF58" s="541">
        <f t="shared" ref="AF58" si="508">ROUNDUP(AF57,0)+(AF57/7)</f>
        <v>30.800739495798322</v>
      </c>
      <c r="AG58" s="541">
        <f t="shared" ref="AG58" si="509">ROUNDUP(AG57,0)+(AG57/7)</f>
        <v>30.800739495798322</v>
      </c>
      <c r="AH58" s="541">
        <f t="shared" ref="AH58" si="510">ROUNDUP(AH57,0)+(AH57/7)</f>
        <v>30.800739495798322</v>
      </c>
      <c r="AI58" s="541">
        <f t="shared" ref="AI58" si="511">ROUNDUP(AI57,0)+(AI57/7)</f>
        <v>30.823543932773109</v>
      </c>
      <c r="AJ58" s="541">
        <f t="shared" ref="AJ58" si="512">ROUNDUP(AJ57,0)+(AJ57/7)</f>
        <v>30.846485196369748</v>
      </c>
      <c r="AK58" s="541">
        <f t="shared" ref="AK58" si="513">ROUNDUP(AK57,0)+(AK57/7)</f>
        <v>31.869564107547966</v>
      </c>
      <c r="AL58" s="541">
        <f t="shared" ref="AL58" si="514">ROUNDUP(AL57,0)+(AL57/7)</f>
        <v>31.892781492193254</v>
      </c>
      <c r="AM58" s="541">
        <f t="shared" ref="AM58" si="515">ROUNDUP(AM57,0)+(AM57/7)</f>
        <v>31.916138181146415</v>
      </c>
      <c r="AN58" s="541">
        <f t="shared" ref="AN58" si="516">ROUNDUP(AN57,0)+(AN57/7)</f>
        <v>31.939635010233292</v>
      </c>
      <c r="AO58" s="541">
        <f t="shared" ref="AO58" si="517">ROUNDUP(AO57,0)+(AO57/7)</f>
        <v>31.963272820294691</v>
      </c>
      <c r="AP58" s="541">
        <f t="shared" ref="AP58" si="518">ROUNDUP(AP57,0)+(AP57/7)</f>
        <v>31.987052457216461</v>
      </c>
      <c r="AQ58" s="541">
        <f t="shared" ref="AQ58" si="519">ROUNDUP(AQ57,0)+(AQ57/7)</f>
        <v>33.010974771959759</v>
      </c>
      <c r="AR58" s="541">
        <f t="shared" ref="AR58" si="520">ROUNDUP(AR57,0)+(AR57/7)</f>
        <v>33.035040620591516</v>
      </c>
      <c r="AS58" s="541">
        <f t="shared" ref="AS58" si="521">ROUNDUP(AS57,0)+(AS57/7)</f>
        <v>33.059250864315068</v>
      </c>
      <c r="AT58" s="541">
        <f t="shared" ref="AT58" si="522">ROUNDUP(AT57,0)+(AT57/7)</f>
        <v>33.083606369500956</v>
      </c>
      <c r="AU58" s="541">
        <f t="shared" ref="AU58" si="523">ROUNDUP(AU57,0)+(AU57/7)</f>
        <v>33.108108007717959</v>
      </c>
      <c r="AV58" s="541">
        <f t="shared" ref="AV58" si="524">ROUNDUP(AV57,0)+(AV57/7)</f>
        <v>33.132756655764268</v>
      </c>
      <c r="AW58" s="541">
        <f t="shared" ref="AW58" si="525">ROUNDUP(AW57,0)+(AW57/7)</f>
        <v>34.157553195698853</v>
      </c>
      <c r="AX58" s="541">
        <f t="shared" ref="AX58" si="526">ROUNDUP(AX57,0)+(AX57/7)</f>
        <v>34.182498514873046</v>
      </c>
      <c r="AY58" s="541">
        <f t="shared" ref="AY58" si="527">ROUNDUP(AY57,0)+(AY57/7)</f>
        <v>34.207593505962286</v>
      </c>
      <c r="AZ58" s="541">
        <f t="shared" ref="AZ58" si="528">ROUNDUP(AZ57,0)+(AZ57/7)</f>
        <v>34.232839066998061</v>
      </c>
      <c r="BA58" s="541">
        <f t="shared" ref="BA58" si="529">ROUNDUP(BA57,0)+(BA57/7)</f>
        <v>34.258236101400051</v>
      </c>
      <c r="BB58" s="541">
        <f t="shared" ref="BB58" si="530">ROUNDUP(BB57,0)+(BB57/7)</f>
        <v>34.28378551800845</v>
      </c>
      <c r="BC58" s="541">
        <f t="shared" ref="BC58" si="531">ROUNDUP(BC57,0)+(BC57/7)</f>
        <v>35.309488231116504</v>
      </c>
      <c r="BD58" s="541">
        <f t="shared" ref="BD58" si="532">ROUNDUP(BD57,0)+(BD57/7)</f>
        <v>35.335345160503202</v>
      </c>
      <c r="BE58" s="541">
        <f t="shared" ref="BE58" si="533">ROUNDUP(BE57,0)+(BE57/7)</f>
        <v>35.361357231466215</v>
      </c>
      <c r="BF58" s="541">
        <f t="shared" ref="BF58" si="534">ROUNDUP(BF57,0)+(BF57/7)</f>
        <v>35.387525374855016</v>
      </c>
      <c r="BG58" s="541">
        <f t="shared" ref="BG58" si="535">ROUNDUP(BG57,0)+(BG57/7)</f>
        <v>35.413850527104145</v>
      </c>
      <c r="BH58" s="541">
        <f t="shared" ref="BH58" si="536">ROUNDUP(BH57,0)+(BH57/7)</f>
        <v>36.440333630266771</v>
      </c>
      <c r="BI58" s="541">
        <f t="shared" ref="BI58" si="537">ROUNDUP(BI57,0)+(BI57/7)</f>
        <v>36.466975632048374</v>
      </c>
      <c r="BJ58" s="541">
        <f t="shared" ref="BJ58" si="538">ROUNDUP(BJ57,0)+(BJ57/7)</f>
        <v>36.49377748584066</v>
      </c>
      <c r="BK58" s="541">
        <f t="shared" ref="BK58" si="539">ROUNDUP(BK57,0)+(BK57/7)</f>
        <v>36.520740150755707</v>
      </c>
      <c r="BL58" s="541">
        <f t="shared" ref="BL58" si="540">ROUNDUP(BL57,0)+(BL57/7)</f>
        <v>36.547864591660243</v>
      </c>
      <c r="BM58" s="541">
        <f t="shared" ref="BM58" si="541">ROUNDUP(BM57,0)+(BM57/7)</f>
        <v>37.575151779210202</v>
      </c>
      <c r="BN58" s="541">
        <f t="shared" ref="BN58" si="542">ROUNDUP(BN57,0)+(BN57/7)</f>
        <v>37.602602689885465</v>
      </c>
      <c r="BO58" s="541">
        <f t="shared" ref="BO58" si="543">ROUNDUP(BO57,0)+(BO57/7)</f>
        <v>37.630218306024773</v>
      </c>
      <c r="BP58" s="541">
        <f t="shared" ref="BP58" si="544">ROUNDUP(BP57,0)+(BP57/7)</f>
        <v>37.657999615860923</v>
      </c>
      <c r="BQ58" s="541">
        <f t="shared" ref="BQ58" si="545">ROUNDUP(BQ57,0)+(BQ57/7)</f>
        <v>37.685947613556088</v>
      </c>
      <c r="BR58" s="541">
        <f t="shared" ref="BR58" si="546">ROUNDUP(BR57,0)+(BR57/7)</f>
        <v>37.714063299237424</v>
      </c>
      <c r="BS58" s="541">
        <f t="shared" ref="BS58" si="547">ROUNDUP(BS57,0)+(BS57/7)</f>
        <v>38.742347679032854</v>
      </c>
      <c r="BT58" s="541">
        <f t="shared" ref="BT58" si="548">ROUNDUP(BT57,0)+(BT57/7)</f>
        <v>38.770801765107045</v>
      </c>
      <c r="BU58" s="541">
        <f t="shared" ref="BU58" si="549">ROUNDUP(BU57,0)+(BU57/7)</f>
        <v>38.799426575697687</v>
      </c>
      <c r="BV58" s="541">
        <f t="shared" ref="BV58" si="550">ROUNDUP(BV57,0)+(BV57/7)</f>
        <v>38.828223135151873</v>
      </c>
      <c r="BW58" s="541">
        <f t="shared" ref="BW58" si="551">ROUNDUP(BW57,0)+(BW57/7)</f>
        <v>39.85719247396279</v>
      </c>
      <c r="BX58" s="541">
        <f t="shared" ref="BX58" si="552">ROUNDUP(BX57,0)+(BX57/7)</f>
        <v>39.886335628806563</v>
      </c>
      <c r="BY58" s="541">
        <f t="shared" ref="BY58" si="553">ROUNDUP(BY57,0)+(BY57/7)</f>
        <v>39.9156536425794</v>
      </c>
      <c r="BZ58" s="541">
        <f t="shared" ref="BZ58" si="554">ROUNDUP(BZ57,0)+(BZ57/7)</f>
        <v>39.945147564434883</v>
      </c>
      <c r="CA58" s="541">
        <f t="shared" ref="CA58" si="555">ROUNDUP(CA57,0)+(CA57/7)</f>
        <v>39.974818449821491</v>
      </c>
      <c r="CB58" s="541">
        <f t="shared" ref="CB58" si="556">ROUNDUP(CB57,0)+(CB57/7)</f>
        <v>41.004667360520415</v>
      </c>
      <c r="CC58" s="541">
        <f t="shared" ref="CC58" si="557">ROUNDUP(CC57,0)+(CC57/7)</f>
        <v>41.034695364683543</v>
      </c>
      <c r="CD58" s="541">
        <f t="shared" ref="CD58" si="558">ROUNDUP(CD57,0)+(CD57/7)</f>
        <v>41.06490353687164</v>
      </c>
      <c r="CE58" s="541">
        <f t="shared" ref="CE58" si="559">ROUNDUP(CE57,0)+(CE57/7)</f>
        <v>41.09529295809287</v>
      </c>
      <c r="CF58" s="541">
        <f t="shared" ref="CF58" si="560">ROUNDUP(CF57,0)+(CF57/7)</f>
        <v>41.125864715841431</v>
      </c>
      <c r="CG58" s="541">
        <f t="shared" ref="CG58" si="561">ROUNDUP(CG57,0)+(CG57/7)</f>
        <v>42.156619904136477</v>
      </c>
      <c r="CH58" s="541">
        <f t="shared" ref="CH58" si="562">ROUNDUP(CH57,0)+(CH57/7)</f>
        <v>42.187559623561299</v>
      </c>
      <c r="CI58" s="541">
        <f t="shared" ref="CI58" si="563">ROUNDUP(CI57,0)+(CI57/7)</f>
        <v>42.218684981302665</v>
      </c>
      <c r="CJ58" s="541">
        <f t="shared" ref="CJ58" si="564">ROUNDUP(CJ57,0)+(CJ57/7)</f>
        <v>42.24999709119048</v>
      </c>
      <c r="CK58" s="541">
        <f t="shared" ref="CK58" si="565">ROUNDUP(CK57,0)+(CK57/7)</f>
        <v>42.281497073737626</v>
      </c>
      <c r="CL58" s="541">
        <f t="shared" ref="CL58" si="566">ROUNDUP(CL57,0)+(CL57/7)</f>
        <v>43.313186056180051</v>
      </c>
      <c r="CM58" s="541">
        <f t="shared" ref="CM58" si="567">ROUNDUP(CM57,0)+(CM57/7)</f>
        <v>43.345065172517131</v>
      </c>
      <c r="CN58" s="541">
        <f t="shared" ref="CN58" si="568">ROUNDUP(CN57,0)+(CN57/7)</f>
        <v>43.37713556355223</v>
      </c>
      <c r="CO58" s="541">
        <f t="shared" ref="CO58" si="569">ROUNDUP(CO57,0)+(CO57/7)</f>
        <v>43.409398376933545</v>
      </c>
      <c r="CP58" s="541">
        <f t="shared" ref="CP58" si="570">ROUNDUP(CP57,0)+(CP57/7)</f>
        <v>44.441854767195146</v>
      </c>
      <c r="CQ58" s="541">
        <f t="shared" ref="CQ58" si="571">ROUNDUP(CQ57,0)+(CQ57/7)</f>
        <v>44.474505895798316</v>
      </c>
      <c r="CR58" s="541">
        <f t="shared" ref="CR58" si="572">ROUNDUP(CR57,0)+(CR57/7)</f>
        <v>44.507352931173109</v>
      </c>
      <c r="CS58" s="541">
        <f t="shared" ref="CS58" si="573">ROUNDUP(CS57,0)+(CS57/7)</f>
        <v>44.540397048760148</v>
      </c>
      <c r="CT58" s="541">
        <f t="shared" ref="CT58" si="574">ROUNDUP(CT57,0)+(CT57/7)</f>
        <v>45.573639431052712</v>
      </c>
      <c r="CU58" s="541">
        <f t="shared" ref="CU58" si="575">ROUNDUP(CU57,0)+(CU57/7)</f>
        <v>45.607081267639025</v>
      </c>
      <c r="CV58" s="541">
        <f t="shared" ref="CV58" si="576">ROUNDUP(CV57,0)+(CV57/7)</f>
        <v>45.640723755244856</v>
      </c>
      <c r="CW58" s="541">
        <f t="shared" ref="CW58" si="577">ROUNDUP(CW57,0)+(CW57/7)</f>
        <v>45.67456809777633</v>
      </c>
      <c r="CX58" s="541">
        <f t="shared" ref="CX58" si="578">ROUNDUP(CX57,0)+(CX57/7)</f>
        <v>45.708615506362989</v>
      </c>
      <c r="CY58" s="541">
        <f t="shared" ref="CY58" si="579">ROUNDUP(CY57,0)+(CY57/7)</f>
        <v>46.742867199401168</v>
      </c>
      <c r="CZ58" s="541">
        <f t="shared" ref="CZ58" si="580">ROUNDUP(CZ57,0)+(CZ57/7)</f>
        <v>46.777324402597571</v>
      </c>
      <c r="DA58" s="541">
        <f t="shared" ref="DA58" si="581">ROUNDUP(DA57,0)+(DA57/7)</f>
        <v>46.811988349013156</v>
      </c>
      <c r="DB58" s="541">
        <f t="shared" ref="DB58" si="582">ROUNDUP(DB57,0)+(DB57/7)</f>
        <v>46.846860279107233</v>
      </c>
      <c r="DC58" s="541">
        <f t="shared" ref="DC58" si="583">ROUNDUP(DC57,0)+(DC57/7)</f>
        <v>47.88194144078188</v>
      </c>
      <c r="DD58" s="541">
        <f t="shared" ref="DD58" si="584">ROUNDUP(DD57,0)+(DD57/7)</f>
        <v>47.917233089426574</v>
      </c>
      <c r="DE58" s="541">
        <f t="shared" ref="DE58" si="585">ROUNDUP(DE57,0)+(DE57/7)</f>
        <v>47.952736487963129</v>
      </c>
      <c r="DF58" s="541">
        <f t="shared" ref="DF58" si="586">ROUNDUP(DF57,0)+(DF57/7)</f>
        <v>47.988452906890906</v>
      </c>
      <c r="DG58" s="541">
        <f t="shared" ref="DG58" si="587">ROUNDUP(DG57,0)+(DG57/7)</f>
        <v>49.024383624332252</v>
      </c>
      <c r="DH58" s="541">
        <f t="shared" ref="DH58" si="588">ROUNDUP(DH57,0)+(DH57/7)</f>
        <v>49.060529926078246</v>
      </c>
      <c r="DI58" s="541">
        <f t="shared" ref="DI58" si="589">ROUNDUP(DI57,0)+(DI57/7)</f>
        <v>49.09689310563472</v>
      </c>
      <c r="DJ58" s="541">
        <f t="shared" ref="DJ58" si="590">ROUNDUP(DJ57,0)+(DJ57/7)</f>
        <v>49.133474464268524</v>
      </c>
      <c r="DK58" s="541">
        <f t="shared" ref="DK58" si="591">ROUNDUP(DK57,0)+(DK57/7)</f>
        <v>50.170275311054141</v>
      </c>
      <c r="DL58" s="541">
        <f t="shared" ref="DL58" si="592">ROUNDUP(DL57,0)+(DL57/7)</f>
        <v>50.207296962920459</v>
      </c>
      <c r="DM58" s="541">
        <f t="shared" ref="DM58" si="593">ROUNDUP(DM57,0)+(DM57/7)</f>
        <v>50.244540744697986</v>
      </c>
      <c r="DN58" s="541">
        <f t="shared" ref="DN58" si="594">ROUNDUP(DN57,0)+(DN57/7)</f>
        <v>50.282007989166175</v>
      </c>
      <c r="DO58" s="541">
        <f t="shared" ref="DO58" si="595">ROUNDUP(DO57,0)+(DO57/7)</f>
        <v>51.319700037101171</v>
      </c>
      <c r="DP58" s="541">
        <f t="shared" ref="DP58" si="596">ROUNDUP(DP57,0)+(DP57/7)</f>
        <v>51.357618237323777</v>
      </c>
      <c r="DQ58" s="541">
        <f t="shared" ref="DQ58" si="597">ROUNDUP(DQ57,0)+(DQ57/7)</f>
        <v>51.395763946747721</v>
      </c>
      <c r="DR58" s="541">
        <f t="shared" ref="DR58" si="598">ROUNDUP(DR57,0)+(DR57/7)</f>
        <v>52.434138530428207</v>
      </c>
      <c r="DS58" s="541">
        <f t="shared" ref="DS58" si="599">ROUNDUP(DS57,0)+(DS57/7)</f>
        <v>52.472743361610775</v>
      </c>
      <c r="DT58" s="541">
        <f t="shared" ref="DT58" si="600">ROUNDUP(DT57,0)+(DT57/7)</f>
        <v>52.511579821780437</v>
      </c>
      <c r="DU58" s="541">
        <f t="shared" ref="DU58" si="601">ROUNDUP(DU57,0)+(DU57/7)</f>
        <v>52.550649300711122</v>
      </c>
      <c r="DV58" s="541">
        <f t="shared" ref="DV58" si="602">ROUNDUP(DV57,0)+(DV57/7)</f>
        <v>53.589953196515388</v>
      </c>
      <c r="DW58" s="541">
        <f t="shared" ref="DW58" si="603">ROUNDUP(DW57,0)+(DW57/7)</f>
        <v>53.629492915694485</v>
      </c>
      <c r="DX58" s="541">
        <f t="shared" ref="DX58" si="604">ROUNDUP(DX57,0)+(DX57/7)</f>
        <v>53.669269873188647</v>
      </c>
      <c r="DY58" s="541">
        <f t="shared" ref="DY58" si="605">ROUNDUP(DY57,0)+(DY57/7)</f>
        <v>53.709285492427782</v>
      </c>
      <c r="DZ58" s="541">
        <f t="shared" ref="DZ58" si="606">ROUNDUP(DZ57,0)+(DZ57/7)</f>
        <v>54.74954120538235</v>
      </c>
      <c r="EA58" s="541">
        <f t="shared" ref="EA58" si="607">ROUNDUP(EA57,0)+(EA57/7)</f>
        <v>54.790038452614638</v>
      </c>
      <c r="EB58" s="541">
        <f t="shared" ref="EB58" si="608">ROUNDUP(EB57,0)+(EB57/7)</f>
        <v>54.83077868333033</v>
      </c>
      <c r="EC58" s="541">
        <f t="shared" ref="EC58" si="609">ROUNDUP(EC57,0)+(EC57/7)</f>
        <v>55.871763355430311</v>
      </c>
      <c r="ED58" s="541">
        <f t="shared" ref="ED58" si="610">ROUNDUP(ED57,0)+(ED57/7)</f>
        <v>55.912993935562895</v>
      </c>
    </row>
    <row r="59" spans="1:134" ht="18.75" outlineLevel="1" x14ac:dyDescent="0.3">
      <c r="B59" s="82"/>
      <c r="C59" s="736"/>
      <c r="D59" s="761" t="s">
        <v>231</v>
      </c>
      <c r="E59" s="762"/>
      <c r="F59" s="762"/>
      <c r="G59" s="762"/>
      <c r="H59" s="762"/>
      <c r="I59" s="762"/>
      <c r="J59" s="762"/>
      <c r="K59" s="762"/>
      <c r="L59" s="763"/>
      <c r="M59" s="364"/>
      <c r="N59" s="603">
        <f>'AM Benches Data'!AG4*('AM Benches Data'!AD4/100)</f>
        <v>776.82</v>
      </c>
      <c r="O59" s="604"/>
      <c r="P59" s="605"/>
      <c r="Q59" s="149"/>
      <c r="R59" s="160"/>
      <c r="S59" s="704" t="s">
        <v>232</v>
      </c>
      <c r="T59" s="705"/>
      <c r="U59" s="364"/>
      <c r="V59" s="63"/>
      <c r="W59" s="483"/>
      <c r="X59" s="483"/>
      <c r="Y59" s="483"/>
      <c r="Z59" s="483"/>
      <c r="AA59" s="483"/>
      <c r="AB59" s="483"/>
      <c r="AC59" s="483"/>
      <c r="AD59" s="483"/>
      <c r="AE59" s="483"/>
      <c r="AF59" s="483"/>
      <c r="AG59" s="483"/>
      <c r="AH59" s="483"/>
      <c r="AI59" s="483"/>
      <c r="AJ59" s="483"/>
      <c r="AK59" s="483"/>
      <c r="AL59" s="483"/>
      <c r="AM59" s="483"/>
      <c r="AN59" s="483"/>
      <c r="AO59" s="483"/>
      <c r="AP59" s="483"/>
      <c r="AQ59" s="483"/>
      <c r="AR59" s="483"/>
      <c r="AS59" s="483"/>
      <c r="AT59" s="483"/>
      <c r="AU59" s="483"/>
      <c r="AV59" s="483"/>
      <c r="AW59" s="483"/>
      <c r="AX59" s="483"/>
      <c r="AY59" s="483"/>
      <c r="AZ59" s="483"/>
      <c r="BA59" s="483"/>
      <c r="BB59" s="483"/>
      <c r="BC59" s="483"/>
      <c r="BD59" s="483"/>
      <c r="BE59" s="483"/>
      <c r="BF59" s="483"/>
      <c r="BG59" s="483"/>
      <c r="BH59" s="483"/>
      <c r="BI59" s="483"/>
      <c r="BJ59" s="483"/>
      <c r="BK59" s="483"/>
      <c r="BL59" s="483"/>
      <c r="BM59" s="483"/>
      <c r="BN59" s="483"/>
      <c r="BO59" s="483"/>
      <c r="BP59" s="483"/>
      <c r="BQ59" s="483"/>
      <c r="BR59" s="483"/>
      <c r="BS59" s="483"/>
      <c r="BT59" s="483"/>
      <c r="BU59" s="483"/>
      <c r="BV59" s="483"/>
      <c r="BW59" s="483"/>
      <c r="BX59" s="483"/>
      <c r="BY59" s="483"/>
      <c r="BZ59" s="483"/>
      <c r="CA59" s="483"/>
      <c r="CB59" s="483"/>
      <c r="CC59" s="483"/>
      <c r="CD59" s="483"/>
      <c r="CE59" s="483"/>
      <c r="CF59" s="483"/>
      <c r="CG59" s="483"/>
      <c r="CH59" s="483"/>
      <c r="CI59" s="483"/>
      <c r="CJ59" s="483"/>
      <c r="CK59" s="483"/>
      <c r="CL59" s="483"/>
      <c r="CM59" s="483"/>
      <c r="CN59" s="483"/>
      <c r="CO59" s="483"/>
      <c r="CP59" s="483"/>
      <c r="CQ59" s="483"/>
      <c r="CR59" s="483"/>
      <c r="CS59" s="483"/>
      <c r="CT59" s="483"/>
      <c r="CU59" s="483"/>
      <c r="CV59" s="483"/>
      <c r="CW59" s="483"/>
      <c r="CX59" s="483"/>
      <c r="CY59" s="483"/>
      <c r="CZ59" s="483"/>
      <c r="DA59" s="483"/>
      <c r="DB59" s="483"/>
      <c r="DC59" s="483"/>
      <c r="DD59" s="483"/>
      <c r="DE59" s="483"/>
      <c r="DF59" s="483"/>
      <c r="DG59" s="483"/>
      <c r="DH59" s="483"/>
      <c r="DI59" s="483"/>
      <c r="DJ59" s="483"/>
      <c r="DK59" s="483"/>
      <c r="DL59" s="483"/>
      <c r="DM59" s="483"/>
      <c r="DN59" s="483"/>
      <c r="DO59" s="483"/>
      <c r="DP59" s="483"/>
      <c r="DQ59" s="483"/>
      <c r="DR59" s="483"/>
      <c r="DS59" s="483"/>
      <c r="DT59" s="483"/>
      <c r="DU59" s="483"/>
      <c r="DV59" s="483"/>
      <c r="DW59" s="483"/>
      <c r="DX59" s="483"/>
      <c r="DY59" s="483"/>
      <c r="DZ59" s="483"/>
      <c r="EA59" s="483"/>
      <c r="EB59" s="483"/>
      <c r="EC59" s="483"/>
      <c r="ED59" s="483"/>
    </row>
    <row r="60" spans="1:134" ht="18.75" outlineLevel="1" x14ac:dyDescent="0.3">
      <c r="B60" s="82"/>
      <c r="C60" s="736"/>
      <c r="D60" s="595" t="s">
        <v>233</v>
      </c>
      <c r="E60" s="541"/>
      <c r="F60" s="541"/>
      <c r="G60" s="541"/>
      <c r="H60" s="541"/>
      <c r="I60" s="541"/>
      <c r="J60" s="541"/>
      <c r="K60" s="541"/>
      <c r="L60" s="541"/>
      <c r="M60" s="541"/>
      <c r="N60" s="606">
        <f>N57/$T$60</f>
        <v>0.52980051150895147</v>
      </c>
      <c r="O60" s="607">
        <f t="shared" ref="O60:P60" si="611">O57/$T$60</f>
        <v>0.54608695652173911</v>
      </c>
      <c r="P60" s="607">
        <f t="shared" si="611"/>
        <v>0.57837340153452699</v>
      </c>
      <c r="Q60" s="586"/>
      <c r="R60" s="587"/>
      <c r="S60" s="152"/>
      <c r="T60" s="157">
        <f>(S49*T49)+(S51*T51)+(S55*T55)</f>
        <v>46</v>
      </c>
      <c r="U60" s="364"/>
      <c r="V60" s="63"/>
      <c r="W60" s="483"/>
      <c r="X60" s="483"/>
      <c r="Y60" s="483"/>
      <c r="Z60" s="483"/>
      <c r="AA60" s="483"/>
      <c r="AB60" s="483"/>
      <c r="AC60" s="483"/>
      <c r="AD60" s="483"/>
      <c r="AE60" s="483"/>
      <c r="AF60" s="483"/>
      <c r="AG60" s="483"/>
      <c r="AH60" s="483"/>
      <c r="AI60" s="483"/>
      <c r="AJ60" s="483"/>
      <c r="AK60" s="483"/>
      <c r="AL60" s="483"/>
      <c r="AM60" s="483"/>
      <c r="AN60" s="483"/>
      <c r="AO60" s="483"/>
      <c r="AP60" s="483"/>
      <c r="AQ60" s="483"/>
      <c r="AR60" s="483"/>
      <c r="AS60" s="483"/>
      <c r="AT60" s="483"/>
      <c r="AU60" s="483"/>
      <c r="AV60" s="483"/>
      <c r="AW60" s="483"/>
      <c r="AX60" s="483"/>
      <c r="AY60" s="483"/>
      <c r="AZ60" s="483"/>
      <c r="BA60" s="483"/>
      <c r="BB60" s="483"/>
      <c r="BC60" s="483"/>
      <c r="BD60" s="483"/>
      <c r="BE60" s="483"/>
      <c r="BF60" s="483"/>
      <c r="BG60" s="483"/>
      <c r="BH60" s="483"/>
      <c r="BI60" s="483"/>
      <c r="BJ60" s="483"/>
      <c r="BK60" s="483"/>
      <c r="BL60" s="483"/>
      <c r="BM60" s="483"/>
      <c r="BN60" s="483"/>
      <c r="BO60" s="483"/>
      <c r="BP60" s="483"/>
      <c r="BQ60" s="483"/>
      <c r="BR60" s="483"/>
      <c r="BS60" s="483"/>
      <c r="BT60" s="483"/>
      <c r="BU60" s="483"/>
      <c r="BV60" s="483"/>
      <c r="BW60" s="483"/>
      <c r="BX60" s="483"/>
      <c r="BY60" s="483"/>
      <c r="BZ60" s="483"/>
      <c r="CA60" s="483"/>
      <c r="CB60" s="483"/>
      <c r="CC60" s="483"/>
      <c r="CD60" s="483"/>
      <c r="CE60" s="483"/>
      <c r="CF60" s="483"/>
      <c r="CG60" s="483"/>
      <c r="CH60" s="483"/>
      <c r="CI60" s="483"/>
      <c r="CJ60" s="483"/>
      <c r="CK60" s="483"/>
      <c r="CL60" s="483"/>
      <c r="CM60" s="483"/>
      <c r="CN60" s="483"/>
      <c r="CO60" s="483"/>
      <c r="CP60" s="483"/>
      <c r="CQ60" s="483"/>
      <c r="CR60" s="483"/>
      <c r="CS60" s="483"/>
      <c r="CT60" s="483"/>
      <c r="CU60" s="483"/>
      <c r="CV60" s="483"/>
      <c r="CW60" s="483"/>
      <c r="CX60" s="483"/>
      <c r="CY60" s="483"/>
      <c r="CZ60" s="483"/>
      <c r="DA60" s="483"/>
      <c r="DB60" s="483"/>
      <c r="DC60" s="483"/>
      <c r="DD60" s="483"/>
      <c r="DE60" s="483"/>
      <c r="DF60" s="483"/>
      <c r="DG60" s="483"/>
      <c r="DH60" s="483"/>
      <c r="DI60" s="483"/>
      <c r="DJ60" s="483"/>
      <c r="DK60" s="483"/>
      <c r="DL60" s="483"/>
      <c r="DM60" s="483"/>
      <c r="DN60" s="483"/>
      <c r="DO60" s="483"/>
      <c r="DP60" s="483"/>
      <c r="DQ60" s="483"/>
      <c r="DR60" s="483"/>
      <c r="DS60" s="483"/>
      <c r="DT60" s="483"/>
      <c r="DU60" s="483"/>
      <c r="DV60" s="483"/>
      <c r="DW60" s="483"/>
      <c r="DX60" s="483"/>
      <c r="DY60" s="483"/>
      <c r="DZ60" s="483"/>
      <c r="EA60" s="483"/>
      <c r="EB60" s="483"/>
      <c r="EC60" s="483"/>
      <c r="ED60" s="483"/>
    </row>
    <row r="61" spans="1:134" ht="18.75" x14ac:dyDescent="0.3">
      <c r="A61" t="s">
        <v>227</v>
      </c>
      <c r="B61" s="82">
        <f>'Growth Prediction Exec Summary'!K6</f>
        <v>0.12</v>
      </c>
      <c r="C61" s="736"/>
      <c r="D61" s="81"/>
      <c r="AI61" s="133"/>
      <c r="AU61" s="133"/>
      <c r="BG61" s="133"/>
      <c r="BS61" s="133"/>
      <c r="CE61" s="133"/>
      <c r="CQ61" s="133"/>
      <c r="DC61" s="133"/>
      <c r="DO61" s="133"/>
      <c r="EA61" s="133"/>
    </row>
    <row r="62" spans="1:134" ht="18.75" outlineLevel="1" x14ac:dyDescent="0.3">
      <c r="A62" t="s">
        <v>229</v>
      </c>
      <c r="B62" s="82">
        <f>'Growth Prediction Exec Summary'!L6</f>
        <v>0.1</v>
      </c>
      <c r="C62" s="736"/>
      <c r="D62" s="196" t="s">
        <v>240</v>
      </c>
      <c r="E62" s="162"/>
      <c r="F62" s="162"/>
      <c r="G62" s="162"/>
      <c r="H62" s="162"/>
      <c r="I62" s="162"/>
      <c r="J62" s="162"/>
      <c r="K62" s="162"/>
      <c r="L62" s="163"/>
      <c r="M62" s="162"/>
      <c r="N62" s="164"/>
      <c r="O62" s="162"/>
      <c r="P62" s="162"/>
      <c r="Q62" s="162"/>
      <c r="R62" s="163"/>
      <c r="S62" s="162"/>
      <c r="T62" s="162"/>
      <c r="U62" s="162"/>
      <c r="V62" s="193"/>
      <c r="AI62" s="133"/>
      <c r="AU62" s="133"/>
      <c r="BG62" s="133"/>
      <c r="BS62" s="133"/>
      <c r="CE62" s="133"/>
      <c r="CQ62" s="133"/>
      <c r="DC62" s="133"/>
      <c r="DO62" s="133"/>
      <c r="EA62" s="133"/>
    </row>
    <row r="63" spans="1:134" outlineLevel="1" x14ac:dyDescent="0.25">
      <c r="C63" s="736"/>
      <c r="D63" s="733" t="s">
        <v>241</v>
      </c>
      <c r="E63" s="733"/>
      <c r="F63" s="733"/>
      <c r="G63" s="733"/>
      <c r="H63" s="733"/>
      <c r="I63" s="733"/>
      <c r="J63" s="733"/>
      <c r="K63" s="733"/>
      <c r="L63" s="165"/>
      <c r="M63" s="495">
        <f>N63*100</f>
        <v>48</v>
      </c>
      <c r="N63" s="564">
        <f>'PCB Data'!B4/100</f>
        <v>0.48</v>
      </c>
      <c r="O63" s="565">
        <f>'PCB Data'!F4/100</f>
        <v>0.49</v>
      </c>
      <c r="P63" s="565">
        <f>'PCB Data'!J4/100</f>
        <v>0.48</v>
      </c>
      <c r="Q63" s="167"/>
      <c r="R63" s="168">
        <f t="shared" ref="R63:R69" si="612">P63-N63</f>
        <v>0</v>
      </c>
      <c r="S63" s="169">
        <v>9</v>
      </c>
      <c r="T63" s="169">
        <v>2</v>
      </c>
      <c r="U63" s="166"/>
      <c r="V63" s="300"/>
      <c r="W63" s="304">
        <f>M63</f>
        <v>48</v>
      </c>
      <c r="X63" s="305">
        <f>W63</f>
        <v>48</v>
      </c>
      <c r="Y63" s="305">
        <f>X63</f>
        <v>48</v>
      </c>
      <c r="Z63" s="305">
        <f>O63*100</f>
        <v>49</v>
      </c>
      <c r="AA63" s="305">
        <f>Z63</f>
        <v>49</v>
      </c>
      <c r="AB63" s="305">
        <f>AA63</f>
        <v>49</v>
      </c>
      <c r="AC63" s="305">
        <f>P63*100</f>
        <v>48</v>
      </c>
      <c r="AD63" s="305">
        <f>AC63</f>
        <v>48</v>
      </c>
      <c r="AE63" s="305">
        <f>AD63</f>
        <v>48</v>
      </c>
      <c r="AF63" s="305">
        <f>AE63</f>
        <v>48</v>
      </c>
      <c r="AG63" s="305">
        <f>AF63</f>
        <v>48</v>
      </c>
      <c r="AH63" s="305">
        <f>AG63</f>
        <v>48</v>
      </c>
      <c r="AI63" s="306">
        <f t="shared" ref="AI63:AT63" si="613">(((AH63*(1+($B$66*$B$4)))-AH63)/12)+AH63</f>
        <v>48.547200000000004</v>
      </c>
      <c r="AJ63" s="305">
        <f t="shared" si="613"/>
        <v>49.100638080000003</v>
      </c>
      <c r="AK63" s="305">
        <f t="shared" si="613"/>
        <v>49.660385354112002</v>
      </c>
      <c r="AL63" s="305">
        <f t="shared" si="613"/>
        <v>50.226513747148879</v>
      </c>
      <c r="AM63" s="305">
        <f t="shared" si="613"/>
        <v>50.799096003866374</v>
      </c>
      <c r="AN63" s="305">
        <f t="shared" si="613"/>
        <v>51.378205698310452</v>
      </c>
      <c r="AO63" s="305">
        <f t="shared" si="613"/>
        <v>51.96391724327119</v>
      </c>
      <c r="AP63" s="305">
        <f t="shared" si="613"/>
        <v>52.556305899844482</v>
      </c>
      <c r="AQ63" s="305">
        <f t="shared" si="613"/>
        <v>53.155447787102709</v>
      </c>
      <c r="AR63" s="305">
        <f t="shared" si="613"/>
        <v>53.761419891875683</v>
      </c>
      <c r="AS63" s="305">
        <f t="shared" si="613"/>
        <v>54.374300078643067</v>
      </c>
      <c r="AT63" s="305">
        <f t="shared" si="613"/>
        <v>54.994167099539595</v>
      </c>
      <c r="AU63" s="306">
        <f t="shared" ref="AU63:BF63" si="614">(((AT63*(1+($B$67*$B$4)))-AT63)/12)+AT63</f>
        <v>55.604602354344486</v>
      </c>
      <c r="AV63" s="305">
        <f t="shared" si="614"/>
        <v>56.22181344047771</v>
      </c>
      <c r="AW63" s="305">
        <f t="shared" si="614"/>
        <v>56.845875569667015</v>
      </c>
      <c r="AX63" s="305">
        <f t="shared" si="614"/>
        <v>57.476864788490317</v>
      </c>
      <c r="AY63" s="305">
        <f t="shared" si="614"/>
        <v>58.114857987642559</v>
      </c>
      <c r="AZ63" s="305">
        <f t="shared" si="614"/>
        <v>58.759932911305391</v>
      </c>
      <c r="BA63" s="305">
        <f t="shared" si="614"/>
        <v>59.41216816662088</v>
      </c>
      <c r="BB63" s="305">
        <f t="shared" si="614"/>
        <v>60.071643233270372</v>
      </c>
      <c r="BC63" s="305">
        <f t="shared" si="614"/>
        <v>60.738438473159675</v>
      </c>
      <c r="BD63" s="305">
        <f t="shared" si="614"/>
        <v>61.412635140211748</v>
      </c>
      <c r="BE63" s="305">
        <f t="shared" si="614"/>
        <v>62.0943153902681</v>
      </c>
      <c r="BF63" s="305">
        <f t="shared" si="614"/>
        <v>62.783562291100075</v>
      </c>
      <c r="BG63" s="306">
        <f t="shared" ref="BG63:BR63" si="615">(((BF63*(1+($B$68*$B$4)))-BF63)/12)+BF63</f>
        <v>63.442789695156627</v>
      </c>
      <c r="BH63" s="305">
        <f t="shared" si="615"/>
        <v>64.108938986955778</v>
      </c>
      <c r="BI63" s="305">
        <f t="shared" si="615"/>
        <v>64.782082846318815</v>
      </c>
      <c r="BJ63" s="305">
        <f t="shared" si="615"/>
        <v>65.462294716205164</v>
      </c>
      <c r="BK63" s="305">
        <f t="shared" si="615"/>
        <v>66.149648810725324</v>
      </c>
      <c r="BL63" s="305">
        <f t="shared" si="615"/>
        <v>66.844220123237946</v>
      </c>
      <c r="BM63" s="305">
        <f t="shared" si="615"/>
        <v>67.546084434531949</v>
      </c>
      <c r="BN63" s="305">
        <f t="shared" si="615"/>
        <v>68.255318321094535</v>
      </c>
      <c r="BO63" s="305">
        <f t="shared" si="615"/>
        <v>68.971999163466023</v>
      </c>
      <c r="BP63" s="305">
        <f t="shared" si="615"/>
        <v>69.696205154682417</v>
      </c>
      <c r="BQ63" s="305">
        <f t="shared" si="615"/>
        <v>70.428015308806579</v>
      </c>
      <c r="BR63" s="305">
        <f t="shared" si="615"/>
        <v>71.167509469549046</v>
      </c>
      <c r="BS63" s="306">
        <f t="shared" ref="BS63:CD63" si="616">(((BR63*(1+($B$69*$B$4)))-BR63)/12)+BR63</f>
        <v>71.914768318979313</v>
      </c>
      <c r="BT63" s="305">
        <f t="shared" si="616"/>
        <v>72.66987338632859</v>
      </c>
      <c r="BU63" s="305">
        <f t="shared" si="616"/>
        <v>73.432907056885043</v>
      </c>
      <c r="BV63" s="305">
        <f t="shared" si="616"/>
        <v>74.203952580982332</v>
      </c>
      <c r="BW63" s="305">
        <f t="shared" si="616"/>
        <v>74.983094083082648</v>
      </c>
      <c r="BX63" s="305">
        <f t="shared" si="616"/>
        <v>75.770416570955021</v>
      </c>
      <c r="BY63" s="305">
        <f t="shared" si="616"/>
        <v>76.566005944950049</v>
      </c>
      <c r="BZ63" s="305">
        <f t="shared" si="616"/>
        <v>77.369949007372028</v>
      </c>
      <c r="CA63" s="305">
        <f t="shared" si="616"/>
        <v>78.182333471949434</v>
      </c>
      <c r="CB63" s="305">
        <f t="shared" si="616"/>
        <v>79.00324797340491</v>
      </c>
      <c r="CC63" s="305">
        <f t="shared" si="616"/>
        <v>79.832782077125657</v>
      </c>
      <c r="CD63" s="305">
        <f t="shared" si="616"/>
        <v>80.671026288935479</v>
      </c>
      <c r="CE63" s="306">
        <f t="shared" ref="CE63:CP63" si="617">(((CD63*(1+($B$70*$B$4)))-CD63)/12)+CD63</f>
        <v>81.518072064969303</v>
      </c>
      <c r="CF63" s="305">
        <f t="shared" si="617"/>
        <v>82.374011821651479</v>
      </c>
      <c r="CG63" s="305">
        <f t="shared" si="617"/>
        <v>83.238938945778813</v>
      </c>
      <c r="CH63" s="305">
        <f t="shared" si="617"/>
        <v>84.112947804709492</v>
      </c>
      <c r="CI63" s="305">
        <f t="shared" si="617"/>
        <v>84.996133756658935</v>
      </c>
      <c r="CJ63" s="305">
        <f t="shared" si="617"/>
        <v>85.888593161103856</v>
      </c>
      <c r="CK63" s="305">
        <f t="shared" si="617"/>
        <v>86.790423389295441</v>
      </c>
      <c r="CL63" s="305">
        <f t="shared" si="617"/>
        <v>87.701722834883043</v>
      </c>
      <c r="CM63" s="305">
        <f t="shared" si="617"/>
        <v>88.622590924649316</v>
      </c>
      <c r="CN63" s="305">
        <f t="shared" si="617"/>
        <v>89.553128129358129</v>
      </c>
      <c r="CO63" s="305">
        <f t="shared" si="617"/>
        <v>90.493435974716391</v>
      </c>
      <c r="CP63" s="305">
        <f t="shared" si="617"/>
        <v>91.443617052450918</v>
      </c>
      <c r="CQ63" s="306">
        <f t="shared" ref="CQ63:DB63" si="618">(((CP63*(1+($B$71*$B$4)))-CP63)/12)+CP63</f>
        <v>92.403775031501652</v>
      </c>
      <c r="CR63" s="305">
        <f t="shared" si="618"/>
        <v>93.374014669332425</v>
      </c>
      <c r="CS63" s="305">
        <f t="shared" si="618"/>
        <v>94.354441823360418</v>
      </c>
      <c r="CT63" s="305">
        <f t="shared" si="618"/>
        <v>95.345163462505695</v>
      </c>
      <c r="CU63" s="305">
        <f t="shared" si="618"/>
        <v>96.346287678862012</v>
      </c>
      <c r="CV63" s="305">
        <f t="shared" si="618"/>
        <v>97.357923699490058</v>
      </c>
      <c r="CW63" s="305">
        <f t="shared" si="618"/>
        <v>98.380181898334712</v>
      </c>
      <c r="CX63" s="305">
        <f t="shared" si="618"/>
        <v>99.413173808267231</v>
      </c>
      <c r="CY63" s="305">
        <f t="shared" si="618"/>
        <v>100.45701213325404</v>
      </c>
      <c r="CZ63" s="305">
        <f t="shared" si="618"/>
        <v>101.5118107606532</v>
      </c>
      <c r="DA63" s="305">
        <f t="shared" si="618"/>
        <v>102.57768477364006</v>
      </c>
      <c r="DB63" s="305">
        <f t="shared" si="618"/>
        <v>103.65475046376328</v>
      </c>
      <c r="DC63" s="306">
        <f t="shared" ref="DC63:DN63" si="619">(((DB63*(1+($B$72*$B$4)))-DB63)/12)+DB63</f>
        <v>104.7431253436328</v>
      </c>
      <c r="DD63" s="305">
        <f t="shared" si="619"/>
        <v>105.84292815974095</v>
      </c>
      <c r="DE63" s="305">
        <f t="shared" si="619"/>
        <v>106.95427890541824</v>
      </c>
      <c r="DF63" s="305">
        <f t="shared" si="619"/>
        <v>108.07729883392513</v>
      </c>
      <c r="DG63" s="305">
        <f t="shared" si="619"/>
        <v>109.21211047168134</v>
      </c>
      <c r="DH63" s="305">
        <f t="shared" si="619"/>
        <v>110.358837631634</v>
      </c>
      <c r="DI63" s="305">
        <f t="shared" si="619"/>
        <v>111.51760542676617</v>
      </c>
      <c r="DJ63" s="305">
        <f t="shared" si="619"/>
        <v>112.68854028374722</v>
      </c>
      <c r="DK63" s="305">
        <f t="shared" si="619"/>
        <v>113.87176995672657</v>
      </c>
      <c r="DL63" s="305">
        <f t="shared" si="619"/>
        <v>115.06742354127219</v>
      </c>
      <c r="DM63" s="305">
        <f t="shared" si="619"/>
        <v>116.27563148845555</v>
      </c>
      <c r="DN63" s="305">
        <f t="shared" si="619"/>
        <v>117.49652561908432</v>
      </c>
      <c r="DO63" s="306">
        <f t="shared" ref="DO63:DZ63" si="620">(((DN63*(1+($B$75*$B$4)))-DN63)/12)+DN63</f>
        <v>118.37774956122746</v>
      </c>
      <c r="DP63" s="305">
        <f t="shared" si="620"/>
        <v>119.26558268293667</v>
      </c>
      <c r="DQ63" s="305">
        <f t="shared" si="620"/>
        <v>120.16007455305869</v>
      </c>
      <c r="DR63" s="305">
        <f t="shared" si="620"/>
        <v>121.06127511220663</v>
      </c>
      <c r="DS63" s="305">
        <f t="shared" si="620"/>
        <v>121.96923467554818</v>
      </c>
      <c r="DT63" s="305">
        <f t="shared" si="620"/>
        <v>122.88400393561479</v>
      </c>
      <c r="DU63" s="305">
        <f t="shared" si="620"/>
        <v>123.8056339651319</v>
      </c>
      <c r="DV63" s="305">
        <f t="shared" si="620"/>
        <v>124.73417621987039</v>
      </c>
      <c r="DW63" s="305">
        <f t="shared" si="620"/>
        <v>125.66968254151942</v>
      </c>
      <c r="DX63" s="305">
        <f t="shared" si="620"/>
        <v>126.61220516058081</v>
      </c>
      <c r="DY63" s="305">
        <f t="shared" si="620"/>
        <v>127.56179669928517</v>
      </c>
      <c r="DZ63" s="305">
        <f t="shared" si="620"/>
        <v>128.51851017452981</v>
      </c>
      <c r="EA63" s="306">
        <f>(((DZ63*(1+($B$76*$B$4)))-DZ63)/12)+DZ63</f>
        <v>129.38601011820788</v>
      </c>
      <c r="EB63" s="305">
        <f>(((EA63*(1+($B$76*$B$4)))-EA63)/12)+EA63</f>
        <v>130.25936568650579</v>
      </c>
      <c r="EC63" s="305">
        <f>(((EB63*(1+($B$76*$B$4)))-EB63)/12)+EB63</f>
        <v>131.13861640488969</v>
      </c>
      <c r="ED63" s="307">
        <f>(((EC63*(1+($B$76*$B$4)))-EC63)/12)+EC63</f>
        <v>132.0238020656227</v>
      </c>
    </row>
    <row r="64" spans="1:134" ht="15.75" outlineLevel="1" x14ac:dyDescent="0.25">
      <c r="A64" s="732" t="s">
        <v>242</v>
      </c>
      <c r="B64" s="732"/>
      <c r="C64" s="736"/>
      <c r="D64" s="734"/>
      <c r="E64" s="734"/>
      <c r="F64" s="734"/>
      <c r="G64" s="734"/>
      <c r="H64" s="734"/>
      <c r="I64" s="734"/>
      <c r="J64" s="734"/>
      <c r="K64" s="734"/>
      <c r="L64" s="170"/>
      <c r="M64" s="171"/>
      <c r="N64" s="566"/>
      <c r="O64" s="567"/>
      <c r="P64" s="567"/>
      <c r="Q64" s="172"/>
      <c r="R64" s="173"/>
      <c r="S64" s="174"/>
      <c r="T64" s="174"/>
      <c r="U64" s="171"/>
      <c r="V64" s="301">
        <v>3</v>
      </c>
      <c r="W64" s="314">
        <f>ROUNDUP($V64*(W63/100)/0.94,0)</f>
        <v>2</v>
      </c>
      <c r="X64" s="313">
        <f t="shared" ref="X64:AE64" si="621">ROUNDUP($V64*(X63/100)/0.94,0)</f>
        <v>2</v>
      </c>
      <c r="Y64" s="313">
        <f t="shared" si="621"/>
        <v>2</v>
      </c>
      <c r="Z64" s="313">
        <f t="shared" si="621"/>
        <v>2</v>
      </c>
      <c r="AA64" s="313">
        <f t="shared" si="621"/>
        <v>2</v>
      </c>
      <c r="AB64" s="313">
        <f t="shared" si="621"/>
        <v>2</v>
      </c>
      <c r="AC64" s="313">
        <f t="shared" si="621"/>
        <v>2</v>
      </c>
      <c r="AD64" s="313">
        <f t="shared" si="621"/>
        <v>2</v>
      </c>
      <c r="AE64" s="313">
        <f t="shared" si="621"/>
        <v>2</v>
      </c>
      <c r="AF64" s="313">
        <f>ROUNDUP($V64*(AF63/100)/0.94,0)</f>
        <v>2</v>
      </c>
      <c r="AG64" s="313">
        <f t="shared" ref="AG64" si="622">ROUNDUP($V64*(AG63/100)/0.94,0)</f>
        <v>2</v>
      </c>
      <c r="AH64" s="313">
        <f t="shared" ref="AH64" si="623">ROUNDUP($V64*(AH63/100)/0.94,0)</f>
        <v>2</v>
      </c>
      <c r="AI64" s="314">
        <f t="shared" ref="AI64" si="624">ROUNDUP($V64*(AI63/100)/0.94,0)</f>
        <v>2</v>
      </c>
      <c r="AJ64" s="313">
        <f t="shared" ref="AJ64" si="625">ROUNDUP($V64*(AJ63/100)/0.94,0)</f>
        <v>2</v>
      </c>
      <c r="AK64" s="313">
        <f t="shared" ref="AK64" si="626">ROUNDUP($V64*(AK63/100)/0.94,0)</f>
        <v>2</v>
      </c>
      <c r="AL64" s="313">
        <f t="shared" ref="AL64" si="627">ROUNDUP($V64*(AL63/100)/0.94,0)</f>
        <v>2</v>
      </c>
      <c r="AM64" s="313">
        <f t="shared" ref="AM64" si="628">ROUNDUP($V64*(AM63/100)/0.94,0)</f>
        <v>2</v>
      </c>
      <c r="AN64" s="313">
        <f t="shared" ref="AN64" si="629">ROUNDUP($V64*(AN63/100)/0.94,0)</f>
        <v>2</v>
      </c>
      <c r="AO64" s="313">
        <f t="shared" ref="AO64" si="630">ROUNDUP($V64*(AO63/100)/0.94,0)</f>
        <v>2</v>
      </c>
      <c r="AP64" s="313">
        <f t="shared" ref="AP64" si="631">ROUNDUP($V64*(AP63/100)/0.94,0)</f>
        <v>2</v>
      </c>
      <c r="AQ64" s="313">
        <f t="shared" ref="AQ64" si="632">ROUNDUP($V64*(AQ63/100)/0.94,0)</f>
        <v>2</v>
      </c>
      <c r="AR64" s="313">
        <f t="shared" ref="AR64" si="633">ROUNDUP($V64*(AR63/100)/0.94,0)</f>
        <v>2</v>
      </c>
      <c r="AS64" s="313">
        <f t="shared" ref="AS64" si="634">ROUNDUP($V64*(AS63/100)/0.94,0)</f>
        <v>2</v>
      </c>
      <c r="AT64" s="313">
        <f t="shared" ref="AT64" si="635">ROUNDUP($V64*(AT63/100)/0.94,0)</f>
        <v>2</v>
      </c>
      <c r="AU64" s="314">
        <f t="shared" ref="AU64" si="636">ROUNDUP($V64*(AU63/100)/0.94,0)</f>
        <v>2</v>
      </c>
      <c r="AV64" s="313">
        <f t="shared" ref="AV64" si="637">ROUNDUP($V64*(AV63/100)/0.94,0)</f>
        <v>2</v>
      </c>
      <c r="AW64" s="313">
        <f t="shared" ref="AW64" si="638">ROUNDUP($V64*(AW63/100)/0.94,0)</f>
        <v>2</v>
      </c>
      <c r="AX64" s="313">
        <f t="shared" ref="AX64" si="639">ROUNDUP($V64*(AX63/100)/0.94,0)</f>
        <v>2</v>
      </c>
      <c r="AY64" s="313">
        <f t="shared" ref="AY64" si="640">ROUNDUP($V64*(AY63/100)/0.94,0)</f>
        <v>2</v>
      </c>
      <c r="AZ64" s="313">
        <f t="shared" ref="AZ64" si="641">ROUNDUP($V64*(AZ63/100)/0.94,0)</f>
        <v>2</v>
      </c>
      <c r="BA64" s="313">
        <f t="shared" ref="BA64" si="642">ROUNDUP($V64*(BA63/100)/0.94,0)</f>
        <v>2</v>
      </c>
      <c r="BB64" s="313">
        <f t="shared" ref="BB64" si="643">ROUNDUP($V64*(BB63/100)/0.94,0)</f>
        <v>2</v>
      </c>
      <c r="BC64" s="313">
        <f t="shared" ref="BC64" si="644">ROUNDUP($V64*(BC63/100)/0.94,0)</f>
        <v>2</v>
      </c>
      <c r="BD64" s="313">
        <f t="shared" ref="BD64" si="645">ROUNDUP($V64*(BD63/100)/0.94,0)</f>
        <v>2</v>
      </c>
      <c r="BE64" s="313">
        <f t="shared" ref="BE64" si="646">ROUNDUP($V64*(BE63/100)/0.94,0)</f>
        <v>2</v>
      </c>
      <c r="BF64" s="313">
        <f t="shared" ref="BF64" si="647">ROUNDUP($V64*(BF63/100)/0.94,0)</f>
        <v>3</v>
      </c>
      <c r="BG64" s="314">
        <f t="shared" ref="BG64" si="648">ROUNDUP($V64*(BG63/100)/0.94,0)</f>
        <v>3</v>
      </c>
      <c r="BH64" s="313">
        <f t="shared" ref="BH64" si="649">ROUNDUP($V64*(BH63/100)/0.94,0)</f>
        <v>3</v>
      </c>
      <c r="BI64" s="313">
        <f t="shared" ref="BI64" si="650">ROUNDUP($V64*(BI63/100)/0.94,0)</f>
        <v>3</v>
      </c>
      <c r="BJ64" s="313">
        <f t="shared" ref="BJ64" si="651">ROUNDUP($V64*(BJ63/100)/0.94,0)</f>
        <v>3</v>
      </c>
      <c r="BK64" s="313">
        <f t="shared" ref="BK64" si="652">ROUNDUP($V64*(BK63/100)/0.94,0)</f>
        <v>3</v>
      </c>
      <c r="BL64" s="313">
        <f t="shared" ref="BL64" si="653">ROUNDUP($V64*(BL63/100)/0.94,0)</f>
        <v>3</v>
      </c>
      <c r="BM64" s="313">
        <f t="shared" ref="BM64" si="654">ROUNDUP($V64*(BM63/100)/0.94,0)</f>
        <v>3</v>
      </c>
      <c r="BN64" s="313">
        <f t="shared" ref="BN64" si="655">ROUNDUP($V64*(BN63/100)/0.94,0)</f>
        <v>3</v>
      </c>
      <c r="BO64" s="313">
        <f t="shared" ref="BO64" si="656">ROUNDUP($V64*(BO63/100)/0.94,0)</f>
        <v>3</v>
      </c>
      <c r="BP64" s="313">
        <f t="shared" ref="BP64" si="657">ROUNDUP($V64*(BP63/100)/0.94,0)</f>
        <v>3</v>
      </c>
      <c r="BQ64" s="313">
        <f t="shared" ref="BQ64" si="658">ROUNDUP($V64*(BQ63/100)/0.94,0)</f>
        <v>3</v>
      </c>
      <c r="BR64" s="313">
        <f t="shared" ref="BR64" si="659">ROUNDUP($V64*(BR63/100)/0.94,0)</f>
        <v>3</v>
      </c>
      <c r="BS64" s="314">
        <f t="shared" ref="BS64" si="660">ROUNDUP($V64*(BS63/100)/0.94,0)</f>
        <v>3</v>
      </c>
      <c r="BT64" s="313">
        <f t="shared" ref="BT64" si="661">ROUNDUP($V64*(BT63/100)/0.94,0)</f>
        <v>3</v>
      </c>
      <c r="BU64" s="313">
        <f t="shared" ref="BU64" si="662">ROUNDUP($V64*(BU63/100)/0.94,0)</f>
        <v>3</v>
      </c>
      <c r="BV64" s="313">
        <f t="shared" ref="BV64" si="663">ROUNDUP($V64*(BV63/100)/0.94,0)</f>
        <v>3</v>
      </c>
      <c r="BW64" s="313">
        <f t="shared" ref="BW64" si="664">ROUNDUP($V64*(BW63/100)/0.94,0)</f>
        <v>3</v>
      </c>
      <c r="BX64" s="313">
        <f t="shared" ref="BX64" si="665">ROUNDUP($V64*(BX63/100)/0.94,0)</f>
        <v>3</v>
      </c>
      <c r="BY64" s="313">
        <f t="shared" ref="BY64" si="666">ROUNDUP($V64*(BY63/100)/0.94,0)</f>
        <v>3</v>
      </c>
      <c r="BZ64" s="313">
        <f t="shared" ref="BZ64" si="667">ROUNDUP($V64*(BZ63/100)/0.94,0)</f>
        <v>3</v>
      </c>
      <c r="CA64" s="313">
        <f t="shared" ref="CA64" si="668">ROUNDUP($V64*(CA63/100)/0.94,0)</f>
        <v>3</v>
      </c>
      <c r="CB64" s="313">
        <f t="shared" ref="CB64" si="669">ROUNDUP($V64*(CB63/100)/0.94,0)</f>
        <v>3</v>
      </c>
      <c r="CC64" s="313">
        <f t="shared" ref="CC64" si="670">ROUNDUP($V64*(CC63/100)/0.94,0)</f>
        <v>3</v>
      </c>
      <c r="CD64" s="313">
        <f t="shared" ref="CD64" si="671">ROUNDUP($V64*(CD63/100)/0.94,0)</f>
        <v>3</v>
      </c>
      <c r="CE64" s="314">
        <f t="shared" ref="CE64" si="672">ROUNDUP($V64*(CE63/100)/0.94,0)</f>
        <v>3</v>
      </c>
      <c r="CF64" s="313">
        <f t="shared" ref="CF64" si="673">ROUNDUP($V64*(CF63/100)/0.94,0)</f>
        <v>3</v>
      </c>
      <c r="CG64" s="313">
        <f t="shared" ref="CG64" si="674">ROUNDUP($V64*(CG63/100)/0.94,0)</f>
        <v>3</v>
      </c>
      <c r="CH64" s="313">
        <f t="shared" ref="CH64" si="675">ROUNDUP($V64*(CH63/100)/0.94,0)</f>
        <v>3</v>
      </c>
      <c r="CI64" s="313">
        <f t="shared" ref="CI64" si="676">ROUNDUP($V64*(CI63/100)/0.94,0)</f>
        <v>3</v>
      </c>
      <c r="CJ64" s="313">
        <f t="shared" ref="CJ64" si="677">ROUNDUP($V64*(CJ63/100)/0.94,0)</f>
        <v>3</v>
      </c>
      <c r="CK64" s="313">
        <f t="shared" ref="CK64" si="678">ROUNDUP($V64*(CK63/100)/0.94,0)</f>
        <v>3</v>
      </c>
      <c r="CL64" s="313">
        <f t="shared" ref="CL64" si="679">ROUNDUP($V64*(CL63/100)/0.94,0)</f>
        <v>3</v>
      </c>
      <c r="CM64" s="313">
        <f t="shared" ref="CM64" si="680">ROUNDUP($V64*(CM63/100)/0.94,0)</f>
        <v>3</v>
      </c>
      <c r="CN64" s="313">
        <f t="shared" ref="CN64" si="681">ROUNDUP($V64*(CN63/100)/0.94,0)</f>
        <v>3</v>
      </c>
      <c r="CO64" s="313">
        <f t="shared" ref="CO64" si="682">ROUNDUP($V64*(CO63/100)/0.94,0)</f>
        <v>3</v>
      </c>
      <c r="CP64" s="313">
        <f t="shared" ref="CP64" si="683">ROUNDUP($V64*(CP63/100)/0.94,0)</f>
        <v>3</v>
      </c>
      <c r="CQ64" s="314">
        <f t="shared" ref="CQ64" si="684">ROUNDUP($V64*(CQ63/100)/0.94,0)</f>
        <v>3</v>
      </c>
      <c r="CR64" s="313">
        <f t="shared" ref="CR64" si="685">ROUNDUP($V64*(CR63/100)/0.94,0)</f>
        <v>3</v>
      </c>
      <c r="CS64" s="313">
        <f t="shared" ref="CS64" si="686">ROUNDUP($V64*(CS63/100)/0.94,0)</f>
        <v>4</v>
      </c>
      <c r="CT64" s="313">
        <f t="shared" ref="CT64" si="687">ROUNDUP($V64*(CT63/100)/0.94,0)</f>
        <v>4</v>
      </c>
      <c r="CU64" s="313">
        <f t="shared" ref="CU64" si="688">ROUNDUP($V64*(CU63/100)/0.94,0)</f>
        <v>4</v>
      </c>
      <c r="CV64" s="313">
        <f t="shared" ref="CV64" si="689">ROUNDUP($V64*(CV63/100)/0.94,0)</f>
        <v>4</v>
      </c>
      <c r="CW64" s="313">
        <f t="shared" ref="CW64" si="690">ROUNDUP($V64*(CW63/100)/0.94,0)</f>
        <v>4</v>
      </c>
      <c r="CX64" s="313">
        <f t="shared" ref="CX64" si="691">ROUNDUP($V64*(CX63/100)/0.94,0)</f>
        <v>4</v>
      </c>
      <c r="CY64" s="313">
        <f t="shared" ref="CY64" si="692">ROUNDUP($V64*(CY63/100)/0.94,0)</f>
        <v>4</v>
      </c>
      <c r="CZ64" s="313">
        <f t="shared" ref="CZ64" si="693">ROUNDUP($V64*(CZ63/100)/0.94,0)</f>
        <v>4</v>
      </c>
      <c r="DA64" s="313">
        <f t="shared" ref="DA64" si="694">ROUNDUP($V64*(DA63/100)/0.94,0)</f>
        <v>4</v>
      </c>
      <c r="DB64" s="313">
        <f t="shared" ref="DB64" si="695">ROUNDUP($V64*(DB63/100)/0.94,0)</f>
        <v>4</v>
      </c>
      <c r="DC64" s="314">
        <f t="shared" ref="DC64" si="696">ROUNDUP($V64*(DC63/100)/0.94,0)</f>
        <v>4</v>
      </c>
      <c r="DD64" s="313">
        <f t="shared" ref="DD64" si="697">ROUNDUP($V64*(DD63/100)/0.94,0)</f>
        <v>4</v>
      </c>
      <c r="DE64" s="313">
        <f t="shared" ref="DE64" si="698">ROUNDUP($V64*(DE63/100)/0.94,0)</f>
        <v>4</v>
      </c>
      <c r="DF64" s="313">
        <f t="shared" ref="DF64" si="699">ROUNDUP($V64*(DF63/100)/0.94,0)</f>
        <v>4</v>
      </c>
      <c r="DG64" s="313">
        <f t="shared" ref="DG64" si="700">ROUNDUP($V64*(DG63/100)/0.94,0)</f>
        <v>4</v>
      </c>
      <c r="DH64" s="313">
        <f t="shared" ref="DH64" si="701">ROUNDUP($V64*(DH63/100)/0.94,0)</f>
        <v>4</v>
      </c>
      <c r="DI64" s="313">
        <f t="shared" ref="DI64" si="702">ROUNDUP($V64*(DI63/100)/0.94,0)</f>
        <v>4</v>
      </c>
      <c r="DJ64" s="313">
        <f t="shared" ref="DJ64" si="703">ROUNDUP($V64*(DJ63/100)/0.94,0)</f>
        <v>4</v>
      </c>
      <c r="DK64" s="313">
        <f t="shared" ref="DK64" si="704">ROUNDUP($V64*(DK63/100)/0.94,0)</f>
        <v>4</v>
      </c>
      <c r="DL64" s="313">
        <f t="shared" ref="DL64" si="705">ROUNDUP($V64*(DL63/100)/0.94,0)</f>
        <v>4</v>
      </c>
      <c r="DM64" s="313">
        <f t="shared" ref="DM64" si="706">ROUNDUP($V64*(DM63/100)/0.94,0)</f>
        <v>4</v>
      </c>
      <c r="DN64" s="313">
        <f t="shared" ref="DN64" si="707">ROUNDUP($V64*(DN63/100)/0.94,0)</f>
        <v>4</v>
      </c>
      <c r="DO64" s="314">
        <f t="shared" ref="DO64" si="708">ROUNDUP($V64*(DO63/100)/0.94,0)</f>
        <v>4</v>
      </c>
      <c r="DP64" s="313">
        <f t="shared" ref="DP64" si="709">ROUNDUP($V64*(DP63/100)/0.94,0)</f>
        <v>4</v>
      </c>
      <c r="DQ64" s="313">
        <f t="shared" ref="DQ64" si="710">ROUNDUP($V64*(DQ63/100)/0.94,0)</f>
        <v>4</v>
      </c>
      <c r="DR64" s="313">
        <f t="shared" ref="DR64" si="711">ROUNDUP($V64*(DR63/100)/0.94,0)</f>
        <v>4</v>
      </c>
      <c r="DS64" s="313">
        <f t="shared" ref="DS64" si="712">ROUNDUP($V64*(DS63/100)/0.94,0)</f>
        <v>4</v>
      </c>
      <c r="DT64" s="313">
        <f t="shared" ref="DT64" si="713">ROUNDUP($V64*(DT63/100)/0.94,0)</f>
        <v>4</v>
      </c>
      <c r="DU64" s="313">
        <f t="shared" ref="DU64" si="714">ROUNDUP($V64*(DU63/100)/0.94,0)</f>
        <v>4</v>
      </c>
      <c r="DV64" s="313">
        <f t="shared" ref="DV64" si="715">ROUNDUP($V64*(DV63/100)/0.94,0)</f>
        <v>4</v>
      </c>
      <c r="DW64" s="313">
        <f t="shared" ref="DW64" si="716">ROUNDUP($V64*(DW63/100)/0.94,0)</f>
        <v>5</v>
      </c>
      <c r="DX64" s="313">
        <f t="shared" ref="DX64" si="717">ROUNDUP($V64*(DX63/100)/0.94,0)</f>
        <v>5</v>
      </c>
      <c r="DY64" s="313">
        <f t="shared" ref="DY64" si="718">ROUNDUP($V64*(DY63/100)/0.94,0)</f>
        <v>5</v>
      </c>
      <c r="DZ64" s="313">
        <f t="shared" ref="DZ64" si="719">ROUNDUP($V64*(DZ63/100)/0.94,0)</f>
        <v>5</v>
      </c>
      <c r="EA64" s="308">
        <f t="shared" ref="EA64" si="720">ROUNDUP($V64*(EA63/100)/0.94,0)</f>
        <v>5</v>
      </c>
      <c r="EB64" s="308">
        <f t="shared" ref="EB64" si="721">ROUNDUP($V64*(EB63/100)/0.94,0)</f>
        <v>5</v>
      </c>
      <c r="EC64" s="308">
        <f t="shared" ref="EC64" si="722">ROUNDUP($V64*(EC63/100)/0.94,0)</f>
        <v>5</v>
      </c>
      <c r="ED64" s="308">
        <f t="shared" ref="ED64" si="723">ROUNDUP($V64*(ED63/100)/0.94,0)</f>
        <v>5</v>
      </c>
    </row>
    <row r="65" spans="1:134" ht="18.75" outlineLevel="1" x14ac:dyDescent="0.3">
      <c r="A65" t="s">
        <v>215</v>
      </c>
      <c r="B65" s="82">
        <f>'Growth Prediction Exec Summary'!C7</f>
        <v>0.11749999999999999</v>
      </c>
      <c r="C65" s="736"/>
      <c r="D65" s="733" t="s">
        <v>243</v>
      </c>
      <c r="E65" s="733"/>
      <c r="F65" s="733"/>
      <c r="G65" s="733"/>
      <c r="H65" s="733"/>
      <c r="I65" s="733"/>
      <c r="J65" s="733"/>
      <c r="K65" s="733"/>
      <c r="L65" s="165"/>
      <c r="M65" s="495">
        <f>N65*100</f>
        <v>41</v>
      </c>
      <c r="N65" s="564">
        <f>'PCB Data'!D4/100</f>
        <v>0.41</v>
      </c>
      <c r="O65" s="565">
        <f>'PCB Data'!H4/100</f>
        <v>0.46</v>
      </c>
      <c r="P65" s="565">
        <f>'PCB Data'!L4/100</f>
        <v>0.49</v>
      </c>
      <c r="Q65" s="167"/>
      <c r="R65" s="168">
        <f t="shared" si="612"/>
        <v>8.0000000000000016E-2</v>
      </c>
      <c r="S65" s="169">
        <v>6</v>
      </c>
      <c r="T65" s="169">
        <v>2</v>
      </c>
      <c r="U65" s="166"/>
      <c r="V65" s="300"/>
      <c r="W65" s="304">
        <f>M65</f>
        <v>41</v>
      </c>
      <c r="X65" s="305">
        <f t="shared" ref="X65:Y69" si="724">W65</f>
        <v>41</v>
      </c>
      <c r="Y65" s="305">
        <f t="shared" si="724"/>
        <v>41</v>
      </c>
      <c r="Z65" s="305">
        <f>O65*100</f>
        <v>46</v>
      </c>
      <c r="AA65" s="305">
        <f>Z65</f>
        <v>46</v>
      </c>
      <c r="AB65" s="305">
        <f>AA65</f>
        <v>46</v>
      </c>
      <c r="AC65" s="305">
        <f>P65*100</f>
        <v>49</v>
      </c>
      <c r="AD65" s="305">
        <f>AC65</f>
        <v>49</v>
      </c>
      <c r="AE65" s="305">
        <f>AD65</f>
        <v>49</v>
      </c>
      <c r="AF65" s="305">
        <f>AE65</f>
        <v>49</v>
      </c>
      <c r="AG65" s="305">
        <f>AF65</f>
        <v>49</v>
      </c>
      <c r="AH65" s="305">
        <f>AG65</f>
        <v>49</v>
      </c>
      <c r="AI65" s="306">
        <f t="shared" ref="AI65:AT65" si="725">(((AH65*(1+($B$66*$B$4)))-AH65)/12)+AH65</f>
        <v>49.558599999999998</v>
      </c>
      <c r="AJ65" s="305">
        <f t="shared" si="725"/>
        <v>50.123568039999995</v>
      </c>
      <c r="AK65" s="305">
        <f t="shared" si="725"/>
        <v>50.694976715655997</v>
      </c>
      <c r="AL65" s="305">
        <f t="shared" si="725"/>
        <v>51.272899450214474</v>
      </c>
      <c r="AM65" s="305">
        <f t="shared" si="725"/>
        <v>51.857410503946923</v>
      </c>
      <c r="AN65" s="305">
        <f t="shared" si="725"/>
        <v>52.448584983691916</v>
      </c>
      <c r="AO65" s="305">
        <f t="shared" si="725"/>
        <v>53.046498852506005</v>
      </c>
      <c r="AP65" s="305">
        <f t="shared" si="725"/>
        <v>53.65122893942457</v>
      </c>
      <c r="AQ65" s="305">
        <f t="shared" si="725"/>
        <v>54.262852949334011</v>
      </c>
      <c r="AR65" s="305">
        <f t="shared" si="725"/>
        <v>54.881449472956419</v>
      </c>
      <c r="AS65" s="305">
        <f t="shared" si="725"/>
        <v>55.507097996948119</v>
      </c>
      <c r="AT65" s="305">
        <f t="shared" si="725"/>
        <v>56.139878914113325</v>
      </c>
      <c r="AU65" s="306">
        <f t="shared" ref="AU65:BF65" si="726">(((AT65*(1+($B$67*$B$4)))-AT65)/12)+AT65</f>
        <v>56.763031570059979</v>
      </c>
      <c r="AV65" s="305">
        <f t="shared" si="726"/>
        <v>57.393101220487644</v>
      </c>
      <c r="AW65" s="305">
        <f t="shared" si="726"/>
        <v>58.030164644035054</v>
      </c>
      <c r="AX65" s="305">
        <f t="shared" si="726"/>
        <v>58.674299471583844</v>
      </c>
      <c r="AY65" s="305">
        <f t="shared" si="726"/>
        <v>59.325584195718427</v>
      </c>
      <c r="AZ65" s="305">
        <f t="shared" si="726"/>
        <v>59.9840981802909</v>
      </c>
      <c r="BA65" s="305">
        <f t="shared" si="726"/>
        <v>60.649921670092127</v>
      </c>
      <c r="BB65" s="305">
        <f t="shared" si="726"/>
        <v>61.323135800630148</v>
      </c>
      <c r="BC65" s="305">
        <f t="shared" si="726"/>
        <v>62.003822608017146</v>
      </c>
      <c r="BD65" s="305">
        <f t="shared" si="726"/>
        <v>62.692065038966135</v>
      </c>
      <c r="BE65" s="305">
        <f t="shared" si="726"/>
        <v>63.38794696089866</v>
      </c>
      <c r="BF65" s="305">
        <f t="shared" si="726"/>
        <v>64.091553172164637</v>
      </c>
      <c r="BG65" s="306">
        <f t="shared" ref="BG65:BR65" si="727">(((BF65*(1+($B$68*$B$4)))-BF65)/12)+BF65</f>
        <v>64.764514480472371</v>
      </c>
      <c r="BH65" s="305">
        <f t="shared" si="727"/>
        <v>65.444541882517328</v>
      </c>
      <c r="BI65" s="305">
        <f t="shared" si="727"/>
        <v>66.131709572283768</v>
      </c>
      <c r="BJ65" s="305">
        <f t="shared" si="727"/>
        <v>66.826092522792749</v>
      </c>
      <c r="BK65" s="305">
        <f t="shared" si="727"/>
        <v>67.527766494282076</v>
      </c>
      <c r="BL65" s="305">
        <f t="shared" si="727"/>
        <v>68.236808042472035</v>
      </c>
      <c r="BM65" s="305">
        <f t="shared" si="727"/>
        <v>68.953294526917986</v>
      </c>
      <c r="BN65" s="305">
        <f t="shared" si="727"/>
        <v>69.677304119450625</v>
      </c>
      <c r="BO65" s="305">
        <f t="shared" si="727"/>
        <v>70.408915812704862</v>
      </c>
      <c r="BP65" s="305">
        <f t="shared" si="727"/>
        <v>71.148209428738269</v>
      </c>
      <c r="BQ65" s="305">
        <f t="shared" si="727"/>
        <v>71.895265627740017</v>
      </c>
      <c r="BR65" s="305">
        <f t="shared" si="727"/>
        <v>72.650165916831284</v>
      </c>
      <c r="BS65" s="306">
        <f t="shared" ref="BS65:CD65" si="728">(((BR65*(1+($B$69*$B$4)))-BR65)/12)+BR65</f>
        <v>73.412992658958018</v>
      </c>
      <c r="BT65" s="305">
        <f t="shared" si="728"/>
        <v>74.183829081877079</v>
      </c>
      <c r="BU65" s="305">
        <f t="shared" si="728"/>
        <v>74.962759287236793</v>
      </c>
      <c r="BV65" s="305">
        <f t="shared" si="728"/>
        <v>75.749868259752773</v>
      </c>
      <c r="BW65" s="305">
        <f t="shared" si="728"/>
        <v>76.545241876480176</v>
      </c>
      <c r="BX65" s="305">
        <f t="shared" si="728"/>
        <v>77.348966916183215</v>
      </c>
      <c r="BY65" s="305">
        <f t="shared" si="728"/>
        <v>78.161131068803144</v>
      </c>
      <c r="BZ65" s="305">
        <f t="shared" si="728"/>
        <v>78.981822945025584</v>
      </c>
      <c r="CA65" s="305">
        <f t="shared" si="728"/>
        <v>79.811132085948358</v>
      </c>
      <c r="CB65" s="305">
        <f t="shared" si="728"/>
        <v>80.64914897285081</v>
      </c>
      <c r="CC65" s="305">
        <f t="shared" si="728"/>
        <v>81.495965037065744</v>
      </c>
      <c r="CD65" s="305">
        <f t="shared" si="728"/>
        <v>82.351672669954937</v>
      </c>
      <c r="CE65" s="306">
        <f t="shared" ref="CE65:CP65" si="729">(((CD65*(1+($B$70*$B$4)))-CD65)/12)+CD65</f>
        <v>83.21636523298946</v>
      </c>
      <c r="CF65" s="305">
        <f t="shared" si="729"/>
        <v>84.090137067935856</v>
      </c>
      <c r="CG65" s="305">
        <f t="shared" si="729"/>
        <v>84.973083507149184</v>
      </c>
      <c r="CH65" s="305">
        <f t="shared" si="729"/>
        <v>85.865300883974257</v>
      </c>
      <c r="CI65" s="305">
        <f t="shared" si="729"/>
        <v>86.766886543255993</v>
      </c>
      <c r="CJ65" s="305">
        <f t="shared" si="729"/>
        <v>87.677938851960178</v>
      </c>
      <c r="CK65" s="305">
        <f t="shared" si="729"/>
        <v>88.598557209905763</v>
      </c>
      <c r="CL65" s="305">
        <f t="shared" si="729"/>
        <v>89.528842060609776</v>
      </c>
      <c r="CM65" s="305">
        <f t="shared" si="729"/>
        <v>90.468894902246177</v>
      </c>
      <c r="CN65" s="305">
        <f t="shared" si="729"/>
        <v>91.418818298719756</v>
      </c>
      <c r="CO65" s="305">
        <f t="shared" si="729"/>
        <v>92.378715890856313</v>
      </c>
      <c r="CP65" s="305">
        <f t="shared" si="729"/>
        <v>93.348692407710303</v>
      </c>
      <c r="CQ65" s="306">
        <f t="shared" ref="CQ65:DB65" si="730">(((CP65*(1+($B$71*$B$4)))-CP65)/12)+CP65</f>
        <v>94.328853677991262</v>
      </c>
      <c r="CR65" s="305">
        <f t="shared" si="730"/>
        <v>95.319306641610169</v>
      </c>
      <c r="CS65" s="305">
        <f t="shared" si="730"/>
        <v>96.320159361347081</v>
      </c>
      <c r="CT65" s="305">
        <f t="shared" si="730"/>
        <v>97.331521034641227</v>
      </c>
      <c r="CU65" s="305">
        <f t="shared" si="730"/>
        <v>98.353502005504964</v>
      </c>
      <c r="CV65" s="305">
        <f t="shared" si="730"/>
        <v>99.386213776562769</v>
      </c>
      <c r="CW65" s="305">
        <f t="shared" si="730"/>
        <v>100.42976902121669</v>
      </c>
      <c r="CX65" s="305">
        <f t="shared" si="730"/>
        <v>101.48428159593946</v>
      </c>
      <c r="CY65" s="305">
        <f t="shared" si="730"/>
        <v>102.54986655269683</v>
      </c>
      <c r="CZ65" s="305">
        <f t="shared" si="730"/>
        <v>103.62664015150014</v>
      </c>
      <c r="DA65" s="305">
        <f t="shared" si="730"/>
        <v>104.7147198730909</v>
      </c>
      <c r="DB65" s="305">
        <f t="shared" si="730"/>
        <v>105.81422443175836</v>
      </c>
      <c r="DC65" s="306">
        <f t="shared" ref="DC65:DN65" si="731">(((DB65*(1+($B$72*$B$4)))-DB65)/12)+DB65</f>
        <v>106.92527378829183</v>
      </c>
      <c r="DD65" s="305">
        <f t="shared" si="731"/>
        <v>108.04798916306891</v>
      </c>
      <c r="DE65" s="305">
        <f t="shared" si="731"/>
        <v>109.18249304928113</v>
      </c>
      <c r="DF65" s="305">
        <f t="shared" si="731"/>
        <v>110.32890922629859</v>
      </c>
      <c r="DG65" s="305">
        <f t="shared" si="731"/>
        <v>111.48736277317472</v>
      </c>
      <c r="DH65" s="305">
        <f t="shared" si="731"/>
        <v>112.65798008229307</v>
      </c>
      <c r="DI65" s="305">
        <f t="shared" si="731"/>
        <v>113.84088887315714</v>
      </c>
      <c r="DJ65" s="305">
        <f t="shared" si="731"/>
        <v>115.03621820632529</v>
      </c>
      <c r="DK65" s="305">
        <f t="shared" si="731"/>
        <v>116.24409849749171</v>
      </c>
      <c r="DL65" s="305">
        <f t="shared" si="731"/>
        <v>117.46466153171536</v>
      </c>
      <c r="DM65" s="305">
        <f t="shared" si="731"/>
        <v>118.69804047779837</v>
      </c>
      <c r="DN65" s="305">
        <f t="shared" si="731"/>
        <v>119.94436990281525</v>
      </c>
      <c r="DO65" s="306">
        <f t="shared" ref="DO65:DZ65" si="732">(((DN65*(1+($B$75*$B$4)))-DN65)/12)+DN65</f>
        <v>120.84395267708636</v>
      </c>
      <c r="DP65" s="305">
        <f t="shared" si="732"/>
        <v>121.75028232216451</v>
      </c>
      <c r="DQ65" s="305">
        <f t="shared" si="732"/>
        <v>122.66340943958075</v>
      </c>
      <c r="DR65" s="305">
        <f t="shared" si="732"/>
        <v>123.5833850103776</v>
      </c>
      <c r="DS65" s="305">
        <f t="shared" si="732"/>
        <v>124.51026039795543</v>
      </c>
      <c r="DT65" s="305">
        <f t="shared" si="732"/>
        <v>125.44408735094009</v>
      </c>
      <c r="DU65" s="305">
        <f t="shared" si="732"/>
        <v>126.38491800607214</v>
      </c>
      <c r="DV65" s="305">
        <f t="shared" si="732"/>
        <v>127.33280489111769</v>
      </c>
      <c r="DW65" s="305">
        <f t="shared" si="732"/>
        <v>128.28780092780107</v>
      </c>
      <c r="DX65" s="305">
        <f t="shared" si="732"/>
        <v>129.24995943475957</v>
      </c>
      <c r="DY65" s="305">
        <f t="shared" si="732"/>
        <v>130.21933413052028</v>
      </c>
      <c r="DZ65" s="305">
        <f t="shared" si="732"/>
        <v>131.19597913649918</v>
      </c>
      <c r="EA65" s="306">
        <f>(((DZ65*(1+($B$76*$B$4)))-DZ65)/12)+DZ65</f>
        <v>132.08155199567054</v>
      </c>
      <c r="EB65" s="305">
        <f>(((EA65*(1+($B$76*$B$4)))-EA65)/12)+EA65</f>
        <v>132.97310247164131</v>
      </c>
      <c r="EC65" s="305">
        <f>(((EB65*(1+($B$76*$B$4)))-EB65)/12)+EB65</f>
        <v>133.87067091332489</v>
      </c>
      <c r="ED65" s="307">
        <f>(((EC65*(1+($B$76*$B$4)))-EC65)/12)+EC65</f>
        <v>134.77429794198983</v>
      </c>
    </row>
    <row r="66" spans="1:134" ht="18.75" outlineLevel="1" x14ac:dyDescent="0.3">
      <c r="A66" t="s">
        <v>217</v>
      </c>
      <c r="B66" s="82">
        <f>'Growth Prediction Exec Summary'!D7</f>
        <v>0.152</v>
      </c>
      <c r="C66" s="736"/>
      <c r="D66" s="734"/>
      <c r="E66" s="734"/>
      <c r="F66" s="734"/>
      <c r="G66" s="734"/>
      <c r="H66" s="734"/>
      <c r="I66" s="734"/>
      <c r="J66" s="734"/>
      <c r="K66" s="734"/>
      <c r="L66" s="170"/>
      <c r="M66" s="171"/>
      <c r="N66" s="566"/>
      <c r="O66" s="567"/>
      <c r="P66" s="567"/>
      <c r="Q66" s="172"/>
      <c r="R66" s="173"/>
      <c r="S66" s="174"/>
      <c r="T66" s="174"/>
      <c r="U66" s="171"/>
      <c r="V66" s="301">
        <v>6</v>
      </c>
      <c r="W66" s="312">
        <f t="shared" ref="W66:BB66" si="733">ROUNDUP($V66*(W65/100)/0.8,0)</f>
        <v>4</v>
      </c>
      <c r="X66" s="313">
        <f t="shared" si="733"/>
        <v>4</v>
      </c>
      <c r="Y66" s="313">
        <f t="shared" si="733"/>
        <v>4</v>
      </c>
      <c r="Z66" s="313">
        <f t="shared" si="733"/>
        <v>4</v>
      </c>
      <c r="AA66" s="313">
        <f t="shared" si="733"/>
        <v>4</v>
      </c>
      <c r="AB66" s="313">
        <f t="shared" si="733"/>
        <v>4</v>
      </c>
      <c r="AC66" s="313">
        <f t="shared" si="733"/>
        <v>4</v>
      </c>
      <c r="AD66" s="313">
        <f t="shared" si="733"/>
        <v>4</v>
      </c>
      <c r="AE66" s="313">
        <f t="shared" si="733"/>
        <v>4</v>
      </c>
      <c r="AF66" s="313">
        <f t="shared" si="733"/>
        <v>4</v>
      </c>
      <c r="AG66" s="313">
        <f t="shared" si="733"/>
        <v>4</v>
      </c>
      <c r="AH66" s="313">
        <f t="shared" si="733"/>
        <v>4</v>
      </c>
      <c r="AI66" s="314">
        <f t="shared" si="733"/>
        <v>4</v>
      </c>
      <c r="AJ66" s="313">
        <f t="shared" si="733"/>
        <v>4</v>
      </c>
      <c r="AK66" s="313">
        <f t="shared" si="733"/>
        <v>4</v>
      </c>
      <c r="AL66" s="313">
        <f t="shared" si="733"/>
        <v>4</v>
      </c>
      <c r="AM66" s="313">
        <f t="shared" si="733"/>
        <v>4</v>
      </c>
      <c r="AN66" s="313">
        <f t="shared" si="733"/>
        <v>4</v>
      </c>
      <c r="AO66" s="313">
        <f t="shared" si="733"/>
        <v>4</v>
      </c>
      <c r="AP66" s="313">
        <f t="shared" si="733"/>
        <v>5</v>
      </c>
      <c r="AQ66" s="313">
        <f t="shared" si="733"/>
        <v>5</v>
      </c>
      <c r="AR66" s="313">
        <f t="shared" si="733"/>
        <v>5</v>
      </c>
      <c r="AS66" s="313">
        <f t="shared" si="733"/>
        <v>5</v>
      </c>
      <c r="AT66" s="313">
        <f t="shared" si="733"/>
        <v>5</v>
      </c>
      <c r="AU66" s="314">
        <f t="shared" si="733"/>
        <v>5</v>
      </c>
      <c r="AV66" s="313">
        <f t="shared" si="733"/>
        <v>5</v>
      </c>
      <c r="AW66" s="313">
        <f t="shared" si="733"/>
        <v>5</v>
      </c>
      <c r="AX66" s="313">
        <f t="shared" si="733"/>
        <v>5</v>
      </c>
      <c r="AY66" s="313">
        <f t="shared" si="733"/>
        <v>5</v>
      </c>
      <c r="AZ66" s="313">
        <f t="shared" si="733"/>
        <v>5</v>
      </c>
      <c r="BA66" s="313">
        <f t="shared" si="733"/>
        <v>5</v>
      </c>
      <c r="BB66" s="313">
        <f t="shared" si="733"/>
        <v>5</v>
      </c>
      <c r="BC66" s="313">
        <f t="shared" ref="BC66:CH66" si="734">ROUNDUP($V66*(BC65/100)/0.8,0)</f>
        <v>5</v>
      </c>
      <c r="BD66" s="313">
        <f t="shared" si="734"/>
        <v>5</v>
      </c>
      <c r="BE66" s="313">
        <f t="shared" si="734"/>
        <v>5</v>
      </c>
      <c r="BF66" s="313">
        <f t="shared" si="734"/>
        <v>5</v>
      </c>
      <c r="BG66" s="314">
        <f t="shared" si="734"/>
        <v>5</v>
      </c>
      <c r="BH66" s="313">
        <f t="shared" si="734"/>
        <v>5</v>
      </c>
      <c r="BI66" s="313">
        <f t="shared" si="734"/>
        <v>5</v>
      </c>
      <c r="BJ66" s="313">
        <f t="shared" si="734"/>
        <v>6</v>
      </c>
      <c r="BK66" s="313">
        <f t="shared" si="734"/>
        <v>6</v>
      </c>
      <c r="BL66" s="313">
        <f t="shared" si="734"/>
        <v>6</v>
      </c>
      <c r="BM66" s="313">
        <f t="shared" si="734"/>
        <v>6</v>
      </c>
      <c r="BN66" s="313">
        <f t="shared" si="734"/>
        <v>6</v>
      </c>
      <c r="BO66" s="313">
        <f t="shared" si="734"/>
        <v>6</v>
      </c>
      <c r="BP66" s="313">
        <f t="shared" si="734"/>
        <v>6</v>
      </c>
      <c r="BQ66" s="313">
        <f t="shared" si="734"/>
        <v>6</v>
      </c>
      <c r="BR66" s="313">
        <f t="shared" si="734"/>
        <v>6</v>
      </c>
      <c r="BS66" s="314">
        <f t="shared" si="734"/>
        <v>6</v>
      </c>
      <c r="BT66" s="313">
        <f t="shared" si="734"/>
        <v>6</v>
      </c>
      <c r="BU66" s="313">
        <f t="shared" si="734"/>
        <v>6</v>
      </c>
      <c r="BV66" s="313">
        <f t="shared" si="734"/>
        <v>6</v>
      </c>
      <c r="BW66" s="313">
        <f t="shared" si="734"/>
        <v>6</v>
      </c>
      <c r="BX66" s="313">
        <f t="shared" si="734"/>
        <v>6</v>
      </c>
      <c r="BY66" s="313">
        <f t="shared" si="734"/>
        <v>6</v>
      </c>
      <c r="BZ66" s="313">
        <f t="shared" si="734"/>
        <v>6</v>
      </c>
      <c r="CA66" s="313">
        <f t="shared" si="734"/>
        <v>6</v>
      </c>
      <c r="CB66" s="313">
        <f t="shared" si="734"/>
        <v>7</v>
      </c>
      <c r="CC66" s="313">
        <f t="shared" si="734"/>
        <v>7</v>
      </c>
      <c r="CD66" s="313">
        <f t="shared" si="734"/>
        <v>7</v>
      </c>
      <c r="CE66" s="314">
        <f t="shared" si="734"/>
        <v>7</v>
      </c>
      <c r="CF66" s="313">
        <f t="shared" si="734"/>
        <v>7</v>
      </c>
      <c r="CG66" s="313">
        <f t="shared" si="734"/>
        <v>7</v>
      </c>
      <c r="CH66" s="313">
        <f t="shared" si="734"/>
        <v>7</v>
      </c>
      <c r="CI66" s="313">
        <f t="shared" ref="CI66:DN66" si="735">ROUNDUP($V66*(CI65/100)/0.8,0)</f>
        <v>7</v>
      </c>
      <c r="CJ66" s="313">
        <f t="shared" si="735"/>
        <v>7</v>
      </c>
      <c r="CK66" s="313">
        <f t="shared" si="735"/>
        <v>7</v>
      </c>
      <c r="CL66" s="313">
        <f t="shared" si="735"/>
        <v>7</v>
      </c>
      <c r="CM66" s="313">
        <f t="shared" si="735"/>
        <v>7</v>
      </c>
      <c r="CN66" s="313">
        <f t="shared" si="735"/>
        <v>7</v>
      </c>
      <c r="CO66" s="313">
        <f t="shared" si="735"/>
        <v>7</v>
      </c>
      <c r="CP66" s="313">
        <f t="shared" si="735"/>
        <v>8</v>
      </c>
      <c r="CQ66" s="314">
        <f t="shared" si="735"/>
        <v>8</v>
      </c>
      <c r="CR66" s="313">
        <f t="shared" si="735"/>
        <v>8</v>
      </c>
      <c r="CS66" s="313">
        <f t="shared" si="735"/>
        <v>8</v>
      </c>
      <c r="CT66" s="313">
        <f t="shared" si="735"/>
        <v>8</v>
      </c>
      <c r="CU66" s="313">
        <f t="shared" si="735"/>
        <v>8</v>
      </c>
      <c r="CV66" s="313">
        <f t="shared" si="735"/>
        <v>8</v>
      </c>
      <c r="CW66" s="313">
        <f t="shared" si="735"/>
        <v>8</v>
      </c>
      <c r="CX66" s="313">
        <f t="shared" si="735"/>
        <v>8</v>
      </c>
      <c r="CY66" s="313">
        <f t="shared" si="735"/>
        <v>8</v>
      </c>
      <c r="CZ66" s="313">
        <f t="shared" si="735"/>
        <v>8</v>
      </c>
      <c r="DA66" s="313">
        <f t="shared" si="735"/>
        <v>8</v>
      </c>
      <c r="DB66" s="313">
        <f t="shared" si="735"/>
        <v>8</v>
      </c>
      <c r="DC66" s="314">
        <f t="shared" si="735"/>
        <v>9</v>
      </c>
      <c r="DD66" s="313">
        <f t="shared" si="735"/>
        <v>9</v>
      </c>
      <c r="DE66" s="313">
        <f t="shared" si="735"/>
        <v>9</v>
      </c>
      <c r="DF66" s="313">
        <f t="shared" si="735"/>
        <v>9</v>
      </c>
      <c r="DG66" s="313">
        <f t="shared" si="735"/>
        <v>9</v>
      </c>
      <c r="DH66" s="313">
        <f t="shared" si="735"/>
        <v>9</v>
      </c>
      <c r="DI66" s="313">
        <f t="shared" si="735"/>
        <v>9</v>
      </c>
      <c r="DJ66" s="313">
        <f t="shared" si="735"/>
        <v>9</v>
      </c>
      <c r="DK66" s="313">
        <f t="shared" si="735"/>
        <v>9</v>
      </c>
      <c r="DL66" s="313">
        <f t="shared" si="735"/>
        <v>9</v>
      </c>
      <c r="DM66" s="313">
        <f t="shared" si="735"/>
        <v>9</v>
      </c>
      <c r="DN66" s="313">
        <f t="shared" si="735"/>
        <v>9</v>
      </c>
      <c r="DO66" s="314">
        <f t="shared" ref="DO66:ED66" si="736">ROUNDUP($V66*(DO65/100)/0.8,0)</f>
        <v>10</v>
      </c>
      <c r="DP66" s="313">
        <f t="shared" si="736"/>
        <v>10</v>
      </c>
      <c r="DQ66" s="313">
        <f t="shared" si="736"/>
        <v>10</v>
      </c>
      <c r="DR66" s="313">
        <f t="shared" si="736"/>
        <v>10</v>
      </c>
      <c r="DS66" s="313">
        <f t="shared" si="736"/>
        <v>10</v>
      </c>
      <c r="DT66" s="313">
        <f t="shared" si="736"/>
        <v>10</v>
      </c>
      <c r="DU66" s="313">
        <f t="shared" si="736"/>
        <v>10</v>
      </c>
      <c r="DV66" s="313">
        <f t="shared" si="736"/>
        <v>10</v>
      </c>
      <c r="DW66" s="313">
        <f t="shared" si="736"/>
        <v>10</v>
      </c>
      <c r="DX66" s="313">
        <f t="shared" si="736"/>
        <v>10</v>
      </c>
      <c r="DY66" s="313">
        <f t="shared" si="736"/>
        <v>10</v>
      </c>
      <c r="DZ66" s="313">
        <f t="shared" si="736"/>
        <v>10</v>
      </c>
      <c r="EA66" s="314">
        <f t="shared" si="736"/>
        <v>10</v>
      </c>
      <c r="EB66" s="313">
        <f t="shared" si="736"/>
        <v>10</v>
      </c>
      <c r="EC66" s="313">
        <f t="shared" si="736"/>
        <v>11</v>
      </c>
      <c r="ED66" s="315">
        <f t="shared" si="736"/>
        <v>11</v>
      </c>
    </row>
    <row r="67" spans="1:134" ht="18.75" outlineLevel="1" x14ac:dyDescent="0.3">
      <c r="A67" t="s">
        <v>218</v>
      </c>
      <c r="B67" s="82">
        <f>'Growth Prediction Exec Summary'!E7</f>
        <v>0.14799999999999999</v>
      </c>
      <c r="C67" s="736"/>
      <c r="D67" s="733" t="s">
        <v>244</v>
      </c>
      <c r="E67" s="733"/>
      <c r="F67" s="733"/>
      <c r="G67" s="733"/>
      <c r="H67" s="733"/>
      <c r="I67" s="733"/>
      <c r="J67" s="733"/>
      <c r="K67" s="733"/>
      <c r="L67" s="165"/>
      <c r="M67" s="495">
        <f>N67*100</f>
        <v>38</v>
      </c>
      <c r="N67" s="564">
        <f>'PCB Data'!C4/100</f>
        <v>0.38</v>
      </c>
      <c r="O67" s="565">
        <f>'PCB Data'!G4/100</f>
        <v>0.42</v>
      </c>
      <c r="P67" s="565">
        <f>'PCB Data'!K4/100</f>
        <v>0.44</v>
      </c>
      <c r="Q67" s="167"/>
      <c r="R67" s="168">
        <f t="shared" si="612"/>
        <v>0.06</v>
      </c>
      <c r="S67" s="169">
        <v>8</v>
      </c>
      <c r="T67" s="169">
        <v>2</v>
      </c>
      <c r="U67" s="166"/>
      <c r="V67" s="300"/>
      <c r="W67" s="310">
        <f>M67</f>
        <v>38</v>
      </c>
      <c r="X67" s="213">
        <f t="shared" si="724"/>
        <v>38</v>
      </c>
      <c r="Y67" s="213">
        <f t="shared" si="724"/>
        <v>38</v>
      </c>
      <c r="Z67" s="213">
        <f>O67*100</f>
        <v>42</v>
      </c>
      <c r="AA67" s="213">
        <f>Z67</f>
        <v>42</v>
      </c>
      <c r="AB67" s="213">
        <f>AA67</f>
        <v>42</v>
      </c>
      <c r="AC67" s="213">
        <f>P67*100</f>
        <v>44</v>
      </c>
      <c r="AD67" s="213">
        <f>AC67</f>
        <v>44</v>
      </c>
      <c r="AE67" s="213">
        <f>AD67</f>
        <v>44</v>
      </c>
      <c r="AF67" s="213">
        <f>AE67</f>
        <v>44</v>
      </c>
      <c r="AG67" s="213">
        <f>AF67</f>
        <v>44</v>
      </c>
      <c r="AH67" s="213">
        <f>AG67</f>
        <v>44</v>
      </c>
      <c r="AI67" s="214">
        <f t="shared" ref="AI67:AT67" si="737">(((AH67*(1+($B$66*$B$4)))-AH67)/12)+AH67</f>
        <v>44.501599999999996</v>
      </c>
      <c r="AJ67" s="213">
        <f t="shared" si="737"/>
        <v>45.00891824</v>
      </c>
      <c r="AK67" s="213">
        <f t="shared" si="737"/>
        <v>45.522019907935999</v>
      </c>
      <c r="AL67" s="213">
        <f t="shared" si="737"/>
        <v>46.040970934886467</v>
      </c>
      <c r="AM67" s="213">
        <f t="shared" si="737"/>
        <v>46.565838003544172</v>
      </c>
      <c r="AN67" s="213">
        <f t="shared" si="737"/>
        <v>47.096688556784578</v>
      </c>
      <c r="AO67" s="213">
        <f t="shared" si="737"/>
        <v>47.633590806331924</v>
      </c>
      <c r="AP67" s="213">
        <f t="shared" si="737"/>
        <v>48.176613741524108</v>
      </c>
      <c r="AQ67" s="213">
        <f t="shared" si="737"/>
        <v>48.725827138177479</v>
      </c>
      <c r="AR67" s="213">
        <f t="shared" si="737"/>
        <v>49.281301567552703</v>
      </c>
      <c r="AS67" s="213">
        <f t="shared" si="737"/>
        <v>49.843108405422804</v>
      </c>
      <c r="AT67" s="213">
        <f t="shared" si="737"/>
        <v>50.411319841244627</v>
      </c>
      <c r="AU67" s="214">
        <f t="shared" ref="AU67:BF67" si="738">(((AT67*(1+($B$67*$B$4)))-AT67)/12)+AT67</f>
        <v>50.970885491482441</v>
      </c>
      <c r="AV67" s="213">
        <f t="shared" si="738"/>
        <v>51.536662320437898</v>
      </c>
      <c r="AW67" s="213">
        <f t="shared" si="738"/>
        <v>52.108719272194762</v>
      </c>
      <c r="AX67" s="213">
        <f t="shared" si="738"/>
        <v>52.687126056116121</v>
      </c>
      <c r="AY67" s="213">
        <f t="shared" si="738"/>
        <v>53.271953155339013</v>
      </c>
      <c r="AZ67" s="213">
        <f t="shared" si="738"/>
        <v>53.863271835363278</v>
      </c>
      <c r="BA67" s="213">
        <f t="shared" si="738"/>
        <v>54.461154152735809</v>
      </c>
      <c r="BB67" s="213">
        <f t="shared" si="738"/>
        <v>55.065672963831176</v>
      </c>
      <c r="BC67" s="213">
        <f t="shared" si="738"/>
        <v>55.676901933729702</v>
      </c>
      <c r="BD67" s="213">
        <f t="shared" si="738"/>
        <v>56.294915545194101</v>
      </c>
      <c r="BE67" s="213">
        <f t="shared" si="738"/>
        <v>56.919789107745757</v>
      </c>
      <c r="BF67" s="213">
        <f t="shared" si="738"/>
        <v>57.551598766841735</v>
      </c>
      <c r="BG67" s="214">
        <f t="shared" ref="BG67:BR67" si="739">(((BF67*(1+($B$68*$B$4)))-BF67)/12)+BF67</f>
        <v>58.15589055389357</v>
      </c>
      <c r="BH67" s="213">
        <f t="shared" si="739"/>
        <v>58.76652740470945</v>
      </c>
      <c r="BI67" s="213">
        <f t="shared" si="739"/>
        <v>59.383575942458897</v>
      </c>
      <c r="BJ67" s="213">
        <f t="shared" si="739"/>
        <v>60.007103489854714</v>
      </c>
      <c r="BK67" s="213">
        <f t="shared" si="739"/>
        <v>60.637178076498188</v>
      </c>
      <c r="BL67" s="213">
        <f t="shared" si="739"/>
        <v>61.273868446301421</v>
      </c>
      <c r="BM67" s="213">
        <f t="shared" si="739"/>
        <v>61.917244064987585</v>
      </c>
      <c r="BN67" s="213">
        <f t="shared" si="739"/>
        <v>62.567375127669955</v>
      </c>
      <c r="BO67" s="213">
        <f t="shared" si="739"/>
        <v>63.22433256651049</v>
      </c>
      <c r="BP67" s="213">
        <f t="shared" si="739"/>
        <v>63.888188058458852</v>
      </c>
      <c r="BQ67" s="213">
        <f t="shared" si="739"/>
        <v>64.559014033072671</v>
      </c>
      <c r="BR67" s="213">
        <f t="shared" si="739"/>
        <v>65.236883680419936</v>
      </c>
      <c r="BS67" s="214">
        <f t="shared" ref="BS67:CD67" si="740">(((BR67*(1+($B$69*$B$4)))-BR67)/12)+BR67</f>
        <v>65.92187095906435</v>
      </c>
      <c r="BT67" s="213">
        <f t="shared" si="740"/>
        <v>66.614050604134519</v>
      </c>
      <c r="BU67" s="213">
        <f t="shared" si="740"/>
        <v>67.313498135477928</v>
      </c>
      <c r="BV67" s="213">
        <f t="shared" si="740"/>
        <v>68.020289865900452</v>
      </c>
      <c r="BW67" s="213">
        <f t="shared" si="740"/>
        <v>68.734502909492406</v>
      </c>
      <c r="BX67" s="213">
        <f t="shared" si="740"/>
        <v>69.456215190042073</v>
      </c>
      <c r="BY67" s="213">
        <f t="shared" si="740"/>
        <v>70.185505449537516</v>
      </c>
      <c r="BZ67" s="213">
        <f t="shared" si="740"/>
        <v>70.922453256757663</v>
      </c>
      <c r="CA67" s="213">
        <f t="shared" si="740"/>
        <v>71.667139015953623</v>
      </c>
      <c r="CB67" s="213">
        <f t="shared" si="740"/>
        <v>72.419643975621142</v>
      </c>
      <c r="CC67" s="213">
        <f t="shared" si="740"/>
        <v>73.180050237365165</v>
      </c>
      <c r="CD67" s="213">
        <f t="shared" si="740"/>
        <v>73.948440764857494</v>
      </c>
      <c r="CE67" s="214">
        <f t="shared" ref="CE67:CP67" si="741">(((CD67*(1+($B$70*$B$4)))-CD67)/12)+CD67</f>
        <v>74.724899392888503</v>
      </c>
      <c r="CF67" s="213">
        <f t="shared" si="741"/>
        <v>75.50951083651384</v>
      </c>
      <c r="CG67" s="213">
        <f t="shared" si="741"/>
        <v>76.302360700297243</v>
      </c>
      <c r="CH67" s="213">
        <f t="shared" si="741"/>
        <v>77.103535487650362</v>
      </c>
      <c r="CI67" s="213">
        <f t="shared" si="741"/>
        <v>77.91312261027069</v>
      </c>
      <c r="CJ67" s="213">
        <f t="shared" si="741"/>
        <v>78.731210397678538</v>
      </c>
      <c r="CK67" s="213">
        <f t="shared" si="741"/>
        <v>79.557888106854165</v>
      </c>
      <c r="CL67" s="213">
        <f t="shared" si="741"/>
        <v>80.393245931976139</v>
      </c>
      <c r="CM67" s="213">
        <f t="shared" si="741"/>
        <v>81.237375014261886</v>
      </c>
      <c r="CN67" s="213">
        <f t="shared" si="741"/>
        <v>82.090367451911632</v>
      </c>
      <c r="CO67" s="213">
        <f t="shared" si="741"/>
        <v>82.952316310156704</v>
      </c>
      <c r="CP67" s="213">
        <f t="shared" si="741"/>
        <v>83.823315631413351</v>
      </c>
      <c r="CQ67" s="214">
        <f t="shared" ref="CQ67:DB67" si="742">(((CP67*(1+($B$71*$B$4)))-CP67)/12)+CP67</f>
        <v>84.703460445543186</v>
      </c>
      <c r="CR67" s="213">
        <f t="shared" si="742"/>
        <v>85.592846780221393</v>
      </c>
      <c r="CS67" s="213">
        <f t="shared" si="742"/>
        <v>86.491571671413723</v>
      </c>
      <c r="CT67" s="213">
        <f t="shared" si="742"/>
        <v>87.399733173963568</v>
      </c>
      <c r="CU67" s="213">
        <f t="shared" si="742"/>
        <v>88.31743037229019</v>
      </c>
      <c r="CV67" s="213">
        <f t="shared" si="742"/>
        <v>89.244763391199243</v>
      </c>
      <c r="CW67" s="213">
        <f t="shared" si="742"/>
        <v>90.181833406806831</v>
      </c>
      <c r="CX67" s="213">
        <f t="shared" si="742"/>
        <v>91.1287426575783</v>
      </c>
      <c r="CY67" s="213">
        <f t="shared" si="742"/>
        <v>92.085594455482877</v>
      </c>
      <c r="CZ67" s="213">
        <f t="shared" si="742"/>
        <v>93.052493197265449</v>
      </c>
      <c r="DA67" s="213">
        <f t="shared" si="742"/>
        <v>94.029544375836736</v>
      </c>
      <c r="DB67" s="213">
        <f t="shared" si="742"/>
        <v>95.016854591783016</v>
      </c>
      <c r="DC67" s="214">
        <f t="shared" ref="DC67:DN67" si="743">(((DB67*(1+($B$72*$B$4)))-DB67)/12)+DB67</f>
        <v>96.014531564996744</v>
      </c>
      <c r="DD67" s="213">
        <f t="shared" si="743"/>
        <v>97.022684146429214</v>
      </c>
      <c r="DE67" s="213">
        <f t="shared" si="743"/>
        <v>98.041422329966721</v>
      </c>
      <c r="DF67" s="213">
        <f t="shared" si="743"/>
        <v>99.070857264431368</v>
      </c>
      <c r="DG67" s="213">
        <f t="shared" si="743"/>
        <v>100.1111012657079</v>
      </c>
      <c r="DH67" s="213">
        <f t="shared" si="743"/>
        <v>101.16226782899784</v>
      </c>
      <c r="DI67" s="213">
        <f t="shared" si="743"/>
        <v>102.22447164120231</v>
      </c>
      <c r="DJ67" s="213">
        <f t="shared" si="743"/>
        <v>103.29782859343494</v>
      </c>
      <c r="DK67" s="213">
        <f t="shared" si="743"/>
        <v>104.38245579366601</v>
      </c>
      <c r="DL67" s="213">
        <f t="shared" si="743"/>
        <v>105.47847157949951</v>
      </c>
      <c r="DM67" s="213">
        <f t="shared" si="743"/>
        <v>106.58599553108425</v>
      </c>
      <c r="DN67" s="213">
        <f t="shared" si="743"/>
        <v>107.70514848416063</v>
      </c>
      <c r="DO67" s="214">
        <f t="shared" ref="DO67:DZ67" si="744">(((DN67*(1+($B$75*$B$4)))-DN67)/12)+DN67</f>
        <v>108.51293709779183</v>
      </c>
      <c r="DP67" s="213">
        <f t="shared" si="744"/>
        <v>109.32678412602527</v>
      </c>
      <c r="DQ67" s="213">
        <f t="shared" si="744"/>
        <v>110.14673500697046</v>
      </c>
      <c r="DR67" s="213">
        <f t="shared" si="744"/>
        <v>110.97283551952273</v>
      </c>
      <c r="DS67" s="213">
        <f t="shared" si="744"/>
        <v>111.80513178591916</v>
      </c>
      <c r="DT67" s="213">
        <f t="shared" si="744"/>
        <v>112.64367027431355</v>
      </c>
      <c r="DU67" s="213">
        <f t="shared" si="744"/>
        <v>113.4884978013709</v>
      </c>
      <c r="DV67" s="213">
        <f t="shared" si="744"/>
        <v>114.33966153488117</v>
      </c>
      <c r="DW67" s="213">
        <f t="shared" si="744"/>
        <v>115.19720899639279</v>
      </c>
      <c r="DX67" s="213">
        <f t="shared" si="744"/>
        <v>116.06118806386573</v>
      </c>
      <c r="DY67" s="213">
        <f t="shared" si="744"/>
        <v>116.93164697434472</v>
      </c>
      <c r="DZ67" s="213">
        <f t="shared" si="744"/>
        <v>117.8086343266523</v>
      </c>
      <c r="EA67" s="214">
        <f>(((DZ67*(1+($B$76*$B$4)))-DZ67)/12)+DZ67</f>
        <v>118.6038426083572</v>
      </c>
      <c r="EB67" s="213">
        <f>(((EA67*(1+($B$76*$B$4)))-EA67)/12)+EA67</f>
        <v>119.40441854596361</v>
      </c>
      <c r="EC67" s="213">
        <f>(((EB67*(1+($B$76*$B$4)))-EB67)/12)+EB67</f>
        <v>120.21039837114887</v>
      </c>
      <c r="ED67" s="311">
        <f>(((EC67*(1+($B$76*$B$4)))-EC67)/12)+EC67</f>
        <v>121.02181856015412</v>
      </c>
    </row>
    <row r="68" spans="1:134" ht="18.75" outlineLevel="1" x14ac:dyDescent="0.3">
      <c r="A68" t="s">
        <v>220</v>
      </c>
      <c r="B68" s="82">
        <f>'Growth Prediction Exec Summary'!F7</f>
        <v>0.14000000000000001</v>
      </c>
      <c r="C68" s="736"/>
      <c r="D68" s="734"/>
      <c r="E68" s="734"/>
      <c r="F68" s="734"/>
      <c r="G68" s="734"/>
      <c r="H68" s="734"/>
      <c r="I68" s="734"/>
      <c r="J68" s="734"/>
      <c r="K68" s="734"/>
      <c r="L68" s="170"/>
      <c r="M68" s="171"/>
      <c r="N68" s="566"/>
      <c r="O68" s="567"/>
      <c r="P68" s="567"/>
      <c r="Q68" s="172"/>
      <c r="R68" s="173"/>
      <c r="S68" s="174"/>
      <c r="T68" s="174"/>
      <c r="U68" s="171"/>
      <c r="V68" s="301">
        <v>8</v>
      </c>
      <c r="W68" s="308">
        <f t="shared" ref="W68:BB68" si="745">ROUNDUP($V68*(W67/100)/0.8,0)</f>
        <v>4</v>
      </c>
      <c r="X68" s="211">
        <f t="shared" si="745"/>
        <v>4</v>
      </c>
      <c r="Y68" s="211">
        <f t="shared" si="745"/>
        <v>4</v>
      </c>
      <c r="Z68" s="211">
        <f t="shared" si="745"/>
        <v>5</v>
      </c>
      <c r="AA68" s="211">
        <f t="shared" si="745"/>
        <v>5</v>
      </c>
      <c r="AB68" s="211">
        <f t="shared" si="745"/>
        <v>5</v>
      </c>
      <c r="AC68" s="211">
        <f t="shared" si="745"/>
        <v>5</v>
      </c>
      <c r="AD68" s="211">
        <f t="shared" si="745"/>
        <v>5</v>
      </c>
      <c r="AE68" s="211">
        <f t="shared" si="745"/>
        <v>5</v>
      </c>
      <c r="AF68" s="211">
        <f t="shared" si="745"/>
        <v>5</v>
      </c>
      <c r="AG68" s="211">
        <f t="shared" si="745"/>
        <v>5</v>
      </c>
      <c r="AH68" s="211">
        <f t="shared" si="745"/>
        <v>5</v>
      </c>
      <c r="AI68" s="212">
        <f t="shared" si="745"/>
        <v>5</v>
      </c>
      <c r="AJ68" s="211">
        <f t="shared" si="745"/>
        <v>5</v>
      </c>
      <c r="AK68" s="211">
        <f t="shared" si="745"/>
        <v>5</v>
      </c>
      <c r="AL68" s="211">
        <f t="shared" si="745"/>
        <v>5</v>
      </c>
      <c r="AM68" s="211">
        <f t="shared" si="745"/>
        <v>5</v>
      </c>
      <c r="AN68" s="211">
        <f t="shared" si="745"/>
        <v>5</v>
      </c>
      <c r="AO68" s="211">
        <f t="shared" si="745"/>
        <v>5</v>
      </c>
      <c r="AP68" s="211">
        <f t="shared" si="745"/>
        <v>5</v>
      </c>
      <c r="AQ68" s="211">
        <f t="shared" si="745"/>
        <v>5</v>
      </c>
      <c r="AR68" s="211">
        <f t="shared" si="745"/>
        <v>5</v>
      </c>
      <c r="AS68" s="211">
        <f t="shared" si="745"/>
        <v>5</v>
      </c>
      <c r="AT68" s="211">
        <f t="shared" si="745"/>
        <v>6</v>
      </c>
      <c r="AU68" s="212">
        <f t="shared" si="745"/>
        <v>6</v>
      </c>
      <c r="AV68" s="211">
        <f t="shared" si="745"/>
        <v>6</v>
      </c>
      <c r="AW68" s="211">
        <f t="shared" si="745"/>
        <v>6</v>
      </c>
      <c r="AX68" s="211">
        <f t="shared" si="745"/>
        <v>6</v>
      </c>
      <c r="AY68" s="211">
        <f t="shared" si="745"/>
        <v>6</v>
      </c>
      <c r="AZ68" s="211">
        <f t="shared" si="745"/>
        <v>6</v>
      </c>
      <c r="BA68" s="211">
        <f t="shared" si="745"/>
        <v>6</v>
      </c>
      <c r="BB68" s="211">
        <f t="shared" si="745"/>
        <v>6</v>
      </c>
      <c r="BC68" s="211">
        <f t="shared" ref="BC68:CH68" si="746">ROUNDUP($V68*(BC67/100)/0.8,0)</f>
        <v>6</v>
      </c>
      <c r="BD68" s="211">
        <f t="shared" si="746"/>
        <v>6</v>
      </c>
      <c r="BE68" s="211">
        <f t="shared" si="746"/>
        <v>6</v>
      </c>
      <c r="BF68" s="211">
        <f t="shared" si="746"/>
        <v>6</v>
      </c>
      <c r="BG68" s="212">
        <f t="shared" si="746"/>
        <v>6</v>
      </c>
      <c r="BH68" s="211">
        <f t="shared" si="746"/>
        <v>6</v>
      </c>
      <c r="BI68" s="211">
        <f t="shared" si="746"/>
        <v>6</v>
      </c>
      <c r="BJ68" s="211">
        <f t="shared" si="746"/>
        <v>7</v>
      </c>
      <c r="BK68" s="211">
        <f t="shared" si="746"/>
        <v>7</v>
      </c>
      <c r="BL68" s="211">
        <f t="shared" si="746"/>
        <v>7</v>
      </c>
      <c r="BM68" s="211">
        <f t="shared" si="746"/>
        <v>7</v>
      </c>
      <c r="BN68" s="211">
        <f t="shared" si="746"/>
        <v>7</v>
      </c>
      <c r="BO68" s="211">
        <f t="shared" si="746"/>
        <v>7</v>
      </c>
      <c r="BP68" s="211">
        <f t="shared" si="746"/>
        <v>7</v>
      </c>
      <c r="BQ68" s="211">
        <f t="shared" si="746"/>
        <v>7</v>
      </c>
      <c r="BR68" s="211">
        <f t="shared" si="746"/>
        <v>7</v>
      </c>
      <c r="BS68" s="212">
        <f t="shared" si="746"/>
        <v>7</v>
      </c>
      <c r="BT68" s="211">
        <f t="shared" si="746"/>
        <v>7</v>
      </c>
      <c r="BU68" s="211">
        <f t="shared" si="746"/>
        <v>7</v>
      </c>
      <c r="BV68" s="211">
        <f t="shared" si="746"/>
        <v>7</v>
      </c>
      <c r="BW68" s="211">
        <f t="shared" si="746"/>
        <v>7</v>
      </c>
      <c r="BX68" s="211">
        <f t="shared" si="746"/>
        <v>7</v>
      </c>
      <c r="BY68" s="211">
        <f t="shared" si="746"/>
        <v>8</v>
      </c>
      <c r="BZ68" s="211">
        <f t="shared" si="746"/>
        <v>8</v>
      </c>
      <c r="CA68" s="211">
        <f t="shared" si="746"/>
        <v>8</v>
      </c>
      <c r="CB68" s="211">
        <f t="shared" si="746"/>
        <v>8</v>
      </c>
      <c r="CC68" s="211">
        <f t="shared" si="746"/>
        <v>8</v>
      </c>
      <c r="CD68" s="211">
        <f t="shared" si="746"/>
        <v>8</v>
      </c>
      <c r="CE68" s="212">
        <f t="shared" si="746"/>
        <v>8</v>
      </c>
      <c r="CF68" s="211">
        <f t="shared" si="746"/>
        <v>8</v>
      </c>
      <c r="CG68" s="211">
        <f t="shared" si="746"/>
        <v>8</v>
      </c>
      <c r="CH68" s="211">
        <f t="shared" si="746"/>
        <v>8</v>
      </c>
      <c r="CI68" s="211">
        <f t="shared" ref="CI68:DN68" si="747">ROUNDUP($V68*(CI67/100)/0.8,0)</f>
        <v>8</v>
      </c>
      <c r="CJ68" s="211">
        <f t="shared" si="747"/>
        <v>8</v>
      </c>
      <c r="CK68" s="211">
        <f t="shared" si="747"/>
        <v>8</v>
      </c>
      <c r="CL68" s="211">
        <f t="shared" si="747"/>
        <v>9</v>
      </c>
      <c r="CM68" s="211">
        <f t="shared" si="747"/>
        <v>9</v>
      </c>
      <c r="CN68" s="211">
        <f t="shared" si="747"/>
        <v>9</v>
      </c>
      <c r="CO68" s="211">
        <f t="shared" si="747"/>
        <v>9</v>
      </c>
      <c r="CP68" s="211">
        <f t="shared" si="747"/>
        <v>9</v>
      </c>
      <c r="CQ68" s="212">
        <f t="shared" si="747"/>
        <v>9</v>
      </c>
      <c r="CR68" s="211">
        <f t="shared" si="747"/>
        <v>9</v>
      </c>
      <c r="CS68" s="211">
        <f t="shared" si="747"/>
        <v>9</v>
      </c>
      <c r="CT68" s="211">
        <f t="shared" si="747"/>
        <v>9</v>
      </c>
      <c r="CU68" s="211">
        <f t="shared" si="747"/>
        <v>9</v>
      </c>
      <c r="CV68" s="211">
        <f t="shared" si="747"/>
        <v>9</v>
      </c>
      <c r="CW68" s="211">
        <f t="shared" si="747"/>
        <v>10</v>
      </c>
      <c r="CX68" s="211">
        <f t="shared" si="747"/>
        <v>10</v>
      </c>
      <c r="CY68" s="211">
        <f t="shared" si="747"/>
        <v>10</v>
      </c>
      <c r="CZ68" s="211">
        <f t="shared" si="747"/>
        <v>10</v>
      </c>
      <c r="DA68" s="211">
        <f t="shared" si="747"/>
        <v>10</v>
      </c>
      <c r="DB68" s="211">
        <f t="shared" si="747"/>
        <v>10</v>
      </c>
      <c r="DC68" s="212">
        <f t="shared" si="747"/>
        <v>10</v>
      </c>
      <c r="DD68" s="211">
        <f t="shared" si="747"/>
        <v>10</v>
      </c>
      <c r="DE68" s="211">
        <f t="shared" si="747"/>
        <v>10</v>
      </c>
      <c r="DF68" s="211">
        <f t="shared" si="747"/>
        <v>10</v>
      </c>
      <c r="DG68" s="211">
        <f t="shared" si="747"/>
        <v>11</v>
      </c>
      <c r="DH68" s="211">
        <f t="shared" si="747"/>
        <v>11</v>
      </c>
      <c r="DI68" s="211">
        <f t="shared" si="747"/>
        <v>11</v>
      </c>
      <c r="DJ68" s="211">
        <f t="shared" si="747"/>
        <v>11</v>
      </c>
      <c r="DK68" s="211">
        <f t="shared" si="747"/>
        <v>11</v>
      </c>
      <c r="DL68" s="211">
        <f t="shared" si="747"/>
        <v>11</v>
      </c>
      <c r="DM68" s="211">
        <f t="shared" si="747"/>
        <v>11</v>
      </c>
      <c r="DN68" s="211">
        <f t="shared" si="747"/>
        <v>11</v>
      </c>
      <c r="DO68" s="212">
        <f t="shared" ref="DO68:ED68" si="748">ROUNDUP($V68*(DO67/100)/0.8,0)</f>
        <v>11</v>
      </c>
      <c r="DP68" s="211">
        <f t="shared" si="748"/>
        <v>11</v>
      </c>
      <c r="DQ68" s="211">
        <f t="shared" si="748"/>
        <v>12</v>
      </c>
      <c r="DR68" s="211">
        <f t="shared" si="748"/>
        <v>12</v>
      </c>
      <c r="DS68" s="211">
        <f t="shared" si="748"/>
        <v>12</v>
      </c>
      <c r="DT68" s="211">
        <f t="shared" si="748"/>
        <v>12</v>
      </c>
      <c r="DU68" s="211">
        <f t="shared" si="748"/>
        <v>12</v>
      </c>
      <c r="DV68" s="211">
        <f t="shared" si="748"/>
        <v>12</v>
      </c>
      <c r="DW68" s="211">
        <f t="shared" si="748"/>
        <v>12</v>
      </c>
      <c r="DX68" s="211">
        <f t="shared" si="748"/>
        <v>12</v>
      </c>
      <c r="DY68" s="211">
        <f t="shared" si="748"/>
        <v>12</v>
      </c>
      <c r="DZ68" s="211">
        <f t="shared" si="748"/>
        <v>12</v>
      </c>
      <c r="EA68" s="212">
        <f t="shared" si="748"/>
        <v>12</v>
      </c>
      <c r="EB68" s="211">
        <f t="shared" si="748"/>
        <v>12</v>
      </c>
      <c r="EC68" s="211">
        <f t="shared" si="748"/>
        <v>13</v>
      </c>
      <c r="ED68" s="309">
        <f t="shared" si="748"/>
        <v>13</v>
      </c>
    </row>
    <row r="69" spans="1:134" ht="18.75" outlineLevel="1" x14ac:dyDescent="0.3">
      <c r="A69" t="s">
        <v>221</v>
      </c>
      <c r="B69" s="82">
        <f>'Growth Prediction Exec Summary'!G7</f>
        <v>0.14000000000000001</v>
      </c>
      <c r="C69" s="736"/>
      <c r="D69" s="733" t="s">
        <v>245</v>
      </c>
      <c r="E69" s="733"/>
      <c r="F69" s="733"/>
      <c r="G69" s="733"/>
      <c r="H69" s="733"/>
      <c r="I69" s="733"/>
      <c r="J69" s="733"/>
      <c r="K69" s="733"/>
      <c r="L69" s="165"/>
      <c r="M69" s="495">
        <f>N69*100</f>
        <v>44</v>
      </c>
      <c r="N69" s="564">
        <f>'PCB Data'!E4/100</f>
        <v>0.44</v>
      </c>
      <c r="O69" s="565">
        <f>'PCB Data'!I4/100</f>
        <v>0.5</v>
      </c>
      <c r="P69" s="565">
        <f>'PCB Data'!M4/100</f>
        <v>0.48</v>
      </c>
      <c r="Q69" s="167"/>
      <c r="R69" s="168">
        <f t="shared" si="612"/>
        <v>3.999999999999998E-2</v>
      </c>
      <c r="S69" s="169">
        <v>1</v>
      </c>
      <c r="T69" s="169">
        <v>2</v>
      </c>
      <c r="U69" s="166"/>
      <c r="V69" s="300"/>
      <c r="W69" s="304">
        <f>M69</f>
        <v>44</v>
      </c>
      <c r="X69" s="305">
        <f t="shared" si="724"/>
        <v>44</v>
      </c>
      <c r="Y69" s="305">
        <f t="shared" si="724"/>
        <v>44</v>
      </c>
      <c r="Z69" s="305">
        <f>O69*100</f>
        <v>50</v>
      </c>
      <c r="AA69" s="305">
        <f>Z69</f>
        <v>50</v>
      </c>
      <c r="AB69" s="305">
        <f>AA69</f>
        <v>50</v>
      </c>
      <c r="AC69" s="305">
        <f>P69*100</f>
        <v>48</v>
      </c>
      <c r="AD69" s="305">
        <f>AC69</f>
        <v>48</v>
      </c>
      <c r="AE69" s="305">
        <f>AD69</f>
        <v>48</v>
      </c>
      <c r="AF69" s="305">
        <f>AE69</f>
        <v>48</v>
      </c>
      <c r="AG69" s="305">
        <f>AF69</f>
        <v>48</v>
      </c>
      <c r="AH69" s="305">
        <f>AG69</f>
        <v>48</v>
      </c>
      <c r="AI69" s="306">
        <f t="shared" ref="AI69:AT69" si="749">(((AH69*(1+($B$66*$B$4)))-AH69)/12)+AH69</f>
        <v>48.547200000000004</v>
      </c>
      <c r="AJ69" s="305">
        <f t="shared" si="749"/>
        <v>49.100638080000003</v>
      </c>
      <c r="AK69" s="305">
        <f t="shared" si="749"/>
        <v>49.660385354112002</v>
      </c>
      <c r="AL69" s="305">
        <f t="shared" si="749"/>
        <v>50.226513747148879</v>
      </c>
      <c r="AM69" s="305">
        <f t="shared" si="749"/>
        <v>50.799096003866374</v>
      </c>
      <c r="AN69" s="305">
        <f t="shared" si="749"/>
        <v>51.378205698310452</v>
      </c>
      <c r="AO69" s="305">
        <f t="shared" si="749"/>
        <v>51.96391724327119</v>
      </c>
      <c r="AP69" s="305">
        <f t="shared" si="749"/>
        <v>52.556305899844482</v>
      </c>
      <c r="AQ69" s="305">
        <f t="shared" si="749"/>
        <v>53.155447787102709</v>
      </c>
      <c r="AR69" s="305">
        <f t="shared" si="749"/>
        <v>53.761419891875683</v>
      </c>
      <c r="AS69" s="305">
        <f t="shared" si="749"/>
        <v>54.374300078643067</v>
      </c>
      <c r="AT69" s="305">
        <f t="shared" si="749"/>
        <v>54.994167099539595</v>
      </c>
      <c r="AU69" s="306">
        <f t="shared" ref="AU69:BF69" si="750">(((AT69*(1+($B$67*$B$4)))-AT69)/12)+AT69</f>
        <v>55.604602354344486</v>
      </c>
      <c r="AV69" s="305">
        <f t="shared" si="750"/>
        <v>56.22181344047771</v>
      </c>
      <c r="AW69" s="305">
        <f t="shared" si="750"/>
        <v>56.845875569667015</v>
      </c>
      <c r="AX69" s="305">
        <f t="shared" si="750"/>
        <v>57.476864788490317</v>
      </c>
      <c r="AY69" s="305">
        <f t="shared" si="750"/>
        <v>58.114857987642559</v>
      </c>
      <c r="AZ69" s="305">
        <f t="shared" si="750"/>
        <v>58.759932911305391</v>
      </c>
      <c r="BA69" s="305">
        <f t="shared" si="750"/>
        <v>59.41216816662088</v>
      </c>
      <c r="BB69" s="305">
        <f t="shared" si="750"/>
        <v>60.071643233270372</v>
      </c>
      <c r="BC69" s="305">
        <f t="shared" si="750"/>
        <v>60.738438473159675</v>
      </c>
      <c r="BD69" s="305">
        <f t="shared" si="750"/>
        <v>61.412635140211748</v>
      </c>
      <c r="BE69" s="305">
        <f t="shared" si="750"/>
        <v>62.0943153902681</v>
      </c>
      <c r="BF69" s="305">
        <f t="shared" si="750"/>
        <v>62.783562291100075</v>
      </c>
      <c r="BG69" s="306">
        <f t="shared" ref="BG69:BR69" si="751">(((BF69*(1+($B$68*$B$4)))-BF69)/12)+BF69</f>
        <v>63.442789695156627</v>
      </c>
      <c r="BH69" s="305">
        <f t="shared" si="751"/>
        <v>64.108938986955778</v>
      </c>
      <c r="BI69" s="305">
        <f t="shared" si="751"/>
        <v>64.782082846318815</v>
      </c>
      <c r="BJ69" s="305">
        <f t="shared" si="751"/>
        <v>65.462294716205164</v>
      </c>
      <c r="BK69" s="305">
        <f t="shared" si="751"/>
        <v>66.149648810725324</v>
      </c>
      <c r="BL69" s="305">
        <f t="shared" si="751"/>
        <v>66.844220123237946</v>
      </c>
      <c r="BM69" s="305">
        <f t="shared" si="751"/>
        <v>67.546084434531949</v>
      </c>
      <c r="BN69" s="305">
        <f t="shared" si="751"/>
        <v>68.255318321094535</v>
      </c>
      <c r="BO69" s="305">
        <f t="shared" si="751"/>
        <v>68.971999163466023</v>
      </c>
      <c r="BP69" s="305">
        <f t="shared" si="751"/>
        <v>69.696205154682417</v>
      </c>
      <c r="BQ69" s="305">
        <f t="shared" si="751"/>
        <v>70.428015308806579</v>
      </c>
      <c r="BR69" s="305">
        <f t="shared" si="751"/>
        <v>71.167509469549046</v>
      </c>
      <c r="BS69" s="306">
        <f t="shared" ref="BS69:CD69" si="752">(((BR69*(1+($B$69*$B$4)))-BR69)/12)+BR69</f>
        <v>71.914768318979313</v>
      </c>
      <c r="BT69" s="305">
        <f t="shared" si="752"/>
        <v>72.66987338632859</v>
      </c>
      <c r="BU69" s="305">
        <f t="shared" si="752"/>
        <v>73.432907056885043</v>
      </c>
      <c r="BV69" s="305">
        <f t="shared" si="752"/>
        <v>74.203952580982332</v>
      </c>
      <c r="BW69" s="305">
        <f t="shared" si="752"/>
        <v>74.983094083082648</v>
      </c>
      <c r="BX69" s="305">
        <f t="shared" si="752"/>
        <v>75.770416570955021</v>
      </c>
      <c r="BY69" s="305">
        <f t="shared" si="752"/>
        <v>76.566005944950049</v>
      </c>
      <c r="BZ69" s="305">
        <f t="shared" si="752"/>
        <v>77.369949007372028</v>
      </c>
      <c r="CA69" s="305">
        <f t="shared" si="752"/>
        <v>78.182333471949434</v>
      </c>
      <c r="CB69" s="305">
        <f t="shared" si="752"/>
        <v>79.00324797340491</v>
      </c>
      <c r="CC69" s="305">
        <f t="shared" si="752"/>
        <v>79.832782077125657</v>
      </c>
      <c r="CD69" s="305">
        <f t="shared" si="752"/>
        <v>80.671026288935479</v>
      </c>
      <c r="CE69" s="306">
        <f t="shared" ref="CE69:CP69" si="753">(((CD69*(1+($B$70*$B$4)))-CD69)/12)+CD69</f>
        <v>81.518072064969303</v>
      </c>
      <c r="CF69" s="305">
        <f t="shared" si="753"/>
        <v>82.374011821651479</v>
      </c>
      <c r="CG69" s="305">
        <f t="shared" si="753"/>
        <v>83.238938945778813</v>
      </c>
      <c r="CH69" s="305">
        <f t="shared" si="753"/>
        <v>84.112947804709492</v>
      </c>
      <c r="CI69" s="305">
        <f t="shared" si="753"/>
        <v>84.996133756658935</v>
      </c>
      <c r="CJ69" s="305">
        <f t="shared" si="753"/>
        <v>85.888593161103856</v>
      </c>
      <c r="CK69" s="305">
        <f t="shared" si="753"/>
        <v>86.790423389295441</v>
      </c>
      <c r="CL69" s="305">
        <f t="shared" si="753"/>
        <v>87.701722834883043</v>
      </c>
      <c r="CM69" s="305">
        <f t="shared" si="753"/>
        <v>88.622590924649316</v>
      </c>
      <c r="CN69" s="305">
        <f t="shared" si="753"/>
        <v>89.553128129358129</v>
      </c>
      <c r="CO69" s="305">
        <f t="shared" si="753"/>
        <v>90.493435974716391</v>
      </c>
      <c r="CP69" s="305">
        <f t="shared" si="753"/>
        <v>91.443617052450918</v>
      </c>
      <c r="CQ69" s="306">
        <f t="shared" ref="CQ69:DB69" si="754">(((CP69*(1+($B$71*$B$4)))-CP69)/12)+CP69</f>
        <v>92.403775031501652</v>
      </c>
      <c r="CR69" s="305">
        <f t="shared" si="754"/>
        <v>93.374014669332425</v>
      </c>
      <c r="CS69" s="305">
        <f t="shared" si="754"/>
        <v>94.354441823360418</v>
      </c>
      <c r="CT69" s="305">
        <f t="shared" si="754"/>
        <v>95.345163462505695</v>
      </c>
      <c r="CU69" s="305">
        <f t="shared" si="754"/>
        <v>96.346287678862012</v>
      </c>
      <c r="CV69" s="305">
        <f t="shared" si="754"/>
        <v>97.357923699490058</v>
      </c>
      <c r="CW69" s="305">
        <f t="shared" si="754"/>
        <v>98.380181898334712</v>
      </c>
      <c r="CX69" s="305">
        <f t="shared" si="754"/>
        <v>99.413173808267231</v>
      </c>
      <c r="CY69" s="305">
        <f t="shared" si="754"/>
        <v>100.45701213325404</v>
      </c>
      <c r="CZ69" s="305">
        <f t="shared" si="754"/>
        <v>101.5118107606532</v>
      </c>
      <c r="DA69" s="305">
        <f t="shared" si="754"/>
        <v>102.57768477364006</v>
      </c>
      <c r="DB69" s="305">
        <f t="shared" si="754"/>
        <v>103.65475046376328</v>
      </c>
      <c r="DC69" s="306">
        <f t="shared" ref="DC69:DN69" si="755">(((DB69*(1+($B$72*$B$4)))-DB69)/12)+DB69</f>
        <v>104.7431253436328</v>
      </c>
      <c r="DD69" s="305">
        <f t="shared" si="755"/>
        <v>105.84292815974095</v>
      </c>
      <c r="DE69" s="305">
        <f t="shared" si="755"/>
        <v>106.95427890541824</v>
      </c>
      <c r="DF69" s="305">
        <f t="shared" si="755"/>
        <v>108.07729883392513</v>
      </c>
      <c r="DG69" s="305">
        <f t="shared" si="755"/>
        <v>109.21211047168134</v>
      </c>
      <c r="DH69" s="305">
        <f t="shared" si="755"/>
        <v>110.358837631634</v>
      </c>
      <c r="DI69" s="305">
        <f t="shared" si="755"/>
        <v>111.51760542676617</v>
      </c>
      <c r="DJ69" s="305">
        <f t="shared" si="755"/>
        <v>112.68854028374722</v>
      </c>
      <c r="DK69" s="305">
        <f t="shared" si="755"/>
        <v>113.87176995672657</v>
      </c>
      <c r="DL69" s="305">
        <f t="shared" si="755"/>
        <v>115.06742354127219</v>
      </c>
      <c r="DM69" s="305">
        <f t="shared" si="755"/>
        <v>116.27563148845555</v>
      </c>
      <c r="DN69" s="305">
        <f t="shared" si="755"/>
        <v>117.49652561908432</v>
      </c>
      <c r="DO69" s="306">
        <f t="shared" ref="DO69:DZ69" si="756">(((DN69*(1+($B$75*$B$4)))-DN69)/12)+DN69</f>
        <v>118.37774956122746</v>
      </c>
      <c r="DP69" s="305">
        <f t="shared" si="756"/>
        <v>119.26558268293667</v>
      </c>
      <c r="DQ69" s="305">
        <f t="shared" si="756"/>
        <v>120.16007455305869</v>
      </c>
      <c r="DR69" s="305">
        <f t="shared" si="756"/>
        <v>121.06127511220663</v>
      </c>
      <c r="DS69" s="305">
        <f t="shared" si="756"/>
        <v>121.96923467554818</v>
      </c>
      <c r="DT69" s="305">
        <f t="shared" si="756"/>
        <v>122.88400393561479</v>
      </c>
      <c r="DU69" s="305">
        <f t="shared" si="756"/>
        <v>123.8056339651319</v>
      </c>
      <c r="DV69" s="305">
        <f t="shared" si="756"/>
        <v>124.73417621987039</v>
      </c>
      <c r="DW69" s="305">
        <f t="shared" si="756"/>
        <v>125.66968254151942</v>
      </c>
      <c r="DX69" s="305">
        <f t="shared" si="756"/>
        <v>126.61220516058081</v>
      </c>
      <c r="DY69" s="305">
        <f t="shared" si="756"/>
        <v>127.56179669928517</v>
      </c>
      <c r="DZ69" s="305">
        <f t="shared" si="756"/>
        <v>128.51851017452981</v>
      </c>
      <c r="EA69" s="306">
        <f>(((DZ69*(1+($B$76*$B$4)))-DZ69)/12)+DZ69</f>
        <v>129.38601011820788</v>
      </c>
      <c r="EB69" s="305">
        <f>(((EA69*(1+($B$76*$B$4)))-EA69)/12)+EA69</f>
        <v>130.25936568650579</v>
      </c>
      <c r="EC69" s="305">
        <f>(((EB69*(1+($B$76*$B$4)))-EB69)/12)+EB69</f>
        <v>131.13861640488969</v>
      </c>
      <c r="ED69" s="307">
        <f>(((EC69*(1+($B$76*$B$4)))-EC69)/12)+EC69</f>
        <v>132.0238020656227</v>
      </c>
    </row>
    <row r="70" spans="1:134" ht="18.75" outlineLevel="1" x14ac:dyDescent="0.3">
      <c r="A70" t="s">
        <v>223</v>
      </c>
      <c r="B70" s="82">
        <f>'Growth Prediction Exec Summary'!H7</f>
        <v>0.14000000000000001</v>
      </c>
      <c r="C70" s="736"/>
      <c r="D70" s="734"/>
      <c r="E70" s="734"/>
      <c r="F70" s="734"/>
      <c r="G70" s="734"/>
      <c r="H70" s="734"/>
      <c r="I70" s="734"/>
      <c r="J70" s="734"/>
      <c r="K70" s="734"/>
      <c r="L70" s="170"/>
      <c r="M70" s="171"/>
      <c r="N70" s="566"/>
      <c r="O70" s="567"/>
      <c r="P70" s="567"/>
      <c r="Q70" s="172"/>
      <c r="R70" s="173"/>
      <c r="S70" s="275"/>
      <c r="T70" s="275"/>
      <c r="U70" s="126"/>
      <c r="V70" s="301">
        <v>2</v>
      </c>
      <c r="W70" s="312">
        <f t="shared" ref="W70:BB70" si="757">ROUNDUP($V70*(W69/100)/0.8,0)</f>
        <v>2</v>
      </c>
      <c r="X70" s="313">
        <f t="shared" si="757"/>
        <v>2</v>
      </c>
      <c r="Y70" s="313">
        <f t="shared" si="757"/>
        <v>2</v>
      </c>
      <c r="Z70" s="313">
        <f t="shared" si="757"/>
        <v>2</v>
      </c>
      <c r="AA70" s="313">
        <f t="shared" si="757"/>
        <v>2</v>
      </c>
      <c r="AB70" s="313">
        <f t="shared" si="757"/>
        <v>2</v>
      </c>
      <c r="AC70" s="313">
        <f t="shared" si="757"/>
        <v>2</v>
      </c>
      <c r="AD70" s="313">
        <f t="shared" si="757"/>
        <v>2</v>
      </c>
      <c r="AE70" s="313">
        <f t="shared" si="757"/>
        <v>2</v>
      </c>
      <c r="AF70" s="313">
        <f t="shared" si="757"/>
        <v>2</v>
      </c>
      <c r="AG70" s="313">
        <f t="shared" si="757"/>
        <v>2</v>
      </c>
      <c r="AH70" s="313">
        <f t="shared" si="757"/>
        <v>2</v>
      </c>
      <c r="AI70" s="314">
        <f t="shared" si="757"/>
        <v>2</v>
      </c>
      <c r="AJ70" s="313">
        <f t="shared" si="757"/>
        <v>2</v>
      </c>
      <c r="AK70" s="313">
        <f t="shared" si="757"/>
        <v>2</v>
      </c>
      <c r="AL70" s="313">
        <f t="shared" si="757"/>
        <v>2</v>
      </c>
      <c r="AM70" s="313">
        <f t="shared" si="757"/>
        <v>2</v>
      </c>
      <c r="AN70" s="313">
        <f t="shared" si="757"/>
        <v>2</v>
      </c>
      <c r="AO70" s="313">
        <f t="shared" si="757"/>
        <v>2</v>
      </c>
      <c r="AP70" s="313">
        <f t="shared" si="757"/>
        <v>2</v>
      </c>
      <c r="AQ70" s="313">
        <f t="shared" si="757"/>
        <v>2</v>
      </c>
      <c r="AR70" s="313">
        <f t="shared" si="757"/>
        <v>2</v>
      </c>
      <c r="AS70" s="313">
        <f t="shared" si="757"/>
        <v>2</v>
      </c>
      <c r="AT70" s="313">
        <f t="shared" si="757"/>
        <v>2</v>
      </c>
      <c r="AU70" s="314">
        <f t="shared" si="757"/>
        <v>2</v>
      </c>
      <c r="AV70" s="313">
        <f t="shared" si="757"/>
        <v>2</v>
      </c>
      <c r="AW70" s="313">
        <f t="shared" si="757"/>
        <v>2</v>
      </c>
      <c r="AX70" s="313">
        <f t="shared" si="757"/>
        <v>2</v>
      </c>
      <c r="AY70" s="313">
        <f t="shared" si="757"/>
        <v>2</v>
      </c>
      <c r="AZ70" s="313">
        <f t="shared" si="757"/>
        <v>2</v>
      </c>
      <c r="BA70" s="313">
        <f t="shared" si="757"/>
        <v>2</v>
      </c>
      <c r="BB70" s="313">
        <f t="shared" si="757"/>
        <v>2</v>
      </c>
      <c r="BC70" s="313">
        <f t="shared" ref="BC70:CH70" si="758">ROUNDUP($V70*(BC69/100)/0.8,0)</f>
        <v>2</v>
      </c>
      <c r="BD70" s="313">
        <f t="shared" si="758"/>
        <v>2</v>
      </c>
      <c r="BE70" s="313">
        <f t="shared" si="758"/>
        <v>2</v>
      </c>
      <c r="BF70" s="313">
        <f t="shared" si="758"/>
        <v>2</v>
      </c>
      <c r="BG70" s="314">
        <f t="shared" si="758"/>
        <v>2</v>
      </c>
      <c r="BH70" s="313">
        <f t="shared" si="758"/>
        <v>2</v>
      </c>
      <c r="BI70" s="313">
        <f t="shared" si="758"/>
        <v>2</v>
      </c>
      <c r="BJ70" s="313">
        <f t="shared" si="758"/>
        <v>2</v>
      </c>
      <c r="BK70" s="313">
        <f t="shared" si="758"/>
        <v>2</v>
      </c>
      <c r="BL70" s="313">
        <f t="shared" si="758"/>
        <v>2</v>
      </c>
      <c r="BM70" s="313">
        <f t="shared" si="758"/>
        <v>2</v>
      </c>
      <c r="BN70" s="313">
        <f t="shared" si="758"/>
        <v>2</v>
      </c>
      <c r="BO70" s="313">
        <f t="shared" si="758"/>
        <v>2</v>
      </c>
      <c r="BP70" s="313">
        <f t="shared" si="758"/>
        <v>2</v>
      </c>
      <c r="BQ70" s="313">
        <f t="shared" si="758"/>
        <v>2</v>
      </c>
      <c r="BR70" s="313">
        <f t="shared" si="758"/>
        <v>2</v>
      </c>
      <c r="BS70" s="314">
        <f t="shared" si="758"/>
        <v>2</v>
      </c>
      <c r="BT70" s="313">
        <f t="shared" si="758"/>
        <v>2</v>
      </c>
      <c r="BU70" s="313">
        <f t="shared" si="758"/>
        <v>2</v>
      </c>
      <c r="BV70" s="313">
        <f t="shared" si="758"/>
        <v>2</v>
      </c>
      <c r="BW70" s="313">
        <f t="shared" si="758"/>
        <v>2</v>
      </c>
      <c r="BX70" s="313">
        <f t="shared" si="758"/>
        <v>2</v>
      </c>
      <c r="BY70" s="313">
        <f t="shared" si="758"/>
        <v>2</v>
      </c>
      <c r="BZ70" s="313">
        <f t="shared" si="758"/>
        <v>2</v>
      </c>
      <c r="CA70" s="313">
        <f t="shared" si="758"/>
        <v>2</v>
      </c>
      <c r="CB70" s="313">
        <f t="shared" si="758"/>
        <v>2</v>
      </c>
      <c r="CC70" s="313">
        <f t="shared" si="758"/>
        <v>2</v>
      </c>
      <c r="CD70" s="313">
        <f t="shared" si="758"/>
        <v>3</v>
      </c>
      <c r="CE70" s="314">
        <f t="shared" si="758"/>
        <v>3</v>
      </c>
      <c r="CF70" s="313">
        <f t="shared" si="758"/>
        <v>3</v>
      </c>
      <c r="CG70" s="313">
        <f t="shared" si="758"/>
        <v>3</v>
      </c>
      <c r="CH70" s="313">
        <f t="shared" si="758"/>
        <v>3</v>
      </c>
      <c r="CI70" s="313">
        <f t="shared" ref="CI70:DN70" si="759">ROUNDUP($V70*(CI69/100)/0.8,0)</f>
        <v>3</v>
      </c>
      <c r="CJ70" s="313">
        <f t="shared" si="759"/>
        <v>3</v>
      </c>
      <c r="CK70" s="313">
        <f t="shared" si="759"/>
        <v>3</v>
      </c>
      <c r="CL70" s="313">
        <f t="shared" si="759"/>
        <v>3</v>
      </c>
      <c r="CM70" s="313">
        <f t="shared" si="759"/>
        <v>3</v>
      </c>
      <c r="CN70" s="313">
        <f t="shared" si="759"/>
        <v>3</v>
      </c>
      <c r="CO70" s="313">
        <f t="shared" si="759"/>
        <v>3</v>
      </c>
      <c r="CP70" s="313">
        <f t="shared" si="759"/>
        <v>3</v>
      </c>
      <c r="CQ70" s="314">
        <f t="shared" si="759"/>
        <v>3</v>
      </c>
      <c r="CR70" s="313">
        <f t="shared" si="759"/>
        <v>3</v>
      </c>
      <c r="CS70" s="313">
        <f t="shared" si="759"/>
        <v>3</v>
      </c>
      <c r="CT70" s="313">
        <f t="shared" si="759"/>
        <v>3</v>
      </c>
      <c r="CU70" s="313">
        <f t="shared" si="759"/>
        <v>3</v>
      </c>
      <c r="CV70" s="313">
        <f t="shared" si="759"/>
        <v>3</v>
      </c>
      <c r="CW70" s="313">
        <f t="shared" si="759"/>
        <v>3</v>
      </c>
      <c r="CX70" s="313">
        <f t="shared" si="759"/>
        <v>3</v>
      </c>
      <c r="CY70" s="313">
        <f t="shared" si="759"/>
        <v>3</v>
      </c>
      <c r="CZ70" s="313">
        <f t="shared" si="759"/>
        <v>3</v>
      </c>
      <c r="DA70" s="313">
        <f t="shared" si="759"/>
        <v>3</v>
      </c>
      <c r="DB70" s="313">
        <f t="shared" si="759"/>
        <v>3</v>
      </c>
      <c r="DC70" s="314">
        <f t="shared" si="759"/>
        <v>3</v>
      </c>
      <c r="DD70" s="313">
        <f t="shared" si="759"/>
        <v>3</v>
      </c>
      <c r="DE70" s="313">
        <f t="shared" si="759"/>
        <v>3</v>
      </c>
      <c r="DF70" s="313">
        <f t="shared" si="759"/>
        <v>3</v>
      </c>
      <c r="DG70" s="313">
        <f t="shared" si="759"/>
        <v>3</v>
      </c>
      <c r="DH70" s="313">
        <f t="shared" si="759"/>
        <v>3</v>
      </c>
      <c r="DI70" s="313">
        <f t="shared" si="759"/>
        <v>3</v>
      </c>
      <c r="DJ70" s="313">
        <f t="shared" si="759"/>
        <v>3</v>
      </c>
      <c r="DK70" s="313">
        <f t="shared" si="759"/>
        <v>3</v>
      </c>
      <c r="DL70" s="313">
        <f t="shared" si="759"/>
        <v>3</v>
      </c>
      <c r="DM70" s="313">
        <f t="shared" si="759"/>
        <v>3</v>
      </c>
      <c r="DN70" s="313">
        <f t="shared" si="759"/>
        <v>3</v>
      </c>
      <c r="DO70" s="314">
        <f t="shared" ref="DO70:ED70" si="760">ROUNDUP($V70*(DO69/100)/0.8,0)</f>
        <v>3</v>
      </c>
      <c r="DP70" s="313">
        <f t="shared" si="760"/>
        <v>3</v>
      </c>
      <c r="DQ70" s="313">
        <f t="shared" si="760"/>
        <v>4</v>
      </c>
      <c r="DR70" s="313">
        <f t="shared" si="760"/>
        <v>4</v>
      </c>
      <c r="DS70" s="313">
        <f t="shared" si="760"/>
        <v>4</v>
      </c>
      <c r="DT70" s="313">
        <f t="shared" si="760"/>
        <v>4</v>
      </c>
      <c r="DU70" s="313">
        <f t="shared" si="760"/>
        <v>4</v>
      </c>
      <c r="DV70" s="313">
        <f t="shared" si="760"/>
        <v>4</v>
      </c>
      <c r="DW70" s="313">
        <f t="shared" si="760"/>
        <v>4</v>
      </c>
      <c r="DX70" s="313">
        <f t="shared" si="760"/>
        <v>4</v>
      </c>
      <c r="DY70" s="313">
        <f t="shared" si="760"/>
        <v>4</v>
      </c>
      <c r="DZ70" s="313">
        <f t="shared" si="760"/>
        <v>4</v>
      </c>
      <c r="EA70" s="314">
        <f t="shared" si="760"/>
        <v>4</v>
      </c>
      <c r="EB70" s="313">
        <f t="shared" si="760"/>
        <v>4</v>
      </c>
      <c r="EC70" s="313">
        <f t="shared" si="760"/>
        <v>4</v>
      </c>
      <c r="ED70" s="315">
        <f t="shared" si="760"/>
        <v>4</v>
      </c>
    </row>
    <row r="71" spans="1:134" ht="18.75" outlineLevel="1" x14ac:dyDescent="0.3">
      <c r="A71" t="s">
        <v>224</v>
      </c>
      <c r="B71" s="82">
        <f>'Growth Prediction Exec Summary'!I7</f>
        <v>0.14000000000000001</v>
      </c>
      <c r="C71" s="736"/>
      <c r="D71" s="750" t="s">
        <v>246</v>
      </c>
      <c r="E71" s="733"/>
      <c r="F71" s="733"/>
      <c r="G71" s="733"/>
      <c r="H71" s="733"/>
      <c r="I71" s="733"/>
      <c r="J71" s="733"/>
      <c r="K71" s="733"/>
      <c r="L71" s="751"/>
      <c r="M71" s="495">
        <f>N71</f>
        <v>23.200000000000003</v>
      </c>
      <c r="N71" s="542">
        <f>'PCB Data'!T4+'PCB Data'!W4</f>
        <v>23.200000000000003</v>
      </c>
      <c r="O71" s="542">
        <f>'PCB Data'!U4+'PCB Data'!X4</f>
        <v>24.02823529411765</v>
      </c>
      <c r="P71" s="542">
        <f>'PCB Data'!V4+'PCB Data'!Y4</f>
        <v>23.665882352941175</v>
      </c>
      <c r="Q71" s="175"/>
      <c r="R71" s="554">
        <f>P71-N71</f>
        <v>0.46588235294117197</v>
      </c>
      <c r="S71" s="175"/>
      <c r="T71" s="175"/>
      <c r="U71" s="126"/>
      <c r="V71" s="302"/>
      <c r="W71" s="543">
        <f>M71</f>
        <v>23.200000000000003</v>
      </c>
      <c r="X71" s="544">
        <f>W71</f>
        <v>23.200000000000003</v>
      </c>
      <c r="Y71" s="544">
        <f>X71</f>
        <v>23.200000000000003</v>
      </c>
      <c r="Z71" s="544">
        <f>O71</f>
        <v>24.02823529411765</v>
      </c>
      <c r="AA71" s="544">
        <f>Z71</f>
        <v>24.02823529411765</v>
      </c>
      <c r="AB71" s="544">
        <f>AA71</f>
        <v>24.02823529411765</v>
      </c>
      <c r="AC71" s="544">
        <f>P71</f>
        <v>23.665882352941175</v>
      </c>
      <c r="AD71" s="544">
        <f>AC71</f>
        <v>23.665882352941175</v>
      </c>
      <c r="AE71" s="544">
        <f>AD71</f>
        <v>23.665882352941175</v>
      </c>
      <c r="AF71" s="544">
        <f>AE71</f>
        <v>23.665882352941175</v>
      </c>
      <c r="AG71" s="544">
        <f>AF71</f>
        <v>23.665882352941175</v>
      </c>
      <c r="AH71" s="544">
        <f>AG71</f>
        <v>23.665882352941175</v>
      </c>
      <c r="AI71" s="545">
        <f t="shared" ref="AI71" si="761">(((AH71*(1+($B$36*$B$4)))-AH71)/12)+AH71</f>
        <v>23.807877647058824</v>
      </c>
      <c r="AJ71" s="544">
        <f t="shared" ref="AJ71" si="762">(((AI71*(1+($B$36*$B$4)))-AI71)/12)+AI71</f>
        <v>23.950724912941176</v>
      </c>
      <c r="AK71" s="544">
        <f t="shared" ref="AK71" si="763">(((AJ71*(1+($B$36*$B$4)))-AJ71)/12)+AJ71</f>
        <v>24.094429262418824</v>
      </c>
      <c r="AL71" s="544">
        <f t="shared" ref="AL71" si="764">(((AK71*(1+($B$36*$B$4)))-AK71)/12)+AK71</f>
        <v>24.238995837993336</v>
      </c>
      <c r="AM71" s="544">
        <f t="shared" ref="AM71" si="765">(((AL71*(1+($B$36*$B$4)))-AL71)/12)+AL71</f>
        <v>24.384429813021296</v>
      </c>
      <c r="AN71" s="544">
        <f t="shared" ref="AN71" si="766">(((AM71*(1+($B$36*$B$4)))-AM71)/12)+AM71</f>
        <v>24.530736391899424</v>
      </c>
      <c r="AO71" s="544">
        <f t="shared" ref="AO71" si="767">(((AN71*(1+($B$36*$B$4)))-AN71)/12)+AN71</f>
        <v>24.677920810250821</v>
      </c>
      <c r="AP71" s="544">
        <f t="shared" ref="AP71" si="768">(((AO71*(1+($B$36*$B$4)))-AO71)/12)+AO71</f>
        <v>24.825988335112328</v>
      </c>
      <c r="AQ71" s="544">
        <f t="shared" ref="AQ71" si="769">(((AP71*(1+($B$36*$B$4)))-AP71)/12)+AP71</f>
        <v>24.974944265123003</v>
      </c>
      <c r="AR71" s="544">
        <f t="shared" ref="AR71" si="770">(((AQ71*(1+($B$36*$B$4)))-AQ71)/12)+AQ71</f>
        <v>25.124793930713743</v>
      </c>
      <c r="AS71" s="544">
        <f t="shared" ref="AS71" si="771">(((AR71*(1+($B$36*$B$4)))-AR71)/12)+AR71</f>
        <v>25.275542694298025</v>
      </c>
      <c r="AT71" s="544">
        <f t="shared" ref="AT71" si="772">(((AS71*(1+($B$36*$B$4)))-AS71)/12)+AS71</f>
        <v>25.427195950463812</v>
      </c>
      <c r="AU71" s="545">
        <f t="shared" ref="AU71" si="773">(((AT71*(1+($B$37*$B$4)))-AT71)/12)+AT71</f>
        <v>25.579759126166596</v>
      </c>
      <c r="AV71" s="544">
        <f t="shared" ref="AV71" si="774">(((AU71*(1+($B$37*$B$4)))-AU71)/12)+AU71</f>
        <v>25.733237680923597</v>
      </c>
      <c r="AW71" s="544">
        <f t="shared" ref="AW71" si="775">(((AV71*(1+($B$37*$B$4)))-AV71)/12)+AV71</f>
        <v>25.887637107009141</v>
      </c>
      <c r="AX71" s="544">
        <f t="shared" ref="AX71" si="776">(((AW71*(1+($B$37*$B$4)))-AW71)/12)+AW71</f>
        <v>26.042962929651196</v>
      </c>
      <c r="AY71" s="544">
        <f t="shared" ref="AY71" si="777">(((AX71*(1+($B$37*$B$4)))-AX71)/12)+AX71</f>
        <v>26.199220707229102</v>
      </c>
      <c r="AZ71" s="544">
        <f t="shared" ref="AZ71" si="778">(((AY71*(1+($B$37*$B$4)))-AY71)/12)+AY71</f>
        <v>26.356416031472477</v>
      </c>
      <c r="BA71" s="544">
        <f t="shared" ref="BA71" si="779">(((AZ71*(1+($B$37*$B$4)))-AZ71)/12)+AZ71</f>
        <v>26.514554527661311</v>
      </c>
      <c r="BB71" s="544">
        <f t="shared" ref="BB71" si="780">(((BA71*(1+($B$37*$B$4)))-BA71)/12)+BA71</f>
        <v>26.673641854827277</v>
      </c>
      <c r="BC71" s="544">
        <f t="shared" ref="BC71" si="781">(((BB71*(1+($B$37*$B$4)))-BB71)/12)+BB71</f>
        <v>26.83368370595624</v>
      </c>
      <c r="BD71" s="544">
        <f t="shared" ref="BD71" si="782">(((BC71*(1+($B$37*$B$4)))-BC71)/12)+BC71</f>
        <v>26.994685808191978</v>
      </c>
      <c r="BE71" s="544">
        <f t="shared" ref="BE71" si="783">(((BD71*(1+($B$37*$B$4)))-BD71)/12)+BD71</f>
        <v>27.15665392304113</v>
      </c>
      <c r="BF71" s="544">
        <f t="shared" ref="BF71" si="784">(((BE71*(1+($B$37*$B$4)))-BE71)/12)+BE71</f>
        <v>27.319593846579377</v>
      </c>
      <c r="BG71" s="545">
        <f t="shared" ref="BG71" si="785">(((BF71*(1+($B$38*$B$4)))-BF71)/12)+BF71</f>
        <v>27.483511409658853</v>
      </c>
      <c r="BH71" s="544">
        <f t="shared" ref="BH71" si="786">(((BG71*(1+($B$38*$B$4)))-BG71)/12)+BG71</f>
        <v>27.648412478116807</v>
      </c>
      <c r="BI71" s="544">
        <f t="shared" ref="BI71" si="787">(((BH71*(1+($B$38*$B$4)))-BH71)/12)+BH71</f>
        <v>27.814302952985507</v>
      </c>
      <c r="BJ71" s="544">
        <f t="shared" ref="BJ71" si="788">(((BI71*(1+($B$38*$B$4)))-BI71)/12)+BI71</f>
        <v>27.981188770703419</v>
      </c>
      <c r="BK71" s="544">
        <f t="shared" ref="BK71" si="789">(((BJ71*(1+($B$38*$B$4)))-BJ71)/12)+BJ71</f>
        <v>28.149075903327638</v>
      </c>
      <c r="BL71" s="544">
        <f t="shared" ref="BL71" si="790">(((BK71*(1+($B$38*$B$4)))-BK71)/12)+BK71</f>
        <v>28.317970358747605</v>
      </c>
      <c r="BM71" s="544">
        <f t="shared" ref="BM71" si="791">(((BL71*(1+($B$38*$B$4)))-BL71)/12)+BL71</f>
        <v>28.48787818090009</v>
      </c>
      <c r="BN71" s="544">
        <f t="shared" ref="BN71" si="792">(((BM71*(1+($B$38*$B$4)))-BM71)/12)+BM71</f>
        <v>28.65880544998549</v>
      </c>
      <c r="BO71" s="544">
        <f t="shared" ref="BO71" si="793">(((BN71*(1+($B$38*$B$4)))-BN71)/12)+BN71</f>
        <v>28.830758282685402</v>
      </c>
      <c r="BP71" s="544">
        <f t="shared" ref="BP71" si="794">(((BO71*(1+($B$38*$B$4)))-BO71)/12)+BO71</f>
        <v>29.003742832381516</v>
      </c>
      <c r="BQ71" s="544">
        <f t="shared" ref="BQ71" si="795">(((BP71*(1+($B$38*$B$4)))-BP71)/12)+BP71</f>
        <v>29.177765289375806</v>
      </c>
      <c r="BR71" s="544">
        <f t="shared" ref="BR71" si="796">(((BQ71*(1+($B$38*$B$4)))-BQ71)/12)+BQ71</f>
        <v>29.35283188111206</v>
      </c>
      <c r="BS71" s="545">
        <f t="shared" ref="BS71" si="797">(((BR71*(1+($B$39*$B$4)))-BR71)/12)+BR71</f>
        <v>29.528948872398733</v>
      </c>
      <c r="BT71" s="544">
        <f t="shared" ref="BT71" si="798">(((BS71*(1+($B$39*$B$4)))-BS71)/12)+BS71</f>
        <v>29.706122565633127</v>
      </c>
      <c r="BU71" s="544">
        <f t="shared" ref="BU71" si="799">(((BT71*(1+($B$39*$B$4)))-BT71)/12)+BT71</f>
        <v>29.884359301026926</v>
      </c>
      <c r="BV71" s="544">
        <f t="shared" ref="BV71" si="800">(((BU71*(1+($B$39*$B$4)))-BU71)/12)+BU71</f>
        <v>30.063665456833089</v>
      </c>
      <c r="BW71" s="544">
        <f t="shared" ref="BW71" si="801">(((BV71*(1+($B$39*$B$4)))-BV71)/12)+BV71</f>
        <v>30.244047449574087</v>
      </c>
      <c r="BX71" s="544">
        <f t="shared" ref="BX71" si="802">(((BW71*(1+($B$39*$B$4)))-BW71)/12)+BW71</f>
        <v>30.425511734271531</v>
      </c>
      <c r="BY71" s="544">
        <f t="shared" ref="BY71" si="803">(((BX71*(1+($B$39*$B$4)))-BX71)/12)+BX71</f>
        <v>30.608064804677159</v>
      </c>
      <c r="BZ71" s="544">
        <f t="shared" ref="BZ71" si="804">(((BY71*(1+($B$39*$B$4)))-BY71)/12)+BY71</f>
        <v>30.791713193505224</v>
      </c>
      <c r="CA71" s="544">
        <f t="shared" ref="CA71" si="805">(((BZ71*(1+($B$39*$B$4)))-BZ71)/12)+BZ71</f>
        <v>30.976463472666254</v>
      </c>
      <c r="CB71" s="544">
        <f t="shared" ref="CB71" si="806">(((CA71*(1+($B$39*$B$4)))-CA71)/12)+CA71</f>
        <v>31.16232225350225</v>
      </c>
      <c r="CC71" s="544">
        <f t="shared" ref="CC71" si="807">(((CB71*(1+($B$39*$B$4)))-CB71)/12)+CB71</f>
        <v>31.349296187023263</v>
      </c>
      <c r="CD71" s="544">
        <f t="shared" ref="CD71" si="808">(((CC71*(1+($B$39*$B$4)))-CC71)/12)+CC71</f>
        <v>31.537391964145403</v>
      </c>
      <c r="CE71" s="545">
        <f t="shared" ref="CE71" si="809">(((CD71*(1+($B$40*$B$4)))-CD71)/12)+CD71</f>
        <v>31.726616315930276</v>
      </c>
      <c r="CF71" s="544">
        <f t="shared" ref="CF71" si="810">(((CE71*(1+($B$40*$B$4)))-CE71)/12)+CE71</f>
        <v>31.916976013825856</v>
      </c>
      <c r="CG71" s="544">
        <f t="shared" ref="CG71" si="811">(((CF71*(1+($B$40*$B$4)))-CF71)/12)+CF71</f>
        <v>32.10847786990881</v>
      </c>
      <c r="CH71" s="544">
        <f t="shared" ref="CH71" si="812">(((CG71*(1+($B$40*$B$4)))-CG71)/12)+CG71</f>
        <v>32.301128737128266</v>
      </c>
      <c r="CI71" s="544">
        <f t="shared" ref="CI71" si="813">(((CH71*(1+($B$40*$B$4)))-CH71)/12)+CH71</f>
        <v>32.494935509551034</v>
      </c>
      <c r="CJ71" s="544">
        <f t="shared" ref="CJ71" si="814">(((CI71*(1+($B$40*$B$4)))-CI71)/12)+CI71</f>
        <v>32.689905122608337</v>
      </c>
      <c r="CK71" s="544">
        <f t="shared" ref="CK71" si="815">(((CJ71*(1+($B$40*$B$4)))-CJ71)/12)+CJ71</f>
        <v>32.886044553343986</v>
      </c>
      <c r="CL71" s="544">
        <f t="shared" ref="CL71" si="816">(((CK71*(1+($B$40*$B$4)))-CK71)/12)+CK71</f>
        <v>33.083360820664048</v>
      </c>
      <c r="CM71" s="544">
        <f t="shared" ref="CM71" si="817">(((CL71*(1+($B$40*$B$4)))-CL71)/12)+CL71</f>
        <v>33.281860985588033</v>
      </c>
      <c r="CN71" s="544">
        <f t="shared" ref="CN71" si="818">(((CM71*(1+($B$40*$B$4)))-CM71)/12)+CM71</f>
        <v>33.48155215150156</v>
      </c>
      <c r="CO71" s="544">
        <f t="shared" ref="CO71" si="819">(((CN71*(1+($B$40*$B$4)))-CN71)/12)+CN71</f>
        <v>33.682441464410573</v>
      </c>
      <c r="CP71" s="544">
        <f t="shared" ref="CP71" si="820">(((CO71*(1+($B$40*$B$4)))-CO71)/12)+CO71</f>
        <v>33.884536113197036</v>
      </c>
      <c r="CQ71" s="545">
        <f t="shared" ref="CQ71" si="821">(((CP71*(1+($B$41*$B$4)))-CP71)/12)+CP71</f>
        <v>34.087843329876222</v>
      </c>
      <c r="CR71" s="544">
        <f t="shared" ref="CR71" si="822">(((CQ71*(1+($B$41*$B$4)))-CQ71)/12)+CQ71</f>
        <v>34.292370389855478</v>
      </c>
      <c r="CS71" s="544">
        <f t="shared" ref="CS71" si="823">(((CR71*(1+($B$41*$B$4)))-CR71)/12)+CR71</f>
        <v>34.498124612194609</v>
      </c>
      <c r="CT71" s="544">
        <f t="shared" ref="CT71" si="824">(((CS71*(1+($B$41*$B$4)))-CS71)/12)+CS71</f>
        <v>34.705113359867774</v>
      </c>
      <c r="CU71" s="544">
        <f t="shared" ref="CU71" si="825">(((CT71*(1+($B$41*$B$4)))-CT71)/12)+CT71</f>
        <v>34.913344040026978</v>
      </c>
      <c r="CV71" s="544">
        <f t="shared" ref="CV71" si="826">(((CU71*(1+($B$41*$B$4)))-CU71)/12)+CU71</f>
        <v>35.122824104267139</v>
      </c>
      <c r="CW71" s="544">
        <f t="shared" ref="CW71" si="827">(((CV71*(1+($B$41*$B$4)))-CV71)/12)+CV71</f>
        <v>35.33356104889274</v>
      </c>
      <c r="CX71" s="544">
        <f t="shared" ref="CX71" si="828">(((CW71*(1+($B$41*$B$4)))-CW71)/12)+CW71</f>
        <v>35.545562415186097</v>
      </c>
      <c r="CY71" s="544">
        <f t="shared" ref="CY71" si="829">(((CX71*(1+($B$41*$B$4)))-CX71)/12)+CX71</f>
        <v>35.758835789677214</v>
      </c>
      <c r="CZ71" s="544">
        <f t="shared" ref="CZ71" si="830">(((CY71*(1+($B$41*$B$4)))-CY71)/12)+CY71</f>
        <v>35.973388804415279</v>
      </c>
      <c r="DA71" s="544">
        <f t="shared" ref="DA71" si="831">(((CZ71*(1+($B$41*$B$4)))-CZ71)/12)+CZ71</f>
        <v>36.189229137241767</v>
      </c>
      <c r="DB71" s="544">
        <f t="shared" ref="DB71" si="832">(((DA71*(1+($B$41*$B$4)))-DA71)/12)+DA71</f>
        <v>36.406364512065217</v>
      </c>
      <c r="DC71" s="545">
        <f t="shared" ref="DC71" si="833">(((DB71*(1+($B$42*$B$4)))-DB71)/12)+DB71</f>
        <v>36.624802699137611</v>
      </c>
      <c r="DD71" s="544">
        <f t="shared" ref="DD71" si="834">(((DC71*(1+($B$42*$B$4)))-DC71)/12)+DC71</f>
        <v>36.844551515332434</v>
      </c>
      <c r="DE71" s="544">
        <f t="shared" ref="DE71" si="835">(((DD71*(1+($B$42*$B$4)))-DD71)/12)+DD71</f>
        <v>37.065618824424426</v>
      </c>
      <c r="DF71" s="544">
        <f t="shared" ref="DF71" si="836">(((DE71*(1+($B$42*$B$4)))-DE71)/12)+DE71</f>
        <v>37.288012537370975</v>
      </c>
      <c r="DG71" s="544">
        <f t="shared" ref="DG71" si="837">(((DF71*(1+($B$42*$B$4)))-DF71)/12)+DF71</f>
        <v>37.511740612595204</v>
      </c>
      <c r="DH71" s="544">
        <f t="shared" ref="DH71" si="838">(((DG71*(1+($B$42*$B$4)))-DG71)/12)+DG71</f>
        <v>37.736811056270774</v>
      </c>
      <c r="DI71" s="544">
        <f t="shared" ref="DI71" si="839">(((DH71*(1+($B$42*$B$4)))-DH71)/12)+DH71</f>
        <v>37.963231922608401</v>
      </c>
      <c r="DJ71" s="544">
        <f t="shared" ref="DJ71" si="840">(((DI71*(1+($B$42*$B$4)))-DI71)/12)+DI71</f>
        <v>38.191011314144049</v>
      </c>
      <c r="DK71" s="544">
        <f t="shared" ref="DK71" si="841">(((DJ71*(1+($B$42*$B$4)))-DJ71)/12)+DJ71</f>
        <v>38.420157382028911</v>
      </c>
      <c r="DL71" s="544">
        <f t="shared" ref="DL71" si="842">(((DK71*(1+($B$42*$B$4)))-DK71)/12)+DK71</f>
        <v>38.650678326321085</v>
      </c>
      <c r="DM71" s="544">
        <f t="shared" ref="DM71" si="843">(((DL71*(1+($B$42*$B$4)))-DL71)/12)+DL71</f>
        <v>38.882582396279012</v>
      </c>
      <c r="DN71" s="544">
        <f t="shared" ref="DN71" si="844">(((DM71*(1+($B$42*$B$4)))-DM71)/12)+DM71</f>
        <v>39.115877890656684</v>
      </c>
      <c r="DO71" s="545">
        <f t="shared" ref="DO71" si="845">(((DN71*(1+($B$43*$B$4)))-DN71)/12)+DN71</f>
        <v>39.350573158000621</v>
      </c>
      <c r="DP71" s="544">
        <f t="shared" ref="DP71" si="846">(((DO71*(1+($B$43*$B$4)))-DO71)/12)+DO71</f>
        <v>39.586676596948628</v>
      </c>
      <c r="DQ71" s="544">
        <f t="shared" ref="DQ71" si="847">(((DP71*(1+($B$43*$B$4)))-DP71)/12)+DP71</f>
        <v>39.824196656530319</v>
      </c>
      <c r="DR71" s="544">
        <f t="shared" ref="DR71" si="848">(((DQ71*(1+($B$43*$B$4)))-DQ71)/12)+DQ71</f>
        <v>40.063141836469498</v>
      </c>
      <c r="DS71" s="544">
        <f t="shared" ref="DS71" si="849">(((DR71*(1+($B$43*$B$4)))-DR71)/12)+DR71</f>
        <v>40.303520687488316</v>
      </c>
      <c r="DT71" s="544">
        <f t="shared" ref="DT71" si="850">(((DS71*(1+($B$43*$B$4)))-DS71)/12)+DS71</f>
        <v>40.545341811613248</v>
      </c>
      <c r="DU71" s="544">
        <f t="shared" ref="DU71" si="851">(((DT71*(1+($B$43*$B$4)))-DT71)/12)+DT71</f>
        <v>40.788613862482926</v>
      </c>
      <c r="DV71" s="544">
        <f t="shared" ref="DV71" si="852">(((DU71*(1+($B$43*$B$4)))-DU71)/12)+DU71</f>
        <v>41.033345545657824</v>
      </c>
      <c r="DW71" s="544">
        <f t="shared" ref="DW71" si="853">(((DV71*(1+($B$43*$B$4)))-DV71)/12)+DV71</f>
        <v>41.27954561893177</v>
      </c>
      <c r="DX71" s="544">
        <f t="shared" ref="DX71" si="854">(((DW71*(1+($B$43*$B$4)))-DW71)/12)+DW71</f>
        <v>41.527222892645362</v>
      </c>
      <c r="DY71" s="544">
        <f t="shared" ref="DY71" si="855">(((DX71*(1+($B$43*$B$4)))-DX71)/12)+DX71</f>
        <v>41.776386230001236</v>
      </c>
      <c r="DZ71" s="544">
        <f t="shared" ref="DZ71" si="856">(((DY71*(1+($B$43*$B$4)))-DY71)/12)+DY71</f>
        <v>42.027044547381244</v>
      </c>
      <c r="EA71" s="545">
        <f>(((DZ71*(1+($B$44*$B$4)))-DZ71)/12)+DZ71</f>
        <v>42.279206814665535</v>
      </c>
      <c r="EB71" s="544">
        <f>(((EA71*(1+($B$44*$B$4)))-EA71)/12)+EA71</f>
        <v>42.532882055553529</v>
      </c>
      <c r="EC71" s="544">
        <f>(((EB71*(1+($B$44*$B$4)))-EB71)/12)+EB71</f>
        <v>42.78807934788685</v>
      </c>
      <c r="ED71" s="546">
        <f>(((EC71*(1+($B$44*$B$4)))-EC71)/12)+EC71</f>
        <v>43.044807823974168</v>
      </c>
    </row>
    <row r="72" spans="1:134" ht="18.75" outlineLevel="1" x14ac:dyDescent="0.3">
      <c r="A72" t="s">
        <v>226</v>
      </c>
      <c r="B72" s="82">
        <f>'Growth Prediction Exec Summary'!J7</f>
        <v>0.14000000000000001</v>
      </c>
      <c r="C72" s="736"/>
      <c r="D72" s="752" t="s">
        <v>247</v>
      </c>
      <c r="E72" s="734"/>
      <c r="F72" s="734"/>
      <c r="G72" s="734"/>
      <c r="H72" s="734"/>
      <c r="I72" s="734"/>
      <c r="J72" s="734"/>
      <c r="K72" s="734"/>
      <c r="L72" s="753"/>
      <c r="M72" s="171"/>
      <c r="N72" s="578">
        <f>'PCB Data'!Q4</f>
        <v>402</v>
      </c>
      <c r="O72" s="579">
        <f>'PCB Data'!R4</f>
        <v>408</v>
      </c>
      <c r="P72" s="547">
        <f>'PCB Data'!S4</f>
        <v>397</v>
      </c>
      <c r="Q72" s="172"/>
      <c r="R72" s="173"/>
      <c r="S72" s="172"/>
      <c r="T72" s="172"/>
      <c r="U72" s="171"/>
      <c r="V72" s="303">
        <f>ROUNDUP((ROUNDUP(N71,0))+((ROUNDUP(N71,0))/7),0)</f>
        <v>28</v>
      </c>
      <c r="W72" s="547">
        <f>ROUNDUP(W71,0)+(W71/7)</f>
        <v>27.314285714285713</v>
      </c>
      <c r="X72" s="547">
        <f t="shared" ref="X72" si="857">ROUNDUP(X71,0)+(X71/7)</f>
        <v>27.314285714285713</v>
      </c>
      <c r="Y72" s="547">
        <f t="shared" ref="Y72" si="858">ROUNDUP(Y71,0)+(Y71/7)</f>
        <v>27.314285714285713</v>
      </c>
      <c r="Z72" s="547">
        <f t="shared" ref="Z72" si="859">ROUNDUP(Z71,0)+(Z71/7)</f>
        <v>28.432605042016807</v>
      </c>
      <c r="AA72" s="547">
        <f t="shared" ref="AA72" si="860">ROUNDUP(AA71,0)+(AA71/7)</f>
        <v>28.432605042016807</v>
      </c>
      <c r="AB72" s="547">
        <f t="shared" ref="AB72" si="861">ROUNDUP(AB71,0)+(AB71/7)</f>
        <v>28.432605042016807</v>
      </c>
      <c r="AC72" s="547">
        <f t="shared" ref="AC72" si="862">ROUNDUP(AC71,0)+(AC71/7)</f>
        <v>27.380840336134455</v>
      </c>
      <c r="AD72" s="547">
        <f t="shared" ref="AD72" si="863">ROUNDUP(AD71,0)+(AD71/7)</f>
        <v>27.380840336134455</v>
      </c>
      <c r="AE72" s="547">
        <f t="shared" ref="AE72" si="864">ROUNDUP(AE71,0)+(AE71/7)</f>
        <v>27.380840336134455</v>
      </c>
      <c r="AF72" s="547">
        <f t="shared" ref="AF72" si="865">ROUNDUP(AF71,0)+(AF71/7)</f>
        <v>27.380840336134455</v>
      </c>
      <c r="AG72" s="547">
        <f t="shared" ref="AG72" si="866">ROUNDUP(AG71,0)+(AG71/7)</f>
        <v>27.380840336134455</v>
      </c>
      <c r="AH72" s="547">
        <f t="shared" ref="AH72" si="867">ROUNDUP(AH71,0)+(AH71/7)</f>
        <v>27.380840336134455</v>
      </c>
      <c r="AI72" s="547">
        <f t="shared" ref="AI72" si="868">ROUNDUP(AI71,0)+(AI71/7)</f>
        <v>27.40112537815126</v>
      </c>
      <c r="AJ72" s="547">
        <f t="shared" ref="AJ72" si="869">ROUNDUP(AJ71,0)+(AJ71/7)</f>
        <v>27.421532130420168</v>
      </c>
      <c r="AK72" s="547">
        <f t="shared" ref="AK72" si="870">ROUNDUP(AK71,0)+(AK71/7)</f>
        <v>28.44206132320269</v>
      </c>
      <c r="AL72" s="547">
        <f t="shared" ref="AL72" si="871">ROUNDUP(AL71,0)+(AL71/7)</f>
        <v>28.462713691141904</v>
      </c>
      <c r="AM72" s="547">
        <f t="shared" ref="AM72" si="872">ROUNDUP(AM71,0)+(AM71/7)</f>
        <v>28.483489973288755</v>
      </c>
      <c r="AN72" s="547">
        <f t="shared" ref="AN72" si="873">ROUNDUP(AN71,0)+(AN71/7)</f>
        <v>28.504390913128489</v>
      </c>
      <c r="AO72" s="547">
        <f t="shared" ref="AO72" si="874">ROUNDUP(AO71,0)+(AO71/7)</f>
        <v>28.525417258607259</v>
      </c>
      <c r="AP72" s="547">
        <f t="shared" ref="AP72" si="875">ROUNDUP(AP71,0)+(AP71/7)</f>
        <v>28.546569762158903</v>
      </c>
      <c r="AQ72" s="547">
        <f t="shared" ref="AQ72" si="876">ROUNDUP(AQ71,0)+(AQ71/7)</f>
        <v>28.567849180731859</v>
      </c>
      <c r="AR72" s="547">
        <f t="shared" ref="AR72" si="877">ROUNDUP(AR71,0)+(AR71/7)</f>
        <v>29.589256275816251</v>
      </c>
      <c r="AS72" s="547">
        <f t="shared" ref="AS72" si="878">ROUNDUP(AS71,0)+(AS71/7)</f>
        <v>29.610791813471145</v>
      </c>
      <c r="AT72" s="547">
        <f t="shared" ref="AT72" si="879">ROUNDUP(AT71,0)+(AT71/7)</f>
        <v>29.632456564351973</v>
      </c>
      <c r="AU72" s="547">
        <f t="shared" ref="AU72" si="880">ROUNDUP(AU71,0)+(AU71/7)</f>
        <v>29.654251303738086</v>
      </c>
      <c r="AV72" s="547">
        <f t="shared" ref="AV72" si="881">ROUNDUP(AV71,0)+(AV71/7)</f>
        <v>29.676176811560513</v>
      </c>
      <c r="AW72" s="547">
        <f t="shared" ref="AW72" si="882">ROUNDUP(AW71,0)+(AW71/7)</f>
        <v>29.698233872429878</v>
      </c>
      <c r="AX72" s="547">
        <f t="shared" ref="AX72" si="883">ROUNDUP(AX71,0)+(AX71/7)</f>
        <v>30.720423275664455</v>
      </c>
      <c r="AY72" s="547">
        <f t="shared" ref="AY72" si="884">ROUNDUP(AY71,0)+(AY71/7)</f>
        <v>30.742745815318443</v>
      </c>
      <c r="AZ72" s="547">
        <f t="shared" ref="AZ72" si="885">ROUNDUP(AZ71,0)+(AZ71/7)</f>
        <v>30.765202290210354</v>
      </c>
      <c r="BA72" s="547">
        <f t="shared" ref="BA72" si="886">ROUNDUP(BA71,0)+(BA71/7)</f>
        <v>30.787793503951615</v>
      </c>
      <c r="BB72" s="547">
        <f t="shared" ref="BB72" si="887">ROUNDUP(BB71,0)+(BB71/7)</f>
        <v>30.810520264975324</v>
      </c>
      <c r="BC72" s="547">
        <f t="shared" ref="BC72" si="888">ROUNDUP(BC71,0)+(BC71/7)</f>
        <v>30.833383386565178</v>
      </c>
      <c r="BD72" s="547">
        <f t="shared" ref="BD72" si="889">ROUNDUP(BD71,0)+(BD71/7)</f>
        <v>30.85638368688457</v>
      </c>
      <c r="BE72" s="547">
        <f t="shared" ref="BE72" si="890">ROUNDUP(BE71,0)+(BE71/7)</f>
        <v>31.879521989005877</v>
      </c>
      <c r="BF72" s="547">
        <f t="shared" ref="BF72" si="891">ROUNDUP(BF71,0)+(BF71/7)</f>
        <v>31.90279912093991</v>
      </c>
      <c r="BG72" s="547">
        <f t="shared" ref="BG72" si="892">ROUNDUP(BG71,0)+(BG71/7)</f>
        <v>31.926215915665551</v>
      </c>
      <c r="BH72" s="547">
        <f t="shared" ref="BH72" si="893">ROUNDUP(BH71,0)+(BH71/7)</f>
        <v>31.949773211159545</v>
      </c>
      <c r="BI72" s="547">
        <f t="shared" ref="BI72" si="894">ROUNDUP(BI71,0)+(BI71/7)</f>
        <v>31.973471850426503</v>
      </c>
      <c r="BJ72" s="547">
        <f t="shared" ref="BJ72" si="895">ROUNDUP(BJ71,0)+(BJ71/7)</f>
        <v>31.99731268152906</v>
      </c>
      <c r="BK72" s="547">
        <f t="shared" ref="BK72" si="896">ROUNDUP(BK71,0)+(BK71/7)</f>
        <v>33.021296557618236</v>
      </c>
      <c r="BL72" s="547">
        <f t="shared" ref="BL72" si="897">ROUNDUP(BL71,0)+(BL71/7)</f>
        <v>33.045424336963947</v>
      </c>
      <c r="BM72" s="547">
        <f t="shared" ref="BM72" si="898">ROUNDUP(BM71,0)+(BM71/7)</f>
        <v>33.069696882985724</v>
      </c>
      <c r="BN72" s="547">
        <f t="shared" ref="BN72" si="899">ROUNDUP(BN71,0)+(BN71/7)</f>
        <v>33.094115064283642</v>
      </c>
      <c r="BO72" s="547">
        <f t="shared" ref="BO72" si="900">ROUNDUP(BO71,0)+(BO71/7)</f>
        <v>33.118679754669344</v>
      </c>
      <c r="BP72" s="547">
        <f t="shared" ref="BP72" si="901">ROUNDUP(BP71,0)+(BP71/7)</f>
        <v>34.143391833197356</v>
      </c>
      <c r="BQ72" s="547">
        <f t="shared" ref="BQ72" si="902">ROUNDUP(BQ71,0)+(BQ71/7)</f>
        <v>34.168252184196547</v>
      </c>
      <c r="BR72" s="547">
        <f t="shared" ref="BR72" si="903">ROUNDUP(BR71,0)+(BR71/7)</f>
        <v>34.193261697301722</v>
      </c>
      <c r="BS72" s="547">
        <f t="shared" ref="BS72" si="904">ROUNDUP(BS71,0)+(BS71/7)</f>
        <v>34.218421267485532</v>
      </c>
      <c r="BT72" s="547">
        <f t="shared" ref="BT72" si="905">ROUNDUP(BT71,0)+(BT71/7)</f>
        <v>34.243731795090447</v>
      </c>
      <c r="BU72" s="547">
        <f t="shared" ref="BU72" si="906">ROUNDUP(BU71,0)+(BU71/7)</f>
        <v>34.269194185860989</v>
      </c>
      <c r="BV72" s="547">
        <f t="shared" ref="BV72" si="907">ROUNDUP(BV71,0)+(BV71/7)</f>
        <v>35.294809350976152</v>
      </c>
      <c r="BW72" s="547">
        <f t="shared" ref="BW72" si="908">ROUNDUP(BW71,0)+(BW71/7)</f>
        <v>35.320578207082015</v>
      </c>
      <c r="BX72" s="547">
        <f t="shared" ref="BX72" si="909">ROUNDUP(BX71,0)+(BX71/7)</f>
        <v>35.346501676324507</v>
      </c>
      <c r="BY72" s="547">
        <f t="shared" ref="BY72" si="910">ROUNDUP(BY71,0)+(BY71/7)</f>
        <v>35.372580686382449</v>
      </c>
      <c r="BZ72" s="547">
        <f t="shared" ref="BZ72" si="911">ROUNDUP(BZ71,0)+(BZ71/7)</f>
        <v>35.398816170500744</v>
      </c>
      <c r="CA72" s="547">
        <f t="shared" ref="CA72" si="912">ROUNDUP(CA71,0)+(CA71/7)</f>
        <v>35.425209067523753</v>
      </c>
      <c r="CB72" s="547">
        <f t="shared" ref="CB72" si="913">ROUNDUP(CB71,0)+(CB71/7)</f>
        <v>36.451760321928894</v>
      </c>
      <c r="CC72" s="547">
        <f t="shared" ref="CC72" si="914">ROUNDUP(CC71,0)+(CC71/7)</f>
        <v>36.478470883860467</v>
      </c>
      <c r="CD72" s="547">
        <f t="shared" ref="CD72" si="915">ROUNDUP(CD71,0)+(CD71/7)</f>
        <v>36.505341709163631</v>
      </c>
      <c r="CE72" s="547">
        <f t="shared" ref="CE72" si="916">ROUNDUP(CE71,0)+(CE71/7)</f>
        <v>36.532373759418611</v>
      </c>
      <c r="CF72" s="547">
        <f t="shared" ref="CF72" si="917">ROUNDUP(CF71,0)+(CF71/7)</f>
        <v>36.559568001975123</v>
      </c>
      <c r="CG72" s="547">
        <f t="shared" ref="CG72" si="918">ROUNDUP(CG71,0)+(CG71/7)</f>
        <v>37.586925409986975</v>
      </c>
      <c r="CH72" s="547">
        <f t="shared" ref="CH72" si="919">ROUNDUP(CH71,0)+(CH71/7)</f>
        <v>37.614446962446898</v>
      </c>
      <c r="CI72" s="547">
        <f t="shared" ref="CI72" si="920">ROUNDUP(CI71,0)+(CI71/7)</f>
        <v>37.642133644221573</v>
      </c>
      <c r="CJ72" s="547">
        <f t="shared" ref="CJ72" si="921">ROUNDUP(CJ71,0)+(CJ71/7)</f>
        <v>37.669986446086902</v>
      </c>
      <c r="CK72" s="547">
        <f t="shared" ref="CK72" si="922">ROUNDUP(CK71,0)+(CK71/7)</f>
        <v>37.69800636476343</v>
      </c>
      <c r="CL72" s="547">
        <f t="shared" ref="CL72" si="923">ROUNDUP(CL71,0)+(CL71/7)</f>
        <v>38.726194402952004</v>
      </c>
      <c r="CM72" s="547">
        <f t="shared" ref="CM72" si="924">ROUNDUP(CM71,0)+(CM71/7)</f>
        <v>38.754551569369717</v>
      </c>
      <c r="CN72" s="547">
        <f t="shared" ref="CN72" si="925">ROUNDUP(CN71,0)+(CN71/7)</f>
        <v>38.783078878785936</v>
      </c>
      <c r="CO72" s="547">
        <f t="shared" ref="CO72" si="926">ROUNDUP(CO71,0)+(CO71/7)</f>
        <v>38.811777352058655</v>
      </c>
      <c r="CP72" s="547">
        <f t="shared" ref="CP72" si="927">ROUNDUP(CP71,0)+(CP71/7)</f>
        <v>38.840648016171002</v>
      </c>
      <c r="CQ72" s="547">
        <f t="shared" ref="CQ72" si="928">ROUNDUP(CQ71,0)+(CQ71/7)</f>
        <v>39.869691904268031</v>
      </c>
      <c r="CR72" s="547">
        <f t="shared" ref="CR72" si="929">ROUNDUP(CR71,0)+(CR71/7)</f>
        <v>39.898910055693641</v>
      </c>
      <c r="CS72" s="547">
        <f t="shared" ref="CS72" si="930">ROUNDUP(CS71,0)+(CS71/7)</f>
        <v>39.928303516027803</v>
      </c>
      <c r="CT72" s="547">
        <f t="shared" ref="CT72" si="931">ROUNDUP(CT71,0)+(CT71/7)</f>
        <v>39.957873337123971</v>
      </c>
      <c r="CU72" s="547">
        <f t="shared" ref="CU72" si="932">ROUNDUP(CU71,0)+(CU71/7)</f>
        <v>39.987620577146714</v>
      </c>
      <c r="CV72" s="547">
        <f t="shared" ref="CV72" si="933">ROUNDUP(CV71,0)+(CV71/7)</f>
        <v>41.017546300609588</v>
      </c>
      <c r="CW72" s="547">
        <f t="shared" ref="CW72" si="934">ROUNDUP(CW71,0)+(CW71/7)</f>
        <v>41.047651578413252</v>
      </c>
      <c r="CX72" s="547">
        <f t="shared" ref="CX72" si="935">ROUNDUP(CX71,0)+(CX71/7)</f>
        <v>41.07793748788373</v>
      </c>
      <c r="CY72" s="547">
        <f t="shared" ref="CY72" si="936">ROUNDUP(CY71,0)+(CY71/7)</f>
        <v>41.108405112811027</v>
      </c>
      <c r="CZ72" s="547">
        <f t="shared" ref="CZ72" si="937">ROUNDUP(CZ71,0)+(CZ71/7)</f>
        <v>41.139055543487899</v>
      </c>
      <c r="DA72" s="547">
        <f t="shared" ref="DA72" si="938">ROUNDUP(DA71,0)+(DA71/7)</f>
        <v>42.169889876748826</v>
      </c>
      <c r="DB72" s="547">
        <f t="shared" ref="DB72" si="939">ROUNDUP(DB71,0)+(DB71/7)</f>
        <v>42.200909216009315</v>
      </c>
      <c r="DC72" s="547">
        <f t="shared" ref="DC72" si="940">ROUNDUP(DC71,0)+(DC71/7)</f>
        <v>42.232114671305375</v>
      </c>
      <c r="DD72" s="547">
        <f t="shared" ref="DD72" si="941">ROUNDUP(DD71,0)+(DD71/7)</f>
        <v>42.263507359333204</v>
      </c>
      <c r="DE72" s="547">
        <f t="shared" ref="DE72" si="942">ROUNDUP(DE71,0)+(DE71/7)</f>
        <v>43.295088403489203</v>
      </c>
      <c r="DF72" s="547">
        <f t="shared" ref="DF72" si="943">ROUNDUP(DF71,0)+(DF71/7)</f>
        <v>43.326858933910138</v>
      </c>
      <c r="DG72" s="547">
        <f t="shared" ref="DG72" si="944">ROUNDUP(DG71,0)+(DG71/7)</f>
        <v>43.3588200875136</v>
      </c>
      <c r="DH72" s="547">
        <f t="shared" ref="DH72" si="945">ROUNDUP(DH71,0)+(DH71/7)</f>
        <v>43.390973008038685</v>
      </c>
      <c r="DI72" s="547">
        <f t="shared" ref="DI72" si="946">ROUNDUP(DI71,0)+(DI71/7)</f>
        <v>43.423318846086914</v>
      </c>
      <c r="DJ72" s="547">
        <f t="shared" ref="DJ72" si="947">ROUNDUP(DJ71,0)+(DJ71/7)</f>
        <v>44.455858759163434</v>
      </c>
      <c r="DK72" s="547">
        <f t="shared" ref="DK72" si="948">ROUNDUP(DK71,0)+(DK71/7)</f>
        <v>44.488593911718418</v>
      </c>
      <c r="DL72" s="547">
        <f t="shared" ref="DL72" si="949">ROUNDUP(DL71,0)+(DL71/7)</f>
        <v>44.521525475188724</v>
      </c>
      <c r="DM72" s="547">
        <f t="shared" ref="DM72" si="950">ROUNDUP(DM71,0)+(DM71/7)</f>
        <v>44.554654628039856</v>
      </c>
      <c r="DN72" s="547">
        <f t="shared" ref="DN72" si="951">ROUNDUP(DN71,0)+(DN71/7)</f>
        <v>45.587982555808097</v>
      </c>
      <c r="DO72" s="547">
        <f t="shared" ref="DO72" si="952">ROUNDUP(DO71,0)+(DO71/7)</f>
        <v>45.621510451142946</v>
      </c>
      <c r="DP72" s="547">
        <f t="shared" ref="DP72" si="953">ROUNDUP(DP71,0)+(DP71/7)</f>
        <v>45.655239513849807</v>
      </c>
      <c r="DQ72" s="547">
        <f t="shared" ref="DQ72" si="954">ROUNDUP(DQ71,0)+(DQ71/7)</f>
        <v>45.689170950932905</v>
      </c>
      <c r="DR72" s="547">
        <f t="shared" ref="DR72" si="955">ROUNDUP(DR71,0)+(DR71/7)</f>
        <v>46.7233059766385</v>
      </c>
      <c r="DS72" s="547">
        <f t="shared" ref="DS72" si="956">ROUNDUP(DS71,0)+(DS71/7)</f>
        <v>46.757645812498332</v>
      </c>
      <c r="DT72" s="547">
        <f t="shared" ref="DT72" si="957">ROUNDUP(DT71,0)+(DT71/7)</f>
        <v>46.792191687373318</v>
      </c>
      <c r="DU72" s="547">
        <f t="shared" ref="DU72" si="958">ROUNDUP(DU71,0)+(DU71/7)</f>
        <v>46.826944837497564</v>
      </c>
      <c r="DV72" s="547">
        <f t="shared" ref="DV72" si="959">ROUNDUP(DV71,0)+(DV71/7)</f>
        <v>47.861906506522544</v>
      </c>
      <c r="DW72" s="547">
        <f t="shared" ref="DW72" si="960">ROUNDUP(DW71,0)+(DW71/7)</f>
        <v>47.897077945561684</v>
      </c>
      <c r="DX72" s="547">
        <f t="shared" ref="DX72" si="961">ROUNDUP(DX71,0)+(DX71/7)</f>
        <v>47.932460413235049</v>
      </c>
      <c r="DY72" s="547">
        <f t="shared" ref="DY72" si="962">ROUNDUP(DY71,0)+(DY71/7)</f>
        <v>47.968055175714461</v>
      </c>
      <c r="DZ72" s="547">
        <f t="shared" ref="DZ72" si="963">ROUNDUP(DZ71,0)+(DZ71/7)</f>
        <v>49.003863506768752</v>
      </c>
      <c r="EA72" s="547">
        <f t="shared" ref="EA72" si="964">ROUNDUP(EA71,0)+(EA71/7)</f>
        <v>49.039886687809364</v>
      </c>
      <c r="EB72" s="547">
        <f t="shared" ref="EB72" si="965">ROUNDUP(EB71,0)+(EB71/7)</f>
        <v>49.076126007936217</v>
      </c>
      <c r="EC72" s="547">
        <f t="shared" ref="EC72" si="966">ROUNDUP(EC71,0)+(EC71/7)</f>
        <v>49.112582763983838</v>
      </c>
      <c r="ED72" s="547">
        <f t="shared" ref="ED72" si="967">ROUNDUP(ED71,0)+(ED71/7)</f>
        <v>50.149258260567741</v>
      </c>
    </row>
    <row r="73" spans="1:134" ht="18.75" outlineLevel="1" x14ac:dyDescent="0.3">
      <c r="B73" s="82"/>
      <c r="C73" s="736"/>
      <c r="D73" s="764" t="s">
        <v>231</v>
      </c>
      <c r="E73" s="765"/>
      <c r="F73" s="765"/>
      <c r="G73" s="765"/>
      <c r="H73" s="765"/>
      <c r="I73" s="765"/>
      <c r="J73" s="765"/>
      <c r="K73" s="765"/>
      <c r="L73" s="766"/>
      <c r="M73" s="126"/>
      <c r="N73" s="608">
        <f>'PCB Data'!Q4*('PCB Data'!N4/100)</f>
        <v>402</v>
      </c>
      <c r="O73" s="609"/>
      <c r="P73" s="588"/>
      <c r="Q73" s="175"/>
      <c r="R73" s="610"/>
      <c r="S73" s="706" t="s">
        <v>232</v>
      </c>
      <c r="T73" s="707"/>
      <c r="U73" s="126"/>
      <c r="V73" s="302"/>
      <c r="W73" s="588"/>
      <c r="X73" s="588"/>
      <c r="Y73" s="588"/>
      <c r="Z73" s="588"/>
      <c r="AA73" s="588"/>
      <c r="AB73" s="588"/>
      <c r="AC73" s="588"/>
      <c r="AD73" s="588"/>
      <c r="AE73" s="588"/>
      <c r="AF73" s="588"/>
      <c r="AG73" s="588"/>
      <c r="AH73" s="588"/>
      <c r="AI73" s="588"/>
      <c r="AJ73" s="588"/>
      <c r="AK73" s="588"/>
      <c r="AL73" s="588"/>
      <c r="AM73" s="588"/>
      <c r="AN73" s="588"/>
      <c r="AO73" s="588"/>
      <c r="AP73" s="588"/>
      <c r="AQ73" s="588"/>
      <c r="AR73" s="588"/>
      <c r="AS73" s="588"/>
      <c r="AT73" s="588"/>
      <c r="AU73" s="588"/>
      <c r="AV73" s="588"/>
      <c r="AW73" s="588"/>
      <c r="AX73" s="588"/>
      <c r="AY73" s="588"/>
      <c r="AZ73" s="588"/>
      <c r="BA73" s="588"/>
      <c r="BB73" s="588"/>
      <c r="BC73" s="588"/>
      <c r="BD73" s="588"/>
      <c r="BE73" s="588"/>
      <c r="BF73" s="588"/>
      <c r="BG73" s="588"/>
      <c r="BH73" s="588"/>
      <c r="BI73" s="588"/>
      <c r="BJ73" s="588"/>
      <c r="BK73" s="588"/>
      <c r="BL73" s="588"/>
      <c r="BM73" s="588"/>
      <c r="BN73" s="588"/>
      <c r="BO73" s="588"/>
      <c r="BP73" s="588"/>
      <c r="BQ73" s="588"/>
      <c r="BR73" s="588"/>
      <c r="BS73" s="588"/>
      <c r="BT73" s="588"/>
      <c r="BU73" s="588"/>
      <c r="BV73" s="588"/>
      <c r="BW73" s="588"/>
      <c r="BX73" s="588"/>
      <c r="BY73" s="588"/>
      <c r="BZ73" s="588"/>
      <c r="CA73" s="588"/>
      <c r="CB73" s="588"/>
      <c r="CC73" s="588"/>
      <c r="CD73" s="588"/>
      <c r="CE73" s="588"/>
      <c r="CF73" s="588"/>
      <c r="CG73" s="588"/>
      <c r="CH73" s="588"/>
      <c r="CI73" s="588"/>
      <c r="CJ73" s="588"/>
      <c r="CK73" s="588"/>
      <c r="CL73" s="588"/>
      <c r="CM73" s="588"/>
      <c r="CN73" s="588"/>
      <c r="CO73" s="588"/>
      <c r="CP73" s="588"/>
      <c r="CQ73" s="588"/>
      <c r="CR73" s="588"/>
      <c r="CS73" s="588"/>
      <c r="CT73" s="588"/>
      <c r="CU73" s="588"/>
      <c r="CV73" s="588"/>
      <c r="CW73" s="588"/>
      <c r="CX73" s="588"/>
      <c r="CY73" s="588"/>
      <c r="CZ73" s="588"/>
      <c r="DA73" s="588"/>
      <c r="DB73" s="588"/>
      <c r="DC73" s="588"/>
      <c r="DD73" s="588"/>
      <c r="DE73" s="588"/>
      <c r="DF73" s="588"/>
      <c r="DG73" s="588"/>
      <c r="DH73" s="588"/>
      <c r="DI73" s="588"/>
      <c r="DJ73" s="588"/>
      <c r="DK73" s="588"/>
      <c r="DL73" s="588"/>
      <c r="DM73" s="588"/>
      <c r="DN73" s="588"/>
      <c r="DO73" s="588"/>
      <c r="DP73" s="588"/>
      <c r="DQ73" s="588"/>
      <c r="DR73" s="588"/>
      <c r="DS73" s="588"/>
      <c r="DT73" s="588"/>
      <c r="DU73" s="588"/>
      <c r="DV73" s="588"/>
      <c r="DW73" s="588"/>
      <c r="DX73" s="588"/>
      <c r="DY73" s="588"/>
      <c r="DZ73" s="588"/>
      <c r="EA73" s="588"/>
      <c r="EB73" s="588"/>
      <c r="EC73" s="588"/>
      <c r="ED73" s="588"/>
    </row>
    <row r="74" spans="1:134" ht="18.75" outlineLevel="1" x14ac:dyDescent="0.3">
      <c r="B74" s="82"/>
      <c r="C74" s="736"/>
      <c r="D74" s="602" t="s">
        <v>233</v>
      </c>
      <c r="E74" s="547"/>
      <c r="F74" s="547"/>
      <c r="G74" s="547"/>
      <c r="H74" s="547"/>
      <c r="I74" s="547"/>
      <c r="J74" s="547"/>
      <c r="K74" s="547"/>
      <c r="L74" s="547"/>
      <c r="M74" s="547"/>
      <c r="N74" s="611">
        <f>N71/$T$74</f>
        <v>0.48333333333333339</v>
      </c>
      <c r="O74" s="612">
        <f>O71/$T$74</f>
        <v>0.50058823529411767</v>
      </c>
      <c r="P74" s="612">
        <f>P71/$T$74</f>
        <v>0.49303921568627446</v>
      </c>
      <c r="Q74" s="589"/>
      <c r="R74" s="590"/>
      <c r="S74" s="547"/>
      <c r="T74" s="601">
        <f>(S63*T63)+(S65*T65)+(S67*T67)+(S69*T69)</f>
        <v>48</v>
      </c>
      <c r="U74" s="126"/>
      <c r="V74" s="302"/>
      <c r="W74" s="588"/>
      <c r="X74" s="588"/>
      <c r="Y74" s="588"/>
      <c r="Z74" s="588"/>
      <c r="AA74" s="588"/>
      <c r="AB74" s="588"/>
      <c r="AC74" s="588"/>
      <c r="AD74" s="588"/>
      <c r="AE74" s="588"/>
      <c r="AF74" s="588"/>
      <c r="AG74" s="588"/>
      <c r="AH74" s="588"/>
      <c r="AI74" s="588"/>
      <c r="AJ74" s="588"/>
      <c r="AK74" s="588"/>
      <c r="AL74" s="588"/>
      <c r="AM74" s="588"/>
      <c r="AN74" s="588"/>
      <c r="AO74" s="588"/>
      <c r="AP74" s="588"/>
      <c r="AQ74" s="588"/>
      <c r="AR74" s="588"/>
      <c r="AS74" s="588"/>
      <c r="AT74" s="588"/>
      <c r="AU74" s="588"/>
      <c r="AV74" s="588"/>
      <c r="AW74" s="588"/>
      <c r="AX74" s="588"/>
      <c r="AY74" s="588"/>
      <c r="AZ74" s="588"/>
      <c r="BA74" s="588"/>
      <c r="BB74" s="588"/>
      <c r="BC74" s="588"/>
      <c r="BD74" s="588"/>
      <c r="BE74" s="588"/>
      <c r="BF74" s="588"/>
      <c r="BG74" s="588"/>
      <c r="BH74" s="588"/>
      <c r="BI74" s="588"/>
      <c r="BJ74" s="588"/>
      <c r="BK74" s="588"/>
      <c r="BL74" s="588"/>
      <c r="BM74" s="588"/>
      <c r="BN74" s="588"/>
      <c r="BO74" s="588"/>
      <c r="BP74" s="588"/>
      <c r="BQ74" s="588"/>
      <c r="BR74" s="588"/>
      <c r="BS74" s="588"/>
      <c r="BT74" s="588"/>
      <c r="BU74" s="588"/>
      <c r="BV74" s="588"/>
      <c r="BW74" s="588"/>
      <c r="BX74" s="588"/>
      <c r="BY74" s="588"/>
      <c r="BZ74" s="588"/>
      <c r="CA74" s="588"/>
      <c r="CB74" s="588"/>
      <c r="CC74" s="588"/>
      <c r="CD74" s="588"/>
      <c r="CE74" s="588"/>
      <c r="CF74" s="588"/>
      <c r="CG74" s="588"/>
      <c r="CH74" s="588"/>
      <c r="CI74" s="588"/>
      <c r="CJ74" s="588"/>
      <c r="CK74" s="588"/>
      <c r="CL74" s="588"/>
      <c r="CM74" s="588"/>
      <c r="CN74" s="588"/>
      <c r="CO74" s="588"/>
      <c r="CP74" s="588"/>
      <c r="CQ74" s="588"/>
      <c r="CR74" s="588"/>
      <c r="CS74" s="588"/>
      <c r="CT74" s="588"/>
      <c r="CU74" s="588"/>
      <c r="CV74" s="588"/>
      <c r="CW74" s="588"/>
      <c r="CX74" s="588"/>
      <c r="CY74" s="588"/>
      <c r="CZ74" s="588"/>
      <c r="DA74" s="588"/>
      <c r="DB74" s="588"/>
      <c r="DC74" s="588"/>
      <c r="DD74" s="588"/>
      <c r="DE74" s="588"/>
      <c r="DF74" s="588"/>
      <c r="DG74" s="588"/>
      <c r="DH74" s="588"/>
      <c r="DI74" s="588"/>
      <c r="DJ74" s="588"/>
      <c r="DK74" s="588"/>
      <c r="DL74" s="588"/>
      <c r="DM74" s="588"/>
      <c r="DN74" s="588"/>
      <c r="DO74" s="588"/>
      <c r="DP74" s="588"/>
      <c r="DQ74" s="588"/>
      <c r="DR74" s="588"/>
      <c r="DS74" s="588"/>
      <c r="DT74" s="588"/>
      <c r="DU74" s="588"/>
      <c r="DV74" s="588"/>
      <c r="DW74" s="588"/>
      <c r="DX74" s="588"/>
      <c r="DY74" s="588"/>
      <c r="DZ74" s="588"/>
      <c r="EA74" s="588"/>
      <c r="EB74" s="588"/>
      <c r="EC74" s="588"/>
      <c r="ED74" s="588"/>
    </row>
    <row r="75" spans="1:134" ht="18.75" x14ac:dyDescent="0.3">
      <c r="A75" t="s">
        <v>227</v>
      </c>
      <c r="B75" s="82">
        <f>'Growth Prediction Exec Summary'!K7</f>
        <v>0.1</v>
      </c>
      <c r="C75" s="736"/>
      <c r="D75" s="81"/>
      <c r="AI75" s="133"/>
      <c r="AU75" s="133"/>
      <c r="BG75" s="133"/>
      <c r="BS75" s="133"/>
      <c r="CE75" s="133"/>
      <c r="CQ75" s="133"/>
      <c r="DC75" s="133"/>
      <c r="DO75" s="133"/>
      <c r="EA75" s="133"/>
    </row>
    <row r="76" spans="1:134" ht="18.75" outlineLevel="1" x14ac:dyDescent="0.3">
      <c r="A76" t="s">
        <v>229</v>
      </c>
      <c r="B76" s="82">
        <f>'Growth Prediction Exec Summary'!L7</f>
        <v>0.09</v>
      </c>
      <c r="C76" s="736"/>
      <c r="D76" s="197" t="s">
        <v>248</v>
      </c>
      <c r="E76" s="181"/>
      <c r="F76" s="181"/>
      <c r="G76" s="181"/>
      <c r="H76" s="181"/>
      <c r="I76" s="181"/>
      <c r="J76" s="181"/>
      <c r="K76" s="181"/>
      <c r="L76" s="186"/>
      <c r="M76" s="181"/>
      <c r="N76" s="189"/>
      <c r="O76" s="181"/>
      <c r="P76" s="181"/>
      <c r="Q76" s="181"/>
      <c r="R76" s="186"/>
      <c r="S76" s="181"/>
      <c r="T76" s="181"/>
      <c r="U76" s="181"/>
      <c r="V76" s="182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367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367"/>
      <c r="AV76" s="176"/>
      <c r="AW76" s="176"/>
      <c r="AX76" s="176"/>
      <c r="AY76" s="176"/>
      <c r="AZ76" s="176"/>
      <c r="BA76" s="176"/>
      <c r="BB76" s="176"/>
      <c r="BC76" s="176"/>
      <c r="BD76" s="176"/>
      <c r="BE76" s="176"/>
      <c r="BF76" s="176"/>
      <c r="BG76" s="367"/>
      <c r="BH76" s="176"/>
      <c r="BI76" s="176"/>
      <c r="BJ76" s="176"/>
      <c r="BK76" s="176"/>
      <c r="BL76" s="176"/>
      <c r="BM76" s="176"/>
      <c r="BN76" s="176"/>
      <c r="BO76" s="176"/>
      <c r="BP76" s="176"/>
      <c r="BQ76" s="176"/>
      <c r="BR76" s="176"/>
      <c r="BS76" s="367"/>
      <c r="BT76" s="176"/>
      <c r="BU76" s="176"/>
      <c r="BV76" s="176"/>
      <c r="BW76" s="176"/>
      <c r="BX76" s="176"/>
      <c r="BY76" s="176"/>
      <c r="BZ76" s="176"/>
      <c r="CA76" s="176"/>
      <c r="CB76" s="176"/>
      <c r="CC76" s="176"/>
      <c r="CD76" s="176"/>
      <c r="CE76" s="367"/>
      <c r="CF76" s="176"/>
      <c r="CG76" s="176"/>
      <c r="CH76" s="176"/>
      <c r="CI76" s="176"/>
      <c r="CJ76" s="176"/>
      <c r="CK76" s="176"/>
      <c r="CL76" s="176"/>
      <c r="CM76" s="176"/>
      <c r="CN76" s="176"/>
      <c r="CO76" s="176"/>
      <c r="CP76" s="176"/>
      <c r="CQ76" s="367"/>
      <c r="CR76" s="176"/>
      <c r="CS76" s="176"/>
      <c r="CT76" s="176"/>
      <c r="CU76" s="176"/>
      <c r="CV76" s="176"/>
      <c r="CW76" s="176"/>
      <c r="CX76" s="176"/>
      <c r="CY76" s="176"/>
      <c r="CZ76" s="176"/>
      <c r="DA76" s="176"/>
      <c r="DB76" s="176"/>
      <c r="DC76" s="367"/>
      <c r="DD76" s="176"/>
      <c r="DE76" s="176"/>
      <c r="DF76" s="176"/>
      <c r="DG76" s="176"/>
      <c r="DH76" s="176"/>
      <c r="DI76" s="176"/>
      <c r="DJ76" s="176"/>
      <c r="DK76" s="176"/>
      <c r="DL76" s="176"/>
      <c r="DM76" s="176"/>
      <c r="DN76" s="176"/>
      <c r="DO76" s="367"/>
      <c r="DP76" s="176"/>
      <c r="DQ76" s="176"/>
      <c r="DR76" s="176"/>
      <c r="DS76" s="176"/>
      <c r="DT76" s="176"/>
      <c r="DU76" s="176"/>
      <c r="DV76" s="176"/>
      <c r="DW76" s="176"/>
      <c r="DX76" s="176"/>
      <c r="DY76" s="176"/>
      <c r="DZ76" s="176"/>
      <c r="EA76" s="367"/>
      <c r="EB76" s="176"/>
      <c r="EC76" s="176"/>
      <c r="ED76" s="176"/>
    </row>
    <row r="77" spans="1:134" ht="18.75" outlineLevel="1" x14ac:dyDescent="0.3">
      <c r="B77" s="81"/>
      <c r="C77" s="736"/>
      <c r="D77" s="715" t="s">
        <v>249</v>
      </c>
      <c r="E77" s="715"/>
      <c r="F77" s="715"/>
      <c r="G77" s="715"/>
      <c r="H77" s="715"/>
      <c r="I77" s="715"/>
      <c r="J77" s="715"/>
      <c r="K77" s="715"/>
      <c r="L77" s="186"/>
      <c r="M77" s="494">
        <f>N77*100</f>
        <v>83</v>
      </c>
      <c r="N77" s="568">
        <f>'XFMR Data'!B4/100</f>
        <v>0.83</v>
      </c>
      <c r="O77" s="569">
        <f>'XFMR Data'!G4/100</f>
        <v>1.05</v>
      </c>
      <c r="P77" s="569">
        <f>'XFMR Data'!L4/100</f>
        <v>0.98</v>
      </c>
      <c r="Q77" s="183"/>
      <c r="R77" s="190">
        <f>P77-N77</f>
        <v>0.15000000000000002</v>
      </c>
      <c r="S77" s="184">
        <f t="shared" ref="S77:S91" si="968">Q77*100</f>
        <v>0</v>
      </c>
      <c r="T77" s="184"/>
      <c r="U77" s="181"/>
      <c r="V77" s="297"/>
      <c r="W77" s="368">
        <f>M77</f>
        <v>83</v>
      </c>
      <c r="X77" s="369">
        <f>W77</f>
        <v>83</v>
      </c>
      <c r="Y77" s="369">
        <f>X77</f>
        <v>83</v>
      </c>
      <c r="Z77" s="369">
        <f>O77*100</f>
        <v>105</v>
      </c>
      <c r="AA77" s="369">
        <f>Z77</f>
        <v>105</v>
      </c>
      <c r="AB77" s="369">
        <f>AA77</f>
        <v>105</v>
      </c>
      <c r="AC77" s="369">
        <f>P77*100</f>
        <v>98</v>
      </c>
      <c r="AD77" s="369">
        <f>AC77</f>
        <v>98</v>
      </c>
      <c r="AE77" s="369">
        <f>AD77</f>
        <v>98</v>
      </c>
      <c r="AF77" s="369">
        <f>AE77</f>
        <v>98</v>
      </c>
      <c r="AG77" s="369">
        <f>AF77</f>
        <v>98</v>
      </c>
      <c r="AH77" s="369">
        <f>AG77</f>
        <v>98</v>
      </c>
      <c r="AI77" s="370">
        <f t="shared" ref="AI77:AT77" si="969">(((AH77*(1+($B$36*$B$4)))-AH77)/12)+AH77</f>
        <v>98.587999999999994</v>
      </c>
      <c r="AJ77" s="369">
        <f t="shared" si="969"/>
        <v>99.179527999999991</v>
      </c>
      <c r="AK77" s="369">
        <f t="shared" si="969"/>
        <v>99.774605167999994</v>
      </c>
      <c r="AL77" s="369">
        <f t="shared" si="969"/>
        <v>100.373252799008</v>
      </c>
      <c r="AM77" s="369">
        <f t="shared" si="969"/>
        <v>100.97549231580204</v>
      </c>
      <c r="AN77" s="369">
        <f t="shared" si="969"/>
        <v>101.58134526969685</v>
      </c>
      <c r="AO77" s="369">
        <f t="shared" si="969"/>
        <v>102.19083334131504</v>
      </c>
      <c r="AP77" s="369">
        <f t="shared" si="969"/>
        <v>102.80397834136294</v>
      </c>
      <c r="AQ77" s="369">
        <f t="shared" si="969"/>
        <v>103.42080221141111</v>
      </c>
      <c r="AR77" s="369">
        <f t="shared" si="969"/>
        <v>104.04132702467959</v>
      </c>
      <c r="AS77" s="369">
        <f t="shared" si="969"/>
        <v>104.66557498682766</v>
      </c>
      <c r="AT77" s="369">
        <f t="shared" si="969"/>
        <v>105.29356843674863</v>
      </c>
      <c r="AU77" s="370">
        <f t="shared" ref="AU77:BF77" si="970">(((AT77*(1+($B$37*$B$4)))-AT77)/12)+AT77</f>
        <v>105.92532984736913</v>
      </c>
      <c r="AV77" s="369">
        <f t="shared" si="970"/>
        <v>106.56088182645334</v>
      </c>
      <c r="AW77" s="369">
        <f t="shared" si="970"/>
        <v>107.20024711741206</v>
      </c>
      <c r="AX77" s="369">
        <f t="shared" si="970"/>
        <v>107.84344860011653</v>
      </c>
      <c r="AY77" s="369">
        <f t="shared" si="970"/>
        <v>108.49050929171723</v>
      </c>
      <c r="AZ77" s="369">
        <f t="shared" si="970"/>
        <v>109.14145234746753</v>
      </c>
      <c r="BA77" s="369">
        <f t="shared" si="970"/>
        <v>109.79630106155234</v>
      </c>
      <c r="BB77" s="369">
        <f t="shared" si="970"/>
        <v>110.45507886792166</v>
      </c>
      <c r="BC77" s="369">
        <f t="shared" si="970"/>
        <v>111.11780934112919</v>
      </c>
      <c r="BD77" s="369">
        <f t="shared" si="970"/>
        <v>111.78451619717596</v>
      </c>
      <c r="BE77" s="369">
        <f t="shared" si="970"/>
        <v>112.45522329435902</v>
      </c>
      <c r="BF77" s="369">
        <f t="shared" si="970"/>
        <v>113.12995463412517</v>
      </c>
      <c r="BG77" s="370">
        <f t="shared" ref="BG77:BR77" si="971">(((BF77*(1+($B$38*$B$4)))-BF77)/12)+BF77</f>
        <v>113.80873436192992</v>
      </c>
      <c r="BH77" s="369">
        <f t="shared" si="971"/>
        <v>114.4915867681015</v>
      </c>
      <c r="BI77" s="369">
        <f t="shared" si="971"/>
        <v>115.17853628871011</v>
      </c>
      <c r="BJ77" s="369">
        <f t="shared" si="971"/>
        <v>115.86960750644236</v>
      </c>
      <c r="BK77" s="369">
        <f t="shared" si="971"/>
        <v>116.56482515148102</v>
      </c>
      <c r="BL77" s="369">
        <f t="shared" si="971"/>
        <v>117.2642141023899</v>
      </c>
      <c r="BM77" s="369">
        <f t="shared" si="971"/>
        <v>117.96779938700423</v>
      </c>
      <c r="BN77" s="369">
        <f t="shared" si="971"/>
        <v>118.67560618332627</v>
      </c>
      <c r="BO77" s="369">
        <f t="shared" si="971"/>
        <v>119.38765982042622</v>
      </c>
      <c r="BP77" s="369">
        <f t="shared" si="971"/>
        <v>120.10398577934878</v>
      </c>
      <c r="BQ77" s="369">
        <f t="shared" si="971"/>
        <v>120.82460969402487</v>
      </c>
      <c r="BR77" s="369">
        <f t="shared" si="971"/>
        <v>121.54955735218903</v>
      </c>
      <c r="BS77" s="370">
        <f t="shared" ref="BS77:CD77" si="972">(((BR77*(1+($B$39*$B$4)))-BR77)/12)+BR77</f>
        <v>122.27885469630216</v>
      </c>
      <c r="BT77" s="369">
        <f t="shared" si="972"/>
        <v>123.01252782447997</v>
      </c>
      <c r="BU77" s="369">
        <f t="shared" si="972"/>
        <v>123.75060299142686</v>
      </c>
      <c r="BV77" s="369">
        <f t="shared" si="972"/>
        <v>124.49310660937542</v>
      </c>
      <c r="BW77" s="369">
        <f t="shared" si="972"/>
        <v>125.24006524903167</v>
      </c>
      <c r="BX77" s="369">
        <f t="shared" si="972"/>
        <v>125.99150564052586</v>
      </c>
      <c r="BY77" s="369">
        <f t="shared" si="972"/>
        <v>126.74745467436901</v>
      </c>
      <c r="BZ77" s="369">
        <f t="shared" si="972"/>
        <v>127.50793940241522</v>
      </c>
      <c r="CA77" s="369">
        <f t="shared" si="972"/>
        <v>128.27298703882971</v>
      </c>
      <c r="CB77" s="369">
        <f t="shared" si="972"/>
        <v>129.0426249610627</v>
      </c>
      <c r="CC77" s="369">
        <f t="shared" si="972"/>
        <v>129.81688071082908</v>
      </c>
      <c r="CD77" s="369">
        <f t="shared" si="972"/>
        <v>130.59578199509406</v>
      </c>
      <c r="CE77" s="370">
        <f t="shared" ref="CE77:CP77" si="973">(((CD77*(1+($B$40*$B$4)))-CD77)/12)+CD77</f>
        <v>131.37935668706461</v>
      </c>
      <c r="CF77" s="369">
        <f t="shared" si="973"/>
        <v>132.16763282718699</v>
      </c>
      <c r="CG77" s="369">
        <f t="shared" si="973"/>
        <v>132.96063862415011</v>
      </c>
      <c r="CH77" s="369">
        <f t="shared" si="973"/>
        <v>133.75840245589501</v>
      </c>
      <c r="CI77" s="369">
        <f t="shared" si="973"/>
        <v>134.56095287063039</v>
      </c>
      <c r="CJ77" s="369">
        <f t="shared" si="973"/>
        <v>135.36831858785416</v>
      </c>
      <c r="CK77" s="369">
        <f t="shared" si="973"/>
        <v>136.1805284993813</v>
      </c>
      <c r="CL77" s="369">
        <f t="shared" si="973"/>
        <v>136.99761167037758</v>
      </c>
      <c r="CM77" s="369">
        <f t="shared" si="973"/>
        <v>137.81959734039984</v>
      </c>
      <c r="CN77" s="369">
        <f t="shared" si="973"/>
        <v>138.64651492444224</v>
      </c>
      <c r="CO77" s="369">
        <f t="shared" si="973"/>
        <v>139.47839401398889</v>
      </c>
      <c r="CP77" s="369">
        <f t="shared" si="973"/>
        <v>140.31526437807281</v>
      </c>
      <c r="CQ77" s="370">
        <f t="shared" ref="CQ77:DB77" si="974">(((CP77*(1+($B$41*$B$4)))-CP77)/12)+CP77</f>
        <v>141.15715596434126</v>
      </c>
      <c r="CR77" s="369">
        <f t="shared" si="974"/>
        <v>142.0040989001273</v>
      </c>
      <c r="CS77" s="369">
        <f t="shared" si="974"/>
        <v>142.85612349352806</v>
      </c>
      <c r="CT77" s="369">
        <f t="shared" si="974"/>
        <v>143.71326023448924</v>
      </c>
      <c r="CU77" s="369">
        <f t="shared" si="974"/>
        <v>144.57553979589619</v>
      </c>
      <c r="CV77" s="369">
        <f t="shared" si="974"/>
        <v>145.44299303467156</v>
      </c>
      <c r="CW77" s="369">
        <f t="shared" si="974"/>
        <v>146.3156509928796</v>
      </c>
      <c r="CX77" s="369">
        <f t="shared" si="974"/>
        <v>147.19354489883688</v>
      </c>
      <c r="CY77" s="369">
        <f t="shared" si="974"/>
        <v>148.07670616822989</v>
      </c>
      <c r="CZ77" s="369">
        <f t="shared" si="974"/>
        <v>148.96516640523927</v>
      </c>
      <c r="DA77" s="369">
        <f t="shared" si="974"/>
        <v>149.8589574036707</v>
      </c>
      <c r="DB77" s="369">
        <f t="shared" si="974"/>
        <v>150.75811114809272</v>
      </c>
      <c r="DC77" s="370">
        <f t="shared" ref="DC77:DN77" si="975">(((DB77*(1+($B$42*$B$4)))-DB77)/12)+DB77</f>
        <v>151.66265981498128</v>
      </c>
      <c r="DD77" s="369">
        <f t="shared" si="975"/>
        <v>152.57263577387118</v>
      </c>
      <c r="DE77" s="369">
        <f t="shared" si="975"/>
        <v>153.4880715885144</v>
      </c>
      <c r="DF77" s="369">
        <f t="shared" si="975"/>
        <v>154.4090000180455</v>
      </c>
      <c r="DG77" s="369">
        <f t="shared" si="975"/>
        <v>155.33545401815377</v>
      </c>
      <c r="DH77" s="369">
        <f t="shared" si="975"/>
        <v>156.26746674226268</v>
      </c>
      <c r="DI77" s="369">
        <f t="shared" si="975"/>
        <v>157.20507154271627</v>
      </c>
      <c r="DJ77" s="369">
        <f t="shared" si="975"/>
        <v>158.14830197197256</v>
      </c>
      <c r="DK77" s="369">
        <f t="shared" si="975"/>
        <v>159.09719178380439</v>
      </c>
      <c r="DL77" s="369">
        <f t="shared" si="975"/>
        <v>160.05177493450722</v>
      </c>
      <c r="DM77" s="369">
        <f t="shared" si="975"/>
        <v>161.01208558411426</v>
      </c>
      <c r="DN77" s="369">
        <f t="shared" si="975"/>
        <v>161.97815809761894</v>
      </c>
      <c r="DO77" s="370">
        <f t="shared" ref="DO77:DZ77" si="976">(((DN77*(1+($B$43*$B$4)))-DN77)/12)+DN77</f>
        <v>162.95002704620467</v>
      </c>
      <c r="DP77" s="369">
        <f t="shared" si="976"/>
        <v>163.92772720848188</v>
      </c>
      <c r="DQ77" s="369">
        <f t="shared" si="976"/>
        <v>164.91129357173278</v>
      </c>
      <c r="DR77" s="369">
        <f t="shared" si="976"/>
        <v>165.90076133316319</v>
      </c>
      <c r="DS77" s="369">
        <f t="shared" si="976"/>
        <v>166.89616590116216</v>
      </c>
      <c r="DT77" s="369">
        <f t="shared" si="976"/>
        <v>167.89754289656915</v>
      </c>
      <c r="DU77" s="369">
        <f t="shared" si="976"/>
        <v>168.90492815394856</v>
      </c>
      <c r="DV77" s="369">
        <f t="shared" si="976"/>
        <v>169.91835772287226</v>
      </c>
      <c r="DW77" s="369">
        <f t="shared" si="976"/>
        <v>170.9378678692095</v>
      </c>
      <c r="DX77" s="369">
        <f t="shared" si="976"/>
        <v>171.96349507642475</v>
      </c>
      <c r="DY77" s="369">
        <f t="shared" si="976"/>
        <v>172.9952760468833</v>
      </c>
      <c r="DZ77" s="369">
        <f t="shared" si="976"/>
        <v>174.03324770316459</v>
      </c>
      <c r="EA77" s="370">
        <f>(((DZ77*(1+($B$44*$B$4)))-DZ77)/12)+DZ77</f>
        <v>175.07744718938358</v>
      </c>
      <c r="EB77" s="369">
        <f>(((EA77*(1+($B$44*$B$4)))-EA77)/12)+EA77</f>
        <v>176.12791187251989</v>
      </c>
      <c r="EC77" s="369">
        <f>(((EB77*(1+($B$44*$B$4)))-EB77)/12)+EB77</f>
        <v>177.18467934375502</v>
      </c>
      <c r="ED77" s="371">
        <f>(((EC77*(1+($B$44*$B$4)))-EC77)/12)+EC77</f>
        <v>178.24778741981754</v>
      </c>
    </row>
    <row r="78" spans="1:134" ht="18.75" outlineLevel="1" x14ac:dyDescent="0.3">
      <c r="A78" s="81">
        <v>82.5</v>
      </c>
      <c r="B78" s="81" t="s">
        <v>250</v>
      </c>
      <c r="C78" s="736"/>
      <c r="D78" s="716"/>
      <c r="E78" s="716"/>
      <c r="F78" s="716"/>
      <c r="G78" s="716"/>
      <c r="H78" s="716"/>
      <c r="I78" s="716"/>
      <c r="J78" s="716"/>
      <c r="K78" s="716"/>
      <c r="L78" s="187"/>
      <c r="M78" s="179"/>
      <c r="N78" s="570"/>
      <c r="O78" s="571"/>
      <c r="P78" s="571"/>
      <c r="Q78" s="180"/>
      <c r="R78" s="191"/>
      <c r="S78" s="185"/>
      <c r="T78" s="185"/>
      <c r="U78" s="179"/>
      <c r="V78" s="277">
        <v>1</v>
      </c>
      <c r="W78" s="372">
        <f t="shared" ref="W78:BB78" si="977">ROUNDUP($V78*(W77/100)/0.8,0)</f>
        <v>2</v>
      </c>
      <c r="X78" s="176">
        <f t="shared" si="977"/>
        <v>2</v>
      </c>
      <c r="Y78" s="176">
        <f t="shared" si="977"/>
        <v>2</v>
      </c>
      <c r="Z78" s="176">
        <f t="shared" si="977"/>
        <v>2</v>
      </c>
      <c r="AA78" s="176">
        <f t="shared" si="977"/>
        <v>2</v>
      </c>
      <c r="AB78" s="176">
        <f t="shared" si="977"/>
        <v>2</v>
      </c>
      <c r="AC78" s="176">
        <f t="shared" si="977"/>
        <v>2</v>
      </c>
      <c r="AD78" s="176">
        <f t="shared" si="977"/>
        <v>2</v>
      </c>
      <c r="AE78" s="176">
        <f t="shared" si="977"/>
        <v>2</v>
      </c>
      <c r="AF78" s="176">
        <f t="shared" si="977"/>
        <v>2</v>
      </c>
      <c r="AG78" s="176">
        <f t="shared" si="977"/>
        <v>2</v>
      </c>
      <c r="AH78" s="176">
        <f t="shared" si="977"/>
        <v>2</v>
      </c>
      <c r="AI78" s="367">
        <f t="shared" si="977"/>
        <v>2</v>
      </c>
      <c r="AJ78" s="176">
        <f t="shared" si="977"/>
        <v>2</v>
      </c>
      <c r="AK78" s="176">
        <f t="shared" si="977"/>
        <v>2</v>
      </c>
      <c r="AL78" s="176">
        <f t="shared" si="977"/>
        <v>2</v>
      </c>
      <c r="AM78" s="176">
        <f t="shared" si="977"/>
        <v>2</v>
      </c>
      <c r="AN78" s="176">
        <f t="shared" si="977"/>
        <v>2</v>
      </c>
      <c r="AO78" s="176">
        <f t="shared" si="977"/>
        <v>2</v>
      </c>
      <c r="AP78" s="176">
        <f t="shared" si="977"/>
        <v>2</v>
      </c>
      <c r="AQ78" s="176">
        <f t="shared" si="977"/>
        <v>2</v>
      </c>
      <c r="AR78" s="176">
        <f t="shared" si="977"/>
        <v>2</v>
      </c>
      <c r="AS78" s="176">
        <f t="shared" si="977"/>
        <v>2</v>
      </c>
      <c r="AT78" s="176">
        <f t="shared" si="977"/>
        <v>2</v>
      </c>
      <c r="AU78" s="367">
        <f t="shared" si="977"/>
        <v>2</v>
      </c>
      <c r="AV78" s="176">
        <f t="shared" si="977"/>
        <v>2</v>
      </c>
      <c r="AW78" s="176">
        <f t="shared" si="977"/>
        <v>2</v>
      </c>
      <c r="AX78" s="176">
        <f t="shared" si="977"/>
        <v>2</v>
      </c>
      <c r="AY78" s="176">
        <f t="shared" si="977"/>
        <v>2</v>
      </c>
      <c r="AZ78" s="176">
        <f t="shared" si="977"/>
        <v>2</v>
      </c>
      <c r="BA78" s="176">
        <f t="shared" si="977"/>
        <v>2</v>
      </c>
      <c r="BB78" s="176">
        <f t="shared" si="977"/>
        <v>2</v>
      </c>
      <c r="BC78" s="176">
        <f t="shared" ref="BC78:CH78" si="978">ROUNDUP($V78*(BC77/100)/0.8,0)</f>
        <v>2</v>
      </c>
      <c r="BD78" s="176">
        <f t="shared" si="978"/>
        <v>2</v>
      </c>
      <c r="BE78" s="176">
        <f t="shared" si="978"/>
        <v>2</v>
      </c>
      <c r="BF78" s="176">
        <f t="shared" si="978"/>
        <v>2</v>
      </c>
      <c r="BG78" s="367">
        <f t="shared" si="978"/>
        <v>2</v>
      </c>
      <c r="BH78" s="176">
        <f t="shared" si="978"/>
        <v>2</v>
      </c>
      <c r="BI78" s="176">
        <f t="shared" si="978"/>
        <v>2</v>
      </c>
      <c r="BJ78" s="176">
        <f t="shared" si="978"/>
        <v>2</v>
      </c>
      <c r="BK78" s="176">
        <f t="shared" si="978"/>
        <v>2</v>
      </c>
      <c r="BL78" s="176">
        <f t="shared" si="978"/>
        <v>2</v>
      </c>
      <c r="BM78" s="176">
        <f t="shared" si="978"/>
        <v>2</v>
      </c>
      <c r="BN78" s="176">
        <f t="shared" si="978"/>
        <v>2</v>
      </c>
      <c r="BO78" s="176">
        <f t="shared" si="978"/>
        <v>2</v>
      </c>
      <c r="BP78" s="176">
        <f t="shared" si="978"/>
        <v>2</v>
      </c>
      <c r="BQ78" s="176">
        <f t="shared" si="978"/>
        <v>2</v>
      </c>
      <c r="BR78" s="176">
        <f t="shared" si="978"/>
        <v>2</v>
      </c>
      <c r="BS78" s="367">
        <f t="shared" si="978"/>
        <v>2</v>
      </c>
      <c r="BT78" s="176">
        <f t="shared" si="978"/>
        <v>2</v>
      </c>
      <c r="BU78" s="176">
        <f t="shared" si="978"/>
        <v>2</v>
      </c>
      <c r="BV78" s="176">
        <f t="shared" si="978"/>
        <v>2</v>
      </c>
      <c r="BW78" s="176">
        <f t="shared" si="978"/>
        <v>2</v>
      </c>
      <c r="BX78" s="176">
        <f t="shared" si="978"/>
        <v>2</v>
      </c>
      <c r="BY78" s="176">
        <f t="shared" si="978"/>
        <v>2</v>
      </c>
      <c r="BZ78" s="176">
        <f t="shared" si="978"/>
        <v>2</v>
      </c>
      <c r="CA78" s="176">
        <f t="shared" si="978"/>
        <v>2</v>
      </c>
      <c r="CB78" s="176">
        <f t="shared" si="978"/>
        <v>2</v>
      </c>
      <c r="CC78" s="176">
        <f t="shared" si="978"/>
        <v>2</v>
      </c>
      <c r="CD78" s="176">
        <f t="shared" si="978"/>
        <v>2</v>
      </c>
      <c r="CE78" s="367">
        <f t="shared" si="978"/>
        <v>2</v>
      </c>
      <c r="CF78" s="176">
        <f t="shared" si="978"/>
        <v>2</v>
      </c>
      <c r="CG78" s="176">
        <f t="shared" si="978"/>
        <v>2</v>
      </c>
      <c r="CH78" s="176">
        <f t="shared" si="978"/>
        <v>2</v>
      </c>
      <c r="CI78" s="176">
        <f t="shared" ref="CI78:DN78" si="979">ROUNDUP($V78*(CI77/100)/0.8,0)</f>
        <v>2</v>
      </c>
      <c r="CJ78" s="176">
        <f t="shared" si="979"/>
        <v>2</v>
      </c>
      <c r="CK78" s="176">
        <f t="shared" si="979"/>
        <v>2</v>
      </c>
      <c r="CL78" s="176">
        <f t="shared" si="979"/>
        <v>2</v>
      </c>
      <c r="CM78" s="176">
        <f t="shared" si="979"/>
        <v>2</v>
      </c>
      <c r="CN78" s="176">
        <f t="shared" si="979"/>
        <v>2</v>
      </c>
      <c r="CO78" s="176">
        <f t="shared" si="979"/>
        <v>2</v>
      </c>
      <c r="CP78" s="176">
        <f t="shared" si="979"/>
        <v>2</v>
      </c>
      <c r="CQ78" s="367">
        <f t="shared" si="979"/>
        <v>2</v>
      </c>
      <c r="CR78" s="176">
        <f t="shared" si="979"/>
        <v>2</v>
      </c>
      <c r="CS78" s="176">
        <f t="shared" si="979"/>
        <v>2</v>
      </c>
      <c r="CT78" s="176">
        <f t="shared" si="979"/>
        <v>2</v>
      </c>
      <c r="CU78" s="176">
        <f t="shared" si="979"/>
        <v>2</v>
      </c>
      <c r="CV78" s="176">
        <f t="shared" si="979"/>
        <v>2</v>
      </c>
      <c r="CW78" s="176">
        <f t="shared" si="979"/>
        <v>2</v>
      </c>
      <c r="CX78" s="176">
        <f t="shared" si="979"/>
        <v>2</v>
      </c>
      <c r="CY78" s="176">
        <f t="shared" si="979"/>
        <v>2</v>
      </c>
      <c r="CZ78" s="176">
        <f t="shared" si="979"/>
        <v>2</v>
      </c>
      <c r="DA78" s="176">
        <f t="shared" si="979"/>
        <v>2</v>
      </c>
      <c r="DB78" s="176">
        <f t="shared" si="979"/>
        <v>2</v>
      </c>
      <c r="DC78" s="367">
        <f t="shared" si="979"/>
        <v>2</v>
      </c>
      <c r="DD78" s="176">
        <f t="shared" si="979"/>
        <v>2</v>
      </c>
      <c r="DE78" s="176">
        <f t="shared" si="979"/>
        <v>2</v>
      </c>
      <c r="DF78" s="176">
        <f t="shared" si="979"/>
        <v>2</v>
      </c>
      <c r="DG78" s="176">
        <f t="shared" si="979"/>
        <v>2</v>
      </c>
      <c r="DH78" s="176">
        <f t="shared" si="979"/>
        <v>2</v>
      </c>
      <c r="DI78" s="176">
        <f t="shared" si="979"/>
        <v>2</v>
      </c>
      <c r="DJ78" s="176">
        <f t="shared" si="979"/>
        <v>2</v>
      </c>
      <c r="DK78" s="176">
        <f t="shared" si="979"/>
        <v>2</v>
      </c>
      <c r="DL78" s="176">
        <f t="shared" si="979"/>
        <v>3</v>
      </c>
      <c r="DM78" s="176">
        <f t="shared" si="979"/>
        <v>3</v>
      </c>
      <c r="DN78" s="176">
        <f t="shared" si="979"/>
        <v>3</v>
      </c>
      <c r="DO78" s="367">
        <f t="shared" ref="DO78:ED78" si="980">ROUNDUP($V78*(DO77/100)/0.8,0)</f>
        <v>3</v>
      </c>
      <c r="DP78" s="176">
        <f t="shared" si="980"/>
        <v>3</v>
      </c>
      <c r="DQ78" s="176">
        <f t="shared" si="980"/>
        <v>3</v>
      </c>
      <c r="DR78" s="176">
        <f t="shared" si="980"/>
        <v>3</v>
      </c>
      <c r="DS78" s="176">
        <f t="shared" si="980"/>
        <v>3</v>
      </c>
      <c r="DT78" s="176">
        <f t="shared" si="980"/>
        <v>3</v>
      </c>
      <c r="DU78" s="176">
        <f t="shared" si="980"/>
        <v>3</v>
      </c>
      <c r="DV78" s="176">
        <f t="shared" si="980"/>
        <v>3</v>
      </c>
      <c r="DW78" s="176">
        <f t="shared" si="980"/>
        <v>3</v>
      </c>
      <c r="DX78" s="176">
        <f t="shared" si="980"/>
        <v>3</v>
      </c>
      <c r="DY78" s="176">
        <f t="shared" si="980"/>
        <v>3</v>
      </c>
      <c r="DZ78" s="176">
        <f t="shared" si="980"/>
        <v>3</v>
      </c>
      <c r="EA78" s="367">
        <f t="shared" si="980"/>
        <v>3</v>
      </c>
      <c r="EB78" s="176">
        <f t="shared" si="980"/>
        <v>3</v>
      </c>
      <c r="EC78" s="176">
        <f t="shared" si="980"/>
        <v>3</v>
      </c>
      <c r="ED78" s="373">
        <f t="shared" si="980"/>
        <v>3</v>
      </c>
    </row>
    <row r="79" spans="1:134" ht="18.75" outlineLevel="1" x14ac:dyDescent="0.3">
      <c r="A79" s="81">
        <v>239</v>
      </c>
      <c r="B79" s="81" t="s">
        <v>251</v>
      </c>
      <c r="C79" s="736"/>
      <c r="D79" s="717" t="s">
        <v>252</v>
      </c>
      <c r="E79" s="717"/>
      <c r="F79" s="717"/>
      <c r="G79" s="717"/>
      <c r="H79" s="717"/>
      <c r="I79" s="717"/>
      <c r="J79" s="717"/>
      <c r="K79" s="717"/>
      <c r="L79" s="188"/>
      <c r="M79" s="494">
        <f>N79*100</f>
        <v>0</v>
      </c>
      <c r="N79" s="572"/>
      <c r="O79" s="573"/>
      <c r="P79" s="573"/>
      <c r="Q79" s="177"/>
      <c r="R79" s="192">
        <f t="shared" ref="R79:R91" si="981">P79-N79</f>
        <v>0</v>
      </c>
      <c r="S79" s="178">
        <f t="shared" si="968"/>
        <v>0</v>
      </c>
      <c r="T79" s="178"/>
      <c r="U79" s="176"/>
      <c r="V79" s="298"/>
      <c r="W79" s="368">
        <f t="shared" ref="W79:W93" si="982">M79</f>
        <v>0</v>
      </c>
      <c r="X79" s="369">
        <f t="shared" ref="X79:Y93" si="983">W79</f>
        <v>0</v>
      </c>
      <c r="Y79" s="369">
        <f t="shared" si="983"/>
        <v>0</v>
      </c>
      <c r="Z79" s="369">
        <f t="shared" ref="Z79:Z93" si="984">O79*100</f>
        <v>0</v>
      </c>
      <c r="AA79" s="369">
        <f>Z79</f>
        <v>0</v>
      </c>
      <c r="AB79" s="369">
        <f>AA79</f>
        <v>0</v>
      </c>
      <c r="AC79" s="369">
        <f t="shared" ref="AC79:AC93" si="985">P79*100</f>
        <v>0</v>
      </c>
      <c r="AD79" s="369">
        <f>AC79</f>
        <v>0</v>
      </c>
      <c r="AE79" s="369">
        <f>AD79</f>
        <v>0</v>
      </c>
      <c r="AF79" s="369">
        <f>AE79</f>
        <v>0</v>
      </c>
      <c r="AG79" s="369">
        <f>AF79</f>
        <v>0</v>
      </c>
      <c r="AH79" s="369">
        <f>AG79</f>
        <v>0</v>
      </c>
      <c r="AI79" s="370">
        <f t="shared" ref="AI79:AT79" si="986">(((AH79*(1+($B$36*$B$4)))-AH79)/12)+AH79</f>
        <v>0</v>
      </c>
      <c r="AJ79" s="369">
        <f t="shared" si="986"/>
        <v>0</v>
      </c>
      <c r="AK79" s="369">
        <f t="shared" si="986"/>
        <v>0</v>
      </c>
      <c r="AL79" s="369">
        <f t="shared" si="986"/>
        <v>0</v>
      </c>
      <c r="AM79" s="369">
        <f t="shared" si="986"/>
        <v>0</v>
      </c>
      <c r="AN79" s="369">
        <f t="shared" si="986"/>
        <v>0</v>
      </c>
      <c r="AO79" s="369">
        <f t="shared" si="986"/>
        <v>0</v>
      </c>
      <c r="AP79" s="369">
        <f t="shared" si="986"/>
        <v>0</v>
      </c>
      <c r="AQ79" s="369">
        <f t="shared" si="986"/>
        <v>0</v>
      </c>
      <c r="AR79" s="369">
        <f t="shared" si="986"/>
        <v>0</v>
      </c>
      <c r="AS79" s="369">
        <f t="shared" si="986"/>
        <v>0</v>
      </c>
      <c r="AT79" s="369">
        <f t="shared" si="986"/>
        <v>0</v>
      </c>
      <c r="AU79" s="370">
        <f t="shared" ref="AU79:BF79" si="987">(((AT79*(1+($B$37*$B$4)))-AT79)/12)+AT79</f>
        <v>0</v>
      </c>
      <c r="AV79" s="369">
        <f t="shared" si="987"/>
        <v>0</v>
      </c>
      <c r="AW79" s="369">
        <f t="shared" si="987"/>
        <v>0</v>
      </c>
      <c r="AX79" s="369">
        <f t="shared" si="987"/>
        <v>0</v>
      </c>
      <c r="AY79" s="369">
        <f t="shared" si="987"/>
        <v>0</v>
      </c>
      <c r="AZ79" s="369">
        <f t="shared" si="987"/>
        <v>0</v>
      </c>
      <c r="BA79" s="369">
        <f t="shared" si="987"/>
        <v>0</v>
      </c>
      <c r="BB79" s="369">
        <f t="shared" si="987"/>
        <v>0</v>
      </c>
      <c r="BC79" s="369">
        <f t="shared" si="987"/>
        <v>0</v>
      </c>
      <c r="BD79" s="369">
        <f t="shared" si="987"/>
        <v>0</v>
      </c>
      <c r="BE79" s="369">
        <f t="shared" si="987"/>
        <v>0</v>
      </c>
      <c r="BF79" s="369">
        <f t="shared" si="987"/>
        <v>0</v>
      </c>
      <c r="BG79" s="370">
        <f t="shared" ref="BG79:BR79" si="988">(((BF79*(1+($B$38*$B$4)))-BF79)/12)+BF79</f>
        <v>0</v>
      </c>
      <c r="BH79" s="369">
        <f t="shared" si="988"/>
        <v>0</v>
      </c>
      <c r="BI79" s="369">
        <f t="shared" si="988"/>
        <v>0</v>
      </c>
      <c r="BJ79" s="369">
        <f t="shared" si="988"/>
        <v>0</v>
      </c>
      <c r="BK79" s="369">
        <f t="shared" si="988"/>
        <v>0</v>
      </c>
      <c r="BL79" s="369">
        <f t="shared" si="988"/>
        <v>0</v>
      </c>
      <c r="BM79" s="369">
        <f t="shared" si="988"/>
        <v>0</v>
      </c>
      <c r="BN79" s="369">
        <f t="shared" si="988"/>
        <v>0</v>
      </c>
      <c r="BO79" s="369">
        <f t="shared" si="988"/>
        <v>0</v>
      </c>
      <c r="BP79" s="369">
        <f t="shared" si="988"/>
        <v>0</v>
      </c>
      <c r="BQ79" s="369">
        <f t="shared" si="988"/>
        <v>0</v>
      </c>
      <c r="BR79" s="369">
        <f t="shared" si="988"/>
        <v>0</v>
      </c>
      <c r="BS79" s="370">
        <f t="shared" ref="BS79:CD79" si="989">(((BR79*(1+($B$39*$B$4)))-BR79)/12)+BR79</f>
        <v>0</v>
      </c>
      <c r="BT79" s="369">
        <f t="shared" si="989"/>
        <v>0</v>
      </c>
      <c r="BU79" s="369">
        <f t="shared" si="989"/>
        <v>0</v>
      </c>
      <c r="BV79" s="369">
        <f t="shared" si="989"/>
        <v>0</v>
      </c>
      <c r="BW79" s="369">
        <f t="shared" si="989"/>
        <v>0</v>
      </c>
      <c r="BX79" s="369">
        <f t="shared" si="989"/>
        <v>0</v>
      </c>
      <c r="BY79" s="369">
        <f t="shared" si="989"/>
        <v>0</v>
      </c>
      <c r="BZ79" s="369">
        <f t="shared" si="989"/>
        <v>0</v>
      </c>
      <c r="CA79" s="369">
        <f t="shared" si="989"/>
        <v>0</v>
      </c>
      <c r="CB79" s="369">
        <f t="shared" si="989"/>
        <v>0</v>
      </c>
      <c r="CC79" s="369">
        <f t="shared" si="989"/>
        <v>0</v>
      </c>
      <c r="CD79" s="369">
        <f t="shared" si="989"/>
        <v>0</v>
      </c>
      <c r="CE79" s="370">
        <f t="shared" ref="CE79:CP79" si="990">(((CD79*(1+($B$40*$B$4)))-CD79)/12)+CD79</f>
        <v>0</v>
      </c>
      <c r="CF79" s="369">
        <f t="shared" si="990"/>
        <v>0</v>
      </c>
      <c r="CG79" s="369">
        <f t="shared" si="990"/>
        <v>0</v>
      </c>
      <c r="CH79" s="369">
        <f t="shared" si="990"/>
        <v>0</v>
      </c>
      <c r="CI79" s="369">
        <f t="shared" si="990"/>
        <v>0</v>
      </c>
      <c r="CJ79" s="369">
        <f t="shared" si="990"/>
        <v>0</v>
      </c>
      <c r="CK79" s="369">
        <f t="shared" si="990"/>
        <v>0</v>
      </c>
      <c r="CL79" s="369">
        <f t="shared" si="990"/>
        <v>0</v>
      </c>
      <c r="CM79" s="369">
        <f t="shared" si="990"/>
        <v>0</v>
      </c>
      <c r="CN79" s="369">
        <f t="shared" si="990"/>
        <v>0</v>
      </c>
      <c r="CO79" s="369">
        <f t="shared" si="990"/>
        <v>0</v>
      </c>
      <c r="CP79" s="369">
        <f t="shared" si="990"/>
        <v>0</v>
      </c>
      <c r="CQ79" s="370">
        <f t="shared" ref="CQ79:DB79" si="991">(((CP79*(1+($B$41*$B$4)))-CP79)/12)+CP79</f>
        <v>0</v>
      </c>
      <c r="CR79" s="369">
        <f t="shared" si="991"/>
        <v>0</v>
      </c>
      <c r="CS79" s="369">
        <f t="shared" si="991"/>
        <v>0</v>
      </c>
      <c r="CT79" s="369">
        <f t="shared" si="991"/>
        <v>0</v>
      </c>
      <c r="CU79" s="369">
        <f t="shared" si="991"/>
        <v>0</v>
      </c>
      <c r="CV79" s="369">
        <f t="shared" si="991"/>
        <v>0</v>
      </c>
      <c r="CW79" s="369">
        <f t="shared" si="991"/>
        <v>0</v>
      </c>
      <c r="CX79" s="369">
        <f t="shared" si="991"/>
        <v>0</v>
      </c>
      <c r="CY79" s="369">
        <f t="shared" si="991"/>
        <v>0</v>
      </c>
      <c r="CZ79" s="369">
        <f t="shared" si="991"/>
        <v>0</v>
      </c>
      <c r="DA79" s="369">
        <f t="shared" si="991"/>
        <v>0</v>
      </c>
      <c r="DB79" s="369">
        <f t="shared" si="991"/>
        <v>0</v>
      </c>
      <c r="DC79" s="370">
        <f t="shared" ref="DC79:DN79" si="992">(((DB79*(1+($B$42*$B$4)))-DB79)/12)+DB79</f>
        <v>0</v>
      </c>
      <c r="DD79" s="369">
        <f t="shared" si="992"/>
        <v>0</v>
      </c>
      <c r="DE79" s="369">
        <f t="shared" si="992"/>
        <v>0</v>
      </c>
      <c r="DF79" s="369">
        <f t="shared" si="992"/>
        <v>0</v>
      </c>
      <c r="DG79" s="369">
        <f t="shared" si="992"/>
        <v>0</v>
      </c>
      <c r="DH79" s="369">
        <f t="shared" si="992"/>
        <v>0</v>
      </c>
      <c r="DI79" s="369">
        <f t="shared" si="992"/>
        <v>0</v>
      </c>
      <c r="DJ79" s="369">
        <f t="shared" si="992"/>
        <v>0</v>
      </c>
      <c r="DK79" s="369">
        <f t="shared" si="992"/>
        <v>0</v>
      </c>
      <c r="DL79" s="369">
        <f t="shared" si="992"/>
        <v>0</v>
      </c>
      <c r="DM79" s="369">
        <f t="shared" si="992"/>
        <v>0</v>
      </c>
      <c r="DN79" s="369">
        <f t="shared" si="992"/>
        <v>0</v>
      </c>
      <c r="DO79" s="370">
        <f t="shared" ref="DO79:DZ79" si="993">(((DN79*(1+($B$43*$B$4)))-DN79)/12)+DN79</f>
        <v>0</v>
      </c>
      <c r="DP79" s="369">
        <f t="shared" si="993"/>
        <v>0</v>
      </c>
      <c r="DQ79" s="369">
        <f t="shared" si="993"/>
        <v>0</v>
      </c>
      <c r="DR79" s="369">
        <f t="shared" si="993"/>
        <v>0</v>
      </c>
      <c r="DS79" s="369">
        <f t="shared" si="993"/>
        <v>0</v>
      </c>
      <c r="DT79" s="369">
        <f t="shared" si="993"/>
        <v>0</v>
      </c>
      <c r="DU79" s="369">
        <f t="shared" si="993"/>
        <v>0</v>
      </c>
      <c r="DV79" s="369">
        <f t="shared" si="993"/>
        <v>0</v>
      </c>
      <c r="DW79" s="369">
        <f t="shared" si="993"/>
        <v>0</v>
      </c>
      <c r="DX79" s="369">
        <f t="shared" si="993"/>
        <v>0</v>
      </c>
      <c r="DY79" s="369">
        <f t="shared" si="993"/>
        <v>0</v>
      </c>
      <c r="DZ79" s="369">
        <f t="shared" si="993"/>
        <v>0</v>
      </c>
      <c r="EA79" s="370">
        <f>(((DZ79*(1+($B$44*$B$4)))-DZ79)/12)+DZ79</f>
        <v>0</v>
      </c>
      <c r="EB79" s="369">
        <f>(((EA79*(1+($B$44*$B$4)))-EA79)/12)+EA79</f>
        <v>0</v>
      </c>
      <c r="EC79" s="369">
        <f>(((EB79*(1+($B$44*$B$4)))-EB79)/12)+EB79</f>
        <v>0</v>
      </c>
      <c r="ED79" s="371">
        <f>(((EC79*(1+($B$44*$B$4)))-EC79)/12)+EC79</f>
        <v>0</v>
      </c>
    </row>
    <row r="80" spans="1:134" ht="18.75" outlineLevel="1" x14ac:dyDescent="0.3">
      <c r="A80" s="81">
        <v>80</v>
      </c>
      <c r="B80" s="81" t="s">
        <v>253</v>
      </c>
      <c r="C80" s="736"/>
      <c r="D80" s="717"/>
      <c r="E80" s="717"/>
      <c r="F80" s="717"/>
      <c r="G80" s="717"/>
      <c r="H80" s="717"/>
      <c r="I80" s="717"/>
      <c r="J80" s="717"/>
      <c r="K80" s="717"/>
      <c r="L80" s="188"/>
      <c r="M80" s="176"/>
      <c r="N80" s="572"/>
      <c r="O80" s="573"/>
      <c r="P80" s="573"/>
      <c r="Q80" s="177"/>
      <c r="R80" s="192"/>
      <c r="S80" s="178"/>
      <c r="T80" s="178"/>
      <c r="U80" s="176"/>
      <c r="V80" s="70">
        <v>1</v>
      </c>
      <c r="W80" s="374">
        <f t="shared" ref="W80:BB80" si="994">ROUNDUP($V80*(W79/100)/0.8,0)</f>
        <v>0</v>
      </c>
      <c r="X80" s="375">
        <f t="shared" si="994"/>
        <v>0</v>
      </c>
      <c r="Y80" s="375">
        <f t="shared" si="994"/>
        <v>0</v>
      </c>
      <c r="Z80" s="375">
        <f t="shared" si="994"/>
        <v>0</v>
      </c>
      <c r="AA80" s="375">
        <f t="shared" si="994"/>
        <v>0</v>
      </c>
      <c r="AB80" s="375">
        <f t="shared" si="994"/>
        <v>0</v>
      </c>
      <c r="AC80" s="375">
        <f t="shared" si="994"/>
        <v>0</v>
      </c>
      <c r="AD80" s="375">
        <f t="shared" si="994"/>
        <v>0</v>
      </c>
      <c r="AE80" s="375">
        <f t="shared" si="994"/>
        <v>0</v>
      </c>
      <c r="AF80" s="375">
        <f t="shared" si="994"/>
        <v>0</v>
      </c>
      <c r="AG80" s="375">
        <f t="shared" si="994"/>
        <v>0</v>
      </c>
      <c r="AH80" s="375">
        <f t="shared" si="994"/>
        <v>0</v>
      </c>
      <c r="AI80" s="376">
        <f t="shared" si="994"/>
        <v>0</v>
      </c>
      <c r="AJ80" s="375">
        <f t="shared" si="994"/>
        <v>0</v>
      </c>
      <c r="AK80" s="375">
        <f t="shared" si="994"/>
        <v>0</v>
      </c>
      <c r="AL80" s="375">
        <f t="shared" si="994"/>
        <v>0</v>
      </c>
      <c r="AM80" s="375">
        <f t="shared" si="994"/>
        <v>0</v>
      </c>
      <c r="AN80" s="375">
        <f t="shared" si="994"/>
        <v>0</v>
      </c>
      <c r="AO80" s="375">
        <f t="shared" si="994"/>
        <v>0</v>
      </c>
      <c r="AP80" s="375">
        <f t="shared" si="994"/>
        <v>0</v>
      </c>
      <c r="AQ80" s="375">
        <f t="shared" si="994"/>
        <v>0</v>
      </c>
      <c r="AR80" s="375">
        <f t="shared" si="994"/>
        <v>0</v>
      </c>
      <c r="AS80" s="375">
        <f t="shared" si="994"/>
        <v>0</v>
      </c>
      <c r="AT80" s="375">
        <f t="shared" si="994"/>
        <v>0</v>
      </c>
      <c r="AU80" s="376">
        <f t="shared" si="994"/>
        <v>0</v>
      </c>
      <c r="AV80" s="375">
        <f t="shared" si="994"/>
        <v>0</v>
      </c>
      <c r="AW80" s="375">
        <f t="shared" si="994"/>
        <v>0</v>
      </c>
      <c r="AX80" s="375">
        <f t="shared" si="994"/>
        <v>0</v>
      </c>
      <c r="AY80" s="375">
        <f t="shared" si="994"/>
        <v>0</v>
      </c>
      <c r="AZ80" s="375">
        <f t="shared" si="994"/>
        <v>0</v>
      </c>
      <c r="BA80" s="375">
        <f t="shared" si="994"/>
        <v>0</v>
      </c>
      <c r="BB80" s="375">
        <f t="shared" si="994"/>
        <v>0</v>
      </c>
      <c r="BC80" s="375">
        <f t="shared" ref="BC80:CH80" si="995">ROUNDUP($V80*(BC79/100)/0.8,0)</f>
        <v>0</v>
      </c>
      <c r="BD80" s="375">
        <f t="shared" si="995"/>
        <v>0</v>
      </c>
      <c r="BE80" s="375">
        <f t="shared" si="995"/>
        <v>0</v>
      </c>
      <c r="BF80" s="375">
        <f t="shared" si="995"/>
        <v>0</v>
      </c>
      <c r="BG80" s="376">
        <f t="shared" si="995"/>
        <v>0</v>
      </c>
      <c r="BH80" s="375">
        <f t="shared" si="995"/>
        <v>0</v>
      </c>
      <c r="BI80" s="375">
        <f t="shared" si="995"/>
        <v>0</v>
      </c>
      <c r="BJ80" s="375">
        <f t="shared" si="995"/>
        <v>0</v>
      </c>
      <c r="BK80" s="375">
        <f t="shared" si="995"/>
        <v>0</v>
      </c>
      <c r="BL80" s="375">
        <f t="shared" si="995"/>
        <v>0</v>
      </c>
      <c r="BM80" s="375">
        <f t="shared" si="995"/>
        <v>0</v>
      </c>
      <c r="BN80" s="375">
        <f t="shared" si="995"/>
        <v>0</v>
      </c>
      <c r="BO80" s="375">
        <f t="shared" si="995"/>
        <v>0</v>
      </c>
      <c r="BP80" s="375">
        <f t="shared" si="995"/>
        <v>0</v>
      </c>
      <c r="BQ80" s="375">
        <f t="shared" si="995"/>
        <v>0</v>
      </c>
      <c r="BR80" s="375">
        <f t="shared" si="995"/>
        <v>0</v>
      </c>
      <c r="BS80" s="376">
        <f t="shared" si="995"/>
        <v>0</v>
      </c>
      <c r="BT80" s="375">
        <f t="shared" si="995"/>
        <v>0</v>
      </c>
      <c r="BU80" s="375">
        <f t="shared" si="995"/>
        <v>0</v>
      </c>
      <c r="BV80" s="375">
        <f t="shared" si="995"/>
        <v>0</v>
      </c>
      <c r="BW80" s="375">
        <f t="shared" si="995"/>
        <v>0</v>
      </c>
      <c r="BX80" s="375">
        <f t="shared" si="995"/>
        <v>0</v>
      </c>
      <c r="BY80" s="375">
        <f t="shared" si="995"/>
        <v>0</v>
      </c>
      <c r="BZ80" s="375">
        <f t="shared" si="995"/>
        <v>0</v>
      </c>
      <c r="CA80" s="375">
        <f t="shared" si="995"/>
        <v>0</v>
      </c>
      <c r="CB80" s="375">
        <f t="shared" si="995"/>
        <v>0</v>
      </c>
      <c r="CC80" s="375">
        <f t="shared" si="995"/>
        <v>0</v>
      </c>
      <c r="CD80" s="375">
        <f t="shared" si="995"/>
        <v>0</v>
      </c>
      <c r="CE80" s="376">
        <f t="shared" si="995"/>
        <v>0</v>
      </c>
      <c r="CF80" s="375">
        <f t="shared" si="995"/>
        <v>0</v>
      </c>
      <c r="CG80" s="375">
        <f t="shared" si="995"/>
        <v>0</v>
      </c>
      <c r="CH80" s="375">
        <f t="shared" si="995"/>
        <v>0</v>
      </c>
      <c r="CI80" s="375">
        <f t="shared" ref="CI80:DN80" si="996">ROUNDUP($V80*(CI79/100)/0.8,0)</f>
        <v>0</v>
      </c>
      <c r="CJ80" s="375">
        <f t="shared" si="996"/>
        <v>0</v>
      </c>
      <c r="CK80" s="375">
        <f t="shared" si="996"/>
        <v>0</v>
      </c>
      <c r="CL80" s="375">
        <f t="shared" si="996"/>
        <v>0</v>
      </c>
      <c r="CM80" s="375">
        <f t="shared" si="996"/>
        <v>0</v>
      </c>
      <c r="CN80" s="375">
        <f t="shared" si="996"/>
        <v>0</v>
      </c>
      <c r="CO80" s="375">
        <f t="shared" si="996"/>
        <v>0</v>
      </c>
      <c r="CP80" s="375">
        <f t="shared" si="996"/>
        <v>0</v>
      </c>
      <c r="CQ80" s="376">
        <f t="shared" si="996"/>
        <v>0</v>
      </c>
      <c r="CR80" s="375">
        <f t="shared" si="996"/>
        <v>0</v>
      </c>
      <c r="CS80" s="375">
        <f t="shared" si="996"/>
        <v>0</v>
      </c>
      <c r="CT80" s="375">
        <f t="shared" si="996"/>
        <v>0</v>
      </c>
      <c r="CU80" s="375">
        <f t="shared" si="996"/>
        <v>0</v>
      </c>
      <c r="CV80" s="375">
        <f t="shared" si="996"/>
        <v>0</v>
      </c>
      <c r="CW80" s="375">
        <f t="shared" si="996"/>
        <v>0</v>
      </c>
      <c r="CX80" s="375">
        <f t="shared" si="996"/>
        <v>0</v>
      </c>
      <c r="CY80" s="375">
        <f t="shared" si="996"/>
        <v>0</v>
      </c>
      <c r="CZ80" s="375">
        <f t="shared" si="996"/>
        <v>0</v>
      </c>
      <c r="DA80" s="375">
        <f t="shared" si="996"/>
        <v>0</v>
      </c>
      <c r="DB80" s="375">
        <f t="shared" si="996"/>
        <v>0</v>
      </c>
      <c r="DC80" s="376">
        <f t="shared" si="996"/>
        <v>0</v>
      </c>
      <c r="DD80" s="375">
        <f t="shared" si="996"/>
        <v>0</v>
      </c>
      <c r="DE80" s="375">
        <f t="shared" si="996"/>
        <v>0</v>
      </c>
      <c r="DF80" s="375">
        <f t="shared" si="996"/>
        <v>0</v>
      </c>
      <c r="DG80" s="375">
        <f t="shared" si="996"/>
        <v>0</v>
      </c>
      <c r="DH80" s="375">
        <f t="shared" si="996"/>
        <v>0</v>
      </c>
      <c r="DI80" s="375">
        <f t="shared" si="996"/>
        <v>0</v>
      </c>
      <c r="DJ80" s="375">
        <f t="shared" si="996"/>
        <v>0</v>
      </c>
      <c r="DK80" s="375">
        <f t="shared" si="996"/>
        <v>0</v>
      </c>
      <c r="DL80" s="375">
        <f t="shared" si="996"/>
        <v>0</v>
      </c>
      <c r="DM80" s="375">
        <f t="shared" si="996"/>
        <v>0</v>
      </c>
      <c r="DN80" s="375">
        <f t="shared" si="996"/>
        <v>0</v>
      </c>
      <c r="DO80" s="376">
        <f t="shared" ref="DO80:ED80" si="997">ROUNDUP($V80*(DO79/100)/0.8,0)</f>
        <v>0</v>
      </c>
      <c r="DP80" s="375">
        <f t="shared" si="997"/>
        <v>0</v>
      </c>
      <c r="DQ80" s="375">
        <f t="shared" si="997"/>
        <v>0</v>
      </c>
      <c r="DR80" s="375">
        <f t="shared" si="997"/>
        <v>0</v>
      </c>
      <c r="DS80" s="375">
        <f t="shared" si="997"/>
        <v>0</v>
      </c>
      <c r="DT80" s="375">
        <f t="shared" si="997"/>
        <v>0</v>
      </c>
      <c r="DU80" s="375">
        <f t="shared" si="997"/>
        <v>0</v>
      </c>
      <c r="DV80" s="375">
        <f t="shared" si="997"/>
        <v>0</v>
      </c>
      <c r="DW80" s="375">
        <f t="shared" si="997"/>
        <v>0</v>
      </c>
      <c r="DX80" s="375">
        <f t="shared" si="997"/>
        <v>0</v>
      </c>
      <c r="DY80" s="375">
        <f t="shared" si="997"/>
        <v>0</v>
      </c>
      <c r="DZ80" s="375">
        <f t="shared" si="997"/>
        <v>0</v>
      </c>
      <c r="EA80" s="376">
        <f t="shared" si="997"/>
        <v>0</v>
      </c>
      <c r="EB80" s="375">
        <f t="shared" si="997"/>
        <v>0</v>
      </c>
      <c r="EC80" s="375">
        <f t="shared" si="997"/>
        <v>0</v>
      </c>
      <c r="ED80" s="377">
        <f t="shared" si="997"/>
        <v>0</v>
      </c>
    </row>
    <row r="81" spans="1:134" ht="18.75" outlineLevel="1" x14ac:dyDescent="0.3">
      <c r="A81" s="81">
        <v>400</v>
      </c>
      <c r="B81" s="81" t="s">
        <v>254</v>
      </c>
      <c r="C81" s="736"/>
      <c r="D81" s="715" t="s">
        <v>255</v>
      </c>
      <c r="E81" s="715"/>
      <c r="F81" s="715"/>
      <c r="G81" s="715"/>
      <c r="H81" s="715"/>
      <c r="I81" s="715"/>
      <c r="J81" s="715"/>
      <c r="K81" s="715"/>
      <c r="L81" s="186"/>
      <c r="M81" s="494">
        <f>N81*100</f>
        <v>61</v>
      </c>
      <c r="N81" s="568">
        <f>'XFMR Data'!C4/100</f>
        <v>0.61</v>
      </c>
      <c r="O81" s="569">
        <f>'XFMR Data'!H4/100</f>
        <v>0.59</v>
      </c>
      <c r="P81" s="569">
        <f>'XFMR Data'!M4/100</f>
        <v>0.5</v>
      </c>
      <c r="Q81" s="183"/>
      <c r="R81" s="190">
        <f t="shared" si="981"/>
        <v>-0.10999999999999999</v>
      </c>
      <c r="S81" s="184">
        <f t="shared" si="968"/>
        <v>0</v>
      </c>
      <c r="T81" s="184"/>
      <c r="U81" s="181"/>
      <c r="V81" s="297"/>
      <c r="W81" s="378">
        <f t="shared" si="982"/>
        <v>61</v>
      </c>
      <c r="X81" s="379">
        <f t="shared" si="983"/>
        <v>61</v>
      </c>
      <c r="Y81" s="379">
        <f t="shared" si="983"/>
        <v>61</v>
      </c>
      <c r="Z81" s="379">
        <f t="shared" si="984"/>
        <v>59</v>
      </c>
      <c r="AA81" s="379">
        <f>Z81</f>
        <v>59</v>
      </c>
      <c r="AB81" s="379">
        <f>AA81</f>
        <v>59</v>
      </c>
      <c r="AC81" s="379">
        <f t="shared" si="985"/>
        <v>50</v>
      </c>
      <c r="AD81" s="379">
        <f>AC81</f>
        <v>50</v>
      </c>
      <c r="AE81" s="379">
        <f>AD81</f>
        <v>50</v>
      </c>
      <c r="AF81" s="379">
        <f>AE81</f>
        <v>50</v>
      </c>
      <c r="AG81" s="379">
        <f>AF81</f>
        <v>50</v>
      </c>
      <c r="AH81" s="379">
        <f>AG81</f>
        <v>50</v>
      </c>
      <c r="AI81" s="380">
        <f t="shared" ref="AI81:AT81" si="998">(((AH81*(1+($B$36*$B$4)))-AH81)/12)+AH81</f>
        <v>50.3</v>
      </c>
      <c r="AJ81" s="379">
        <f t="shared" si="998"/>
        <v>50.601799999999997</v>
      </c>
      <c r="AK81" s="379">
        <f t="shared" si="998"/>
        <v>50.905410799999999</v>
      </c>
      <c r="AL81" s="379">
        <f t="shared" si="998"/>
        <v>51.210843264799998</v>
      </c>
      <c r="AM81" s="379">
        <f t="shared" si="998"/>
        <v>51.518108324388798</v>
      </c>
      <c r="AN81" s="379">
        <f t="shared" si="998"/>
        <v>51.82721697433513</v>
      </c>
      <c r="AO81" s="379">
        <f t="shared" si="998"/>
        <v>52.138180276181139</v>
      </c>
      <c r="AP81" s="379">
        <f t="shared" si="998"/>
        <v>52.451009357838224</v>
      </c>
      <c r="AQ81" s="379">
        <f t="shared" si="998"/>
        <v>52.765715413985255</v>
      </c>
      <c r="AR81" s="379">
        <f t="shared" si="998"/>
        <v>53.082309706469168</v>
      </c>
      <c r="AS81" s="379">
        <f t="shared" si="998"/>
        <v>53.400803564707985</v>
      </c>
      <c r="AT81" s="379">
        <f t="shared" si="998"/>
        <v>53.721208386096237</v>
      </c>
      <c r="AU81" s="380">
        <f t="shared" ref="AU81:BF81" si="999">(((AT81*(1+($B$37*$B$4)))-AT81)/12)+AT81</f>
        <v>54.043535636412813</v>
      </c>
      <c r="AV81" s="379">
        <f t="shared" si="999"/>
        <v>54.367796850231286</v>
      </c>
      <c r="AW81" s="379">
        <f t="shared" si="999"/>
        <v>54.694003631332677</v>
      </c>
      <c r="AX81" s="379">
        <f t="shared" si="999"/>
        <v>55.022167653120675</v>
      </c>
      <c r="AY81" s="379">
        <f t="shared" si="999"/>
        <v>55.3523006590394</v>
      </c>
      <c r="AZ81" s="379">
        <f t="shared" si="999"/>
        <v>55.684414462993637</v>
      </c>
      <c r="BA81" s="379">
        <f t="shared" si="999"/>
        <v>56.018520949771599</v>
      </c>
      <c r="BB81" s="379">
        <f t="shared" si="999"/>
        <v>56.354632075470228</v>
      </c>
      <c r="BC81" s="379">
        <f t="shared" si="999"/>
        <v>56.692759867923051</v>
      </c>
      <c r="BD81" s="379">
        <f t="shared" si="999"/>
        <v>57.032916427130587</v>
      </c>
      <c r="BE81" s="379">
        <f t="shared" si="999"/>
        <v>57.37511392569337</v>
      </c>
      <c r="BF81" s="379">
        <f t="shared" si="999"/>
        <v>57.719364609247528</v>
      </c>
      <c r="BG81" s="380">
        <f t="shared" ref="BG81:BR81" si="1000">(((BF81*(1+($B$38*$B$4)))-BF81)/12)+BF81</f>
        <v>58.06568079690301</v>
      </c>
      <c r="BH81" s="379">
        <f t="shared" si="1000"/>
        <v>58.414074881684428</v>
      </c>
      <c r="BI81" s="379">
        <f t="shared" si="1000"/>
        <v>58.764559330974535</v>
      </c>
      <c r="BJ81" s="379">
        <f t="shared" si="1000"/>
        <v>59.117146686960382</v>
      </c>
      <c r="BK81" s="379">
        <f t="shared" si="1000"/>
        <v>59.471849567082145</v>
      </c>
      <c r="BL81" s="379">
        <f t="shared" si="1000"/>
        <v>59.828680664484637</v>
      </c>
      <c r="BM81" s="379">
        <f t="shared" si="1000"/>
        <v>60.187652748471542</v>
      </c>
      <c r="BN81" s="379">
        <f t="shared" si="1000"/>
        <v>60.54877866496237</v>
      </c>
      <c r="BO81" s="379">
        <f t="shared" si="1000"/>
        <v>60.912071336952145</v>
      </c>
      <c r="BP81" s="379">
        <f t="shared" si="1000"/>
        <v>61.277543764973856</v>
      </c>
      <c r="BQ81" s="379">
        <f t="shared" si="1000"/>
        <v>61.645209027563702</v>
      </c>
      <c r="BR81" s="379">
        <f t="shared" si="1000"/>
        <v>62.015080281729084</v>
      </c>
      <c r="BS81" s="380">
        <f t="shared" ref="BS81:CD81" si="1001">(((BR81*(1+($B$39*$B$4)))-BR81)/12)+BR81</f>
        <v>62.387170763419462</v>
      </c>
      <c r="BT81" s="379">
        <f t="shared" si="1001"/>
        <v>62.761493787999981</v>
      </c>
      <c r="BU81" s="379">
        <f t="shared" si="1001"/>
        <v>63.138062750727983</v>
      </c>
      <c r="BV81" s="379">
        <f t="shared" si="1001"/>
        <v>63.516891127232348</v>
      </c>
      <c r="BW81" s="379">
        <f t="shared" si="1001"/>
        <v>63.897992473995743</v>
      </c>
      <c r="BX81" s="379">
        <f t="shared" si="1001"/>
        <v>64.281380428839725</v>
      </c>
      <c r="BY81" s="379">
        <f t="shared" si="1001"/>
        <v>64.667068711412767</v>
      </c>
      <c r="BZ81" s="379">
        <f t="shared" si="1001"/>
        <v>65.055071123681245</v>
      </c>
      <c r="CA81" s="379">
        <f t="shared" si="1001"/>
        <v>65.445401550423327</v>
      </c>
      <c r="CB81" s="379">
        <f t="shared" si="1001"/>
        <v>65.838073959725861</v>
      </c>
      <c r="CC81" s="379">
        <f t="shared" si="1001"/>
        <v>66.23310240348421</v>
      </c>
      <c r="CD81" s="379">
        <f t="shared" si="1001"/>
        <v>66.630501017905118</v>
      </c>
      <c r="CE81" s="380">
        <f t="shared" ref="CE81:CP81" si="1002">(((CD81*(1+($B$40*$B$4)))-CD81)/12)+CD81</f>
        <v>67.030284024012545</v>
      </c>
      <c r="CF81" s="379">
        <f t="shared" si="1002"/>
        <v>67.432465728156615</v>
      </c>
      <c r="CG81" s="379">
        <f t="shared" si="1002"/>
        <v>67.837060522525547</v>
      </c>
      <c r="CH81" s="379">
        <f t="shared" si="1002"/>
        <v>68.244082885660703</v>
      </c>
      <c r="CI81" s="379">
        <f t="shared" si="1002"/>
        <v>68.653547382974665</v>
      </c>
      <c r="CJ81" s="379">
        <f t="shared" si="1002"/>
        <v>69.065468667272512</v>
      </c>
      <c r="CK81" s="379">
        <f t="shared" si="1002"/>
        <v>69.479861479276153</v>
      </c>
      <c r="CL81" s="379">
        <f t="shared" si="1002"/>
        <v>69.896740648151805</v>
      </c>
      <c r="CM81" s="379">
        <f t="shared" si="1002"/>
        <v>70.316121092040717</v>
      </c>
      <c r="CN81" s="379">
        <f t="shared" si="1002"/>
        <v>70.738017818592965</v>
      </c>
      <c r="CO81" s="379">
        <f t="shared" si="1002"/>
        <v>71.162445925504528</v>
      </c>
      <c r="CP81" s="379">
        <f t="shared" si="1002"/>
        <v>71.589420601057554</v>
      </c>
      <c r="CQ81" s="380">
        <f t="shared" ref="CQ81:DB81" si="1003">(((CP81*(1+($B$41*$B$4)))-CP81)/12)+CP81</f>
        <v>72.018957124663899</v>
      </c>
      <c r="CR81" s="379">
        <f t="shared" si="1003"/>
        <v>72.451070867411886</v>
      </c>
      <c r="CS81" s="379">
        <f t="shared" si="1003"/>
        <v>72.885777292616353</v>
      </c>
      <c r="CT81" s="379">
        <f t="shared" si="1003"/>
        <v>73.323091956372053</v>
      </c>
      <c r="CU81" s="379">
        <f t="shared" si="1003"/>
        <v>73.76303050811029</v>
      </c>
      <c r="CV81" s="379">
        <f t="shared" si="1003"/>
        <v>74.205608691158957</v>
      </c>
      <c r="CW81" s="379">
        <f t="shared" si="1003"/>
        <v>74.650842343305911</v>
      </c>
      <c r="CX81" s="379">
        <f t="shared" si="1003"/>
        <v>75.098747397365742</v>
      </c>
      <c r="CY81" s="379">
        <f t="shared" si="1003"/>
        <v>75.549339881749944</v>
      </c>
      <c r="CZ81" s="379">
        <f t="shared" si="1003"/>
        <v>76.002635921040451</v>
      </c>
      <c r="DA81" s="379">
        <f t="shared" si="1003"/>
        <v>76.458651736566694</v>
      </c>
      <c r="DB81" s="379">
        <f t="shared" si="1003"/>
        <v>76.917403646986088</v>
      </c>
      <c r="DC81" s="380">
        <f t="shared" ref="DC81:DN81" si="1004">(((DB81*(1+($B$42*$B$4)))-DB81)/12)+DB81</f>
        <v>77.378908068868</v>
      </c>
      <c r="DD81" s="379">
        <f t="shared" si="1004"/>
        <v>77.843181517281209</v>
      </c>
      <c r="DE81" s="379">
        <f t="shared" si="1004"/>
        <v>78.310240606384895</v>
      </c>
      <c r="DF81" s="379">
        <f t="shared" si="1004"/>
        <v>78.780102050023203</v>
      </c>
      <c r="DG81" s="379">
        <f t="shared" si="1004"/>
        <v>79.252782662323341</v>
      </c>
      <c r="DH81" s="379">
        <f t="shared" si="1004"/>
        <v>79.728299358297278</v>
      </c>
      <c r="DI81" s="379">
        <f t="shared" si="1004"/>
        <v>80.206669154447056</v>
      </c>
      <c r="DJ81" s="379">
        <f t="shared" si="1004"/>
        <v>80.687909169373739</v>
      </c>
      <c r="DK81" s="379">
        <f t="shared" si="1004"/>
        <v>81.172036624389989</v>
      </c>
      <c r="DL81" s="379">
        <f t="shared" si="1004"/>
        <v>81.659068844136328</v>
      </c>
      <c r="DM81" s="379">
        <f t="shared" si="1004"/>
        <v>82.149023257201151</v>
      </c>
      <c r="DN81" s="379">
        <f t="shared" si="1004"/>
        <v>82.641917396744361</v>
      </c>
      <c r="DO81" s="380">
        <f t="shared" ref="DO81:DZ81" si="1005">(((DN81*(1+($B$43*$B$4)))-DN81)/12)+DN81</f>
        <v>83.137768901124829</v>
      </c>
      <c r="DP81" s="379">
        <f t="shared" si="1005"/>
        <v>83.636595514531578</v>
      </c>
      <c r="DQ81" s="379">
        <f t="shared" si="1005"/>
        <v>84.138415087618768</v>
      </c>
      <c r="DR81" s="379">
        <f t="shared" si="1005"/>
        <v>84.643245578144473</v>
      </c>
      <c r="DS81" s="379">
        <f t="shared" si="1005"/>
        <v>85.151105051613342</v>
      </c>
      <c r="DT81" s="379">
        <f t="shared" si="1005"/>
        <v>85.662011681923019</v>
      </c>
      <c r="DU81" s="379">
        <f t="shared" si="1005"/>
        <v>86.17598375201456</v>
      </c>
      <c r="DV81" s="379">
        <f t="shared" si="1005"/>
        <v>86.693039654526643</v>
      </c>
      <c r="DW81" s="379">
        <f t="shared" si="1005"/>
        <v>87.213197892453806</v>
      </c>
      <c r="DX81" s="379">
        <f t="shared" si="1005"/>
        <v>87.736477079808523</v>
      </c>
      <c r="DY81" s="379">
        <f t="shared" si="1005"/>
        <v>88.262895942287372</v>
      </c>
      <c r="DZ81" s="379">
        <f t="shared" si="1005"/>
        <v>88.792473317941102</v>
      </c>
      <c r="EA81" s="380">
        <f>(((DZ81*(1+($B$44*$B$4)))-DZ81)/12)+DZ81</f>
        <v>89.325228157848755</v>
      </c>
      <c r="EB81" s="379">
        <f>(((EA81*(1+($B$44*$B$4)))-EA81)/12)+EA81</f>
        <v>89.861179526795851</v>
      </c>
      <c r="EC81" s="379">
        <f>(((EB81*(1+($B$44*$B$4)))-EB81)/12)+EB81</f>
        <v>90.400346603956621</v>
      </c>
      <c r="ED81" s="381">
        <f>(((EC81*(1+($B$44*$B$4)))-EC81)/12)+EC81</f>
        <v>90.942748683580362</v>
      </c>
    </row>
    <row r="82" spans="1:134" ht="18.75" outlineLevel="1" x14ac:dyDescent="0.3">
      <c r="A82" s="81">
        <v>28</v>
      </c>
      <c r="B82" s="81" t="s">
        <v>256</v>
      </c>
      <c r="C82" s="736"/>
      <c r="D82" s="716"/>
      <c r="E82" s="716"/>
      <c r="F82" s="716"/>
      <c r="G82" s="716"/>
      <c r="H82" s="716"/>
      <c r="I82" s="716"/>
      <c r="J82" s="716"/>
      <c r="K82" s="716"/>
      <c r="L82" s="187"/>
      <c r="M82" s="179"/>
      <c r="N82" s="570"/>
      <c r="O82" s="571"/>
      <c r="P82" s="571"/>
      <c r="Q82" s="180"/>
      <c r="R82" s="191"/>
      <c r="S82" s="185"/>
      <c r="T82" s="185"/>
      <c r="U82" s="179"/>
      <c r="V82" s="277">
        <v>1</v>
      </c>
      <c r="W82" s="372">
        <f t="shared" ref="W82:BB82" si="1006">ROUNDUP($V82*(W81/100)/0.8,0)</f>
        <v>1</v>
      </c>
      <c r="X82" s="176">
        <f t="shared" si="1006"/>
        <v>1</v>
      </c>
      <c r="Y82" s="176">
        <f t="shared" si="1006"/>
        <v>1</v>
      </c>
      <c r="Z82" s="176">
        <f t="shared" si="1006"/>
        <v>1</v>
      </c>
      <c r="AA82" s="176">
        <f t="shared" si="1006"/>
        <v>1</v>
      </c>
      <c r="AB82" s="176">
        <f t="shared" si="1006"/>
        <v>1</v>
      </c>
      <c r="AC82" s="176">
        <f t="shared" si="1006"/>
        <v>1</v>
      </c>
      <c r="AD82" s="176">
        <f t="shared" si="1006"/>
        <v>1</v>
      </c>
      <c r="AE82" s="176">
        <f t="shared" si="1006"/>
        <v>1</v>
      </c>
      <c r="AF82" s="176">
        <f t="shared" si="1006"/>
        <v>1</v>
      </c>
      <c r="AG82" s="176">
        <f t="shared" si="1006"/>
        <v>1</v>
      </c>
      <c r="AH82" s="176">
        <f t="shared" si="1006"/>
        <v>1</v>
      </c>
      <c r="AI82" s="367">
        <f t="shared" si="1006"/>
        <v>1</v>
      </c>
      <c r="AJ82" s="176">
        <f t="shared" si="1006"/>
        <v>1</v>
      </c>
      <c r="AK82" s="176">
        <f t="shared" si="1006"/>
        <v>1</v>
      </c>
      <c r="AL82" s="176">
        <f t="shared" si="1006"/>
        <v>1</v>
      </c>
      <c r="AM82" s="176">
        <f t="shared" si="1006"/>
        <v>1</v>
      </c>
      <c r="AN82" s="176">
        <f t="shared" si="1006"/>
        <v>1</v>
      </c>
      <c r="AO82" s="176">
        <f t="shared" si="1006"/>
        <v>1</v>
      </c>
      <c r="AP82" s="176">
        <f t="shared" si="1006"/>
        <v>1</v>
      </c>
      <c r="AQ82" s="176">
        <f t="shared" si="1006"/>
        <v>1</v>
      </c>
      <c r="AR82" s="176">
        <f t="shared" si="1006"/>
        <v>1</v>
      </c>
      <c r="AS82" s="176">
        <f t="shared" si="1006"/>
        <v>1</v>
      </c>
      <c r="AT82" s="176">
        <f t="shared" si="1006"/>
        <v>1</v>
      </c>
      <c r="AU82" s="367">
        <f t="shared" si="1006"/>
        <v>1</v>
      </c>
      <c r="AV82" s="176">
        <f t="shared" si="1006"/>
        <v>1</v>
      </c>
      <c r="AW82" s="176">
        <f t="shared" si="1006"/>
        <v>1</v>
      </c>
      <c r="AX82" s="176">
        <f t="shared" si="1006"/>
        <v>1</v>
      </c>
      <c r="AY82" s="176">
        <f t="shared" si="1006"/>
        <v>1</v>
      </c>
      <c r="AZ82" s="176">
        <f t="shared" si="1006"/>
        <v>1</v>
      </c>
      <c r="BA82" s="176">
        <f t="shared" si="1006"/>
        <v>1</v>
      </c>
      <c r="BB82" s="176">
        <f t="shared" si="1006"/>
        <v>1</v>
      </c>
      <c r="BC82" s="176">
        <f t="shared" ref="BC82:CH82" si="1007">ROUNDUP($V82*(BC81/100)/0.8,0)</f>
        <v>1</v>
      </c>
      <c r="BD82" s="176">
        <f t="shared" si="1007"/>
        <v>1</v>
      </c>
      <c r="BE82" s="176">
        <f t="shared" si="1007"/>
        <v>1</v>
      </c>
      <c r="BF82" s="176">
        <f t="shared" si="1007"/>
        <v>1</v>
      </c>
      <c r="BG82" s="367">
        <f t="shared" si="1007"/>
        <v>1</v>
      </c>
      <c r="BH82" s="176">
        <f t="shared" si="1007"/>
        <v>1</v>
      </c>
      <c r="BI82" s="176">
        <f t="shared" si="1007"/>
        <v>1</v>
      </c>
      <c r="BJ82" s="176">
        <f t="shared" si="1007"/>
        <v>1</v>
      </c>
      <c r="BK82" s="176">
        <f t="shared" si="1007"/>
        <v>1</v>
      </c>
      <c r="BL82" s="176">
        <f t="shared" si="1007"/>
        <v>1</v>
      </c>
      <c r="BM82" s="176">
        <f t="shared" si="1007"/>
        <v>1</v>
      </c>
      <c r="BN82" s="176">
        <f t="shared" si="1007"/>
        <v>1</v>
      </c>
      <c r="BO82" s="176">
        <f t="shared" si="1007"/>
        <v>1</v>
      </c>
      <c r="BP82" s="176">
        <f t="shared" si="1007"/>
        <v>1</v>
      </c>
      <c r="BQ82" s="176">
        <f t="shared" si="1007"/>
        <v>1</v>
      </c>
      <c r="BR82" s="176">
        <f t="shared" si="1007"/>
        <v>1</v>
      </c>
      <c r="BS82" s="367">
        <f t="shared" si="1007"/>
        <v>1</v>
      </c>
      <c r="BT82" s="176">
        <f t="shared" si="1007"/>
        <v>1</v>
      </c>
      <c r="BU82" s="176">
        <f t="shared" si="1007"/>
        <v>1</v>
      </c>
      <c r="BV82" s="176">
        <f t="shared" si="1007"/>
        <v>1</v>
      </c>
      <c r="BW82" s="176">
        <f t="shared" si="1007"/>
        <v>1</v>
      </c>
      <c r="BX82" s="176">
        <f t="shared" si="1007"/>
        <v>1</v>
      </c>
      <c r="BY82" s="176">
        <f t="shared" si="1007"/>
        <v>1</v>
      </c>
      <c r="BZ82" s="176">
        <f t="shared" si="1007"/>
        <v>1</v>
      </c>
      <c r="CA82" s="176">
        <f t="shared" si="1007"/>
        <v>1</v>
      </c>
      <c r="CB82" s="176">
        <f t="shared" si="1007"/>
        <v>1</v>
      </c>
      <c r="CC82" s="176">
        <f t="shared" si="1007"/>
        <v>1</v>
      </c>
      <c r="CD82" s="176">
        <f t="shared" si="1007"/>
        <v>1</v>
      </c>
      <c r="CE82" s="367">
        <f t="shared" si="1007"/>
        <v>1</v>
      </c>
      <c r="CF82" s="176">
        <f t="shared" si="1007"/>
        <v>1</v>
      </c>
      <c r="CG82" s="176">
        <f t="shared" si="1007"/>
        <v>1</v>
      </c>
      <c r="CH82" s="176">
        <f t="shared" si="1007"/>
        <v>1</v>
      </c>
      <c r="CI82" s="176">
        <f t="shared" ref="CI82:DN82" si="1008">ROUNDUP($V82*(CI81/100)/0.8,0)</f>
        <v>1</v>
      </c>
      <c r="CJ82" s="176">
        <f t="shared" si="1008"/>
        <v>1</v>
      </c>
      <c r="CK82" s="176">
        <f t="shared" si="1008"/>
        <v>1</v>
      </c>
      <c r="CL82" s="176">
        <f t="shared" si="1008"/>
        <v>1</v>
      </c>
      <c r="CM82" s="176">
        <f t="shared" si="1008"/>
        <v>1</v>
      </c>
      <c r="CN82" s="176">
        <f t="shared" si="1008"/>
        <v>1</v>
      </c>
      <c r="CO82" s="176">
        <f t="shared" si="1008"/>
        <v>1</v>
      </c>
      <c r="CP82" s="176">
        <f t="shared" si="1008"/>
        <v>1</v>
      </c>
      <c r="CQ82" s="367">
        <f t="shared" si="1008"/>
        <v>1</v>
      </c>
      <c r="CR82" s="176">
        <f t="shared" si="1008"/>
        <v>1</v>
      </c>
      <c r="CS82" s="176">
        <f t="shared" si="1008"/>
        <v>1</v>
      </c>
      <c r="CT82" s="176">
        <f t="shared" si="1008"/>
        <v>1</v>
      </c>
      <c r="CU82" s="176">
        <f t="shared" si="1008"/>
        <v>1</v>
      </c>
      <c r="CV82" s="176">
        <f t="shared" si="1008"/>
        <v>1</v>
      </c>
      <c r="CW82" s="176">
        <f t="shared" si="1008"/>
        <v>1</v>
      </c>
      <c r="CX82" s="176">
        <f t="shared" si="1008"/>
        <v>1</v>
      </c>
      <c r="CY82" s="176">
        <f t="shared" si="1008"/>
        <v>1</v>
      </c>
      <c r="CZ82" s="176">
        <f t="shared" si="1008"/>
        <v>1</v>
      </c>
      <c r="DA82" s="176">
        <f t="shared" si="1008"/>
        <v>1</v>
      </c>
      <c r="DB82" s="176">
        <f t="shared" si="1008"/>
        <v>1</v>
      </c>
      <c r="DC82" s="367">
        <f t="shared" si="1008"/>
        <v>1</v>
      </c>
      <c r="DD82" s="176">
        <f t="shared" si="1008"/>
        <v>1</v>
      </c>
      <c r="DE82" s="176">
        <f t="shared" si="1008"/>
        <v>1</v>
      </c>
      <c r="DF82" s="176">
        <f t="shared" si="1008"/>
        <v>1</v>
      </c>
      <c r="DG82" s="176">
        <f t="shared" si="1008"/>
        <v>1</v>
      </c>
      <c r="DH82" s="176">
        <f t="shared" si="1008"/>
        <v>1</v>
      </c>
      <c r="DI82" s="176">
        <f t="shared" si="1008"/>
        <v>2</v>
      </c>
      <c r="DJ82" s="176">
        <f t="shared" si="1008"/>
        <v>2</v>
      </c>
      <c r="DK82" s="176">
        <f t="shared" si="1008"/>
        <v>2</v>
      </c>
      <c r="DL82" s="176">
        <f t="shared" si="1008"/>
        <v>2</v>
      </c>
      <c r="DM82" s="176">
        <f t="shared" si="1008"/>
        <v>2</v>
      </c>
      <c r="DN82" s="176">
        <f t="shared" si="1008"/>
        <v>2</v>
      </c>
      <c r="DO82" s="367">
        <f t="shared" ref="DO82:ED82" si="1009">ROUNDUP($V82*(DO81/100)/0.8,0)</f>
        <v>2</v>
      </c>
      <c r="DP82" s="176">
        <f t="shared" si="1009"/>
        <v>2</v>
      </c>
      <c r="DQ82" s="176">
        <f t="shared" si="1009"/>
        <v>2</v>
      </c>
      <c r="DR82" s="176">
        <f t="shared" si="1009"/>
        <v>2</v>
      </c>
      <c r="DS82" s="176">
        <f t="shared" si="1009"/>
        <v>2</v>
      </c>
      <c r="DT82" s="176">
        <f t="shared" si="1009"/>
        <v>2</v>
      </c>
      <c r="DU82" s="176">
        <f t="shared" si="1009"/>
        <v>2</v>
      </c>
      <c r="DV82" s="176">
        <f t="shared" si="1009"/>
        <v>2</v>
      </c>
      <c r="DW82" s="176">
        <f t="shared" si="1009"/>
        <v>2</v>
      </c>
      <c r="DX82" s="176">
        <f t="shared" si="1009"/>
        <v>2</v>
      </c>
      <c r="DY82" s="176">
        <f t="shared" si="1009"/>
        <v>2</v>
      </c>
      <c r="DZ82" s="176">
        <f t="shared" si="1009"/>
        <v>2</v>
      </c>
      <c r="EA82" s="367">
        <f t="shared" si="1009"/>
        <v>2</v>
      </c>
      <c r="EB82" s="176">
        <f t="shared" si="1009"/>
        <v>2</v>
      </c>
      <c r="EC82" s="176">
        <f t="shared" si="1009"/>
        <v>2</v>
      </c>
      <c r="ED82" s="373">
        <f t="shared" si="1009"/>
        <v>2</v>
      </c>
    </row>
    <row r="83" spans="1:134" ht="18.75" outlineLevel="1" x14ac:dyDescent="0.3">
      <c r="A83" s="81">
        <v>100</v>
      </c>
      <c r="B83" s="81" t="s">
        <v>257</v>
      </c>
      <c r="C83" s="736"/>
      <c r="D83" s="717" t="s">
        <v>258</v>
      </c>
      <c r="E83" s="717"/>
      <c r="F83" s="717"/>
      <c r="G83" s="717"/>
      <c r="H83" s="717"/>
      <c r="I83" s="717"/>
      <c r="J83" s="717"/>
      <c r="K83" s="717"/>
      <c r="L83" s="188"/>
      <c r="M83" s="494">
        <f>N83*100</f>
        <v>0</v>
      </c>
      <c r="N83" s="572"/>
      <c r="O83" s="573"/>
      <c r="P83" s="573"/>
      <c r="Q83" s="177"/>
      <c r="R83" s="192">
        <f t="shared" si="981"/>
        <v>0</v>
      </c>
      <c r="S83" s="178">
        <f t="shared" si="968"/>
        <v>0</v>
      </c>
      <c r="T83" s="178"/>
      <c r="U83" s="176"/>
      <c r="V83" s="298"/>
      <c r="W83" s="368">
        <f t="shared" si="982"/>
        <v>0</v>
      </c>
      <c r="X83" s="369">
        <f t="shared" si="983"/>
        <v>0</v>
      </c>
      <c r="Y83" s="369">
        <f t="shared" si="983"/>
        <v>0</v>
      </c>
      <c r="Z83" s="369">
        <f t="shared" si="984"/>
        <v>0</v>
      </c>
      <c r="AA83" s="369">
        <f>Z83</f>
        <v>0</v>
      </c>
      <c r="AB83" s="369">
        <f>AA83</f>
        <v>0</v>
      </c>
      <c r="AC83" s="369">
        <f t="shared" si="985"/>
        <v>0</v>
      </c>
      <c r="AD83" s="369">
        <f>AC83</f>
        <v>0</v>
      </c>
      <c r="AE83" s="369">
        <f>AD83</f>
        <v>0</v>
      </c>
      <c r="AF83" s="369">
        <f>AE83</f>
        <v>0</v>
      </c>
      <c r="AG83" s="369">
        <f>AF83</f>
        <v>0</v>
      </c>
      <c r="AH83" s="369">
        <f>AG83</f>
        <v>0</v>
      </c>
      <c r="AI83" s="370">
        <f t="shared" ref="AI83:AT83" si="1010">(((AH83*(1+($B$36*$B$4)))-AH83)/12)+AH83</f>
        <v>0</v>
      </c>
      <c r="AJ83" s="369">
        <f t="shared" si="1010"/>
        <v>0</v>
      </c>
      <c r="AK83" s="369">
        <f t="shared" si="1010"/>
        <v>0</v>
      </c>
      <c r="AL83" s="369">
        <f t="shared" si="1010"/>
        <v>0</v>
      </c>
      <c r="AM83" s="369">
        <f t="shared" si="1010"/>
        <v>0</v>
      </c>
      <c r="AN83" s="369">
        <f t="shared" si="1010"/>
        <v>0</v>
      </c>
      <c r="AO83" s="369">
        <f t="shared" si="1010"/>
        <v>0</v>
      </c>
      <c r="AP83" s="369">
        <f t="shared" si="1010"/>
        <v>0</v>
      </c>
      <c r="AQ83" s="369">
        <f t="shared" si="1010"/>
        <v>0</v>
      </c>
      <c r="AR83" s="369">
        <f t="shared" si="1010"/>
        <v>0</v>
      </c>
      <c r="AS83" s="369">
        <f t="shared" si="1010"/>
        <v>0</v>
      </c>
      <c r="AT83" s="369">
        <f t="shared" si="1010"/>
        <v>0</v>
      </c>
      <c r="AU83" s="370">
        <f t="shared" ref="AU83:BF83" si="1011">(((AT83*(1+($B$37*$B$4)))-AT83)/12)+AT83</f>
        <v>0</v>
      </c>
      <c r="AV83" s="369">
        <f t="shared" si="1011"/>
        <v>0</v>
      </c>
      <c r="AW83" s="369">
        <f t="shared" si="1011"/>
        <v>0</v>
      </c>
      <c r="AX83" s="369">
        <f t="shared" si="1011"/>
        <v>0</v>
      </c>
      <c r="AY83" s="369">
        <f t="shared" si="1011"/>
        <v>0</v>
      </c>
      <c r="AZ83" s="369">
        <f t="shared" si="1011"/>
        <v>0</v>
      </c>
      <c r="BA83" s="369">
        <f t="shared" si="1011"/>
        <v>0</v>
      </c>
      <c r="BB83" s="369">
        <f t="shared" si="1011"/>
        <v>0</v>
      </c>
      <c r="BC83" s="369">
        <f t="shared" si="1011"/>
        <v>0</v>
      </c>
      <c r="BD83" s="369">
        <f t="shared" si="1011"/>
        <v>0</v>
      </c>
      <c r="BE83" s="369">
        <f t="shared" si="1011"/>
        <v>0</v>
      </c>
      <c r="BF83" s="369">
        <f t="shared" si="1011"/>
        <v>0</v>
      </c>
      <c r="BG83" s="370">
        <f t="shared" ref="BG83:BR83" si="1012">(((BF83*(1+($B$38*$B$4)))-BF83)/12)+BF83</f>
        <v>0</v>
      </c>
      <c r="BH83" s="369">
        <f t="shared" si="1012"/>
        <v>0</v>
      </c>
      <c r="BI83" s="369">
        <f t="shared" si="1012"/>
        <v>0</v>
      </c>
      <c r="BJ83" s="369">
        <f t="shared" si="1012"/>
        <v>0</v>
      </c>
      <c r="BK83" s="369">
        <f t="shared" si="1012"/>
        <v>0</v>
      </c>
      <c r="BL83" s="369">
        <f t="shared" si="1012"/>
        <v>0</v>
      </c>
      <c r="BM83" s="369">
        <f t="shared" si="1012"/>
        <v>0</v>
      </c>
      <c r="BN83" s="369">
        <f t="shared" si="1012"/>
        <v>0</v>
      </c>
      <c r="BO83" s="369">
        <f t="shared" si="1012"/>
        <v>0</v>
      </c>
      <c r="BP83" s="369">
        <f t="shared" si="1012"/>
        <v>0</v>
      </c>
      <c r="BQ83" s="369">
        <f t="shared" si="1012"/>
        <v>0</v>
      </c>
      <c r="BR83" s="369">
        <f t="shared" si="1012"/>
        <v>0</v>
      </c>
      <c r="BS83" s="370">
        <f t="shared" ref="BS83:CD83" si="1013">(((BR83*(1+($B$39*$B$4)))-BR83)/12)+BR83</f>
        <v>0</v>
      </c>
      <c r="BT83" s="369">
        <f t="shared" si="1013"/>
        <v>0</v>
      </c>
      <c r="BU83" s="369">
        <f t="shared" si="1013"/>
        <v>0</v>
      </c>
      <c r="BV83" s="369">
        <f t="shared" si="1013"/>
        <v>0</v>
      </c>
      <c r="BW83" s="369">
        <f t="shared" si="1013"/>
        <v>0</v>
      </c>
      <c r="BX83" s="369">
        <f t="shared" si="1013"/>
        <v>0</v>
      </c>
      <c r="BY83" s="369">
        <f t="shared" si="1013"/>
        <v>0</v>
      </c>
      <c r="BZ83" s="369">
        <f t="shared" si="1013"/>
        <v>0</v>
      </c>
      <c r="CA83" s="369">
        <f t="shared" si="1013"/>
        <v>0</v>
      </c>
      <c r="CB83" s="369">
        <f t="shared" si="1013"/>
        <v>0</v>
      </c>
      <c r="CC83" s="369">
        <f t="shared" si="1013"/>
        <v>0</v>
      </c>
      <c r="CD83" s="369">
        <f t="shared" si="1013"/>
        <v>0</v>
      </c>
      <c r="CE83" s="370">
        <f t="shared" ref="CE83:CP83" si="1014">(((CD83*(1+($B$40*$B$4)))-CD83)/12)+CD83</f>
        <v>0</v>
      </c>
      <c r="CF83" s="369">
        <f t="shared" si="1014"/>
        <v>0</v>
      </c>
      <c r="CG83" s="369">
        <f t="shared" si="1014"/>
        <v>0</v>
      </c>
      <c r="CH83" s="369">
        <f t="shared" si="1014"/>
        <v>0</v>
      </c>
      <c r="CI83" s="369">
        <f t="shared" si="1014"/>
        <v>0</v>
      </c>
      <c r="CJ83" s="369">
        <f t="shared" si="1014"/>
        <v>0</v>
      </c>
      <c r="CK83" s="369">
        <f t="shared" si="1014"/>
        <v>0</v>
      </c>
      <c r="CL83" s="369">
        <f t="shared" si="1014"/>
        <v>0</v>
      </c>
      <c r="CM83" s="369">
        <f t="shared" si="1014"/>
        <v>0</v>
      </c>
      <c r="CN83" s="369">
        <f t="shared" si="1014"/>
        <v>0</v>
      </c>
      <c r="CO83" s="369">
        <f t="shared" si="1014"/>
        <v>0</v>
      </c>
      <c r="CP83" s="369">
        <f t="shared" si="1014"/>
        <v>0</v>
      </c>
      <c r="CQ83" s="370">
        <f t="shared" ref="CQ83:DB83" si="1015">(((CP83*(1+($B$41*$B$4)))-CP83)/12)+CP83</f>
        <v>0</v>
      </c>
      <c r="CR83" s="369">
        <f t="shared" si="1015"/>
        <v>0</v>
      </c>
      <c r="CS83" s="369">
        <f t="shared" si="1015"/>
        <v>0</v>
      </c>
      <c r="CT83" s="369">
        <f t="shared" si="1015"/>
        <v>0</v>
      </c>
      <c r="CU83" s="369">
        <f t="shared" si="1015"/>
        <v>0</v>
      </c>
      <c r="CV83" s="369">
        <f t="shared" si="1015"/>
        <v>0</v>
      </c>
      <c r="CW83" s="369">
        <f t="shared" si="1015"/>
        <v>0</v>
      </c>
      <c r="CX83" s="369">
        <f t="shared" si="1015"/>
        <v>0</v>
      </c>
      <c r="CY83" s="369">
        <f t="shared" si="1015"/>
        <v>0</v>
      </c>
      <c r="CZ83" s="369">
        <f t="shared" si="1015"/>
        <v>0</v>
      </c>
      <c r="DA83" s="369">
        <f t="shared" si="1015"/>
        <v>0</v>
      </c>
      <c r="DB83" s="369">
        <f t="shared" si="1015"/>
        <v>0</v>
      </c>
      <c r="DC83" s="370">
        <f t="shared" ref="DC83:DN83" si="1016">(((DB83*(1+($B$42*$B$4)))-DB83)/12)+DB83</f>
        <v>0</v>
      </c>
      <c r="DD83" s="369">
        <f t="shared" si="1016"/>
        <v>0</v>
      </c>
      <c r="DE83" s="369">
        <f t="shared" si="1016"/>
        <v>0</v>
      </c>
      <c r="DF83" s="369">
        <f t="shared" si="1016"/>
        <v>0</v>
      </c>
      <c r="DG83" s="369">
        <f t="shared" si="1016"/>
        <v>0</v>
      </c>
      <c r="DH83" s="369">
        <f t="shared" si="1016"/>
        <v>0</v>
      </c>
      <c r="DI83" s="369">
        <f t="shared" si="1016"/>
        <v>0</v>
      </c>
      <c r="DJ83" s="369">
        <f t="shared" si="1016"/>
        <v>0</v>
      </c>
      <c r="DK83" s="369">
        <f t="shared" si="1016"/>
        <v>0</v>
      </c>
      <c r="DL83" s="369">
        <f t="shared" si="1016"/>
        <v>0</v>
      </c>
      <c r="DM83" s="369">
        <f t="shared" si="1016"/>
        <v>0</v>
      </c>
      <c r="DN83" s="369">
        <f t="shared" si="1016"/>
        <v>0</v>
      </c>
      <c r="DO83" s="370">
        <f t="shared" ref="DO83:DZ83" si="1017">(((DN83*(1+($B$43*$B$4)))-DN83)/12)+DN83</f>
        <v>0</v>
      </c>
      <c r="DP83" s="369">
        <f t="shared" si="1017"/>
        <v>0</v>
      </c>
      <c r="DQ83" s="369">
        <f t="shared" si="1017"/>
        <v>0</v>
      </c>
      <c r="DR83" s="369">
        <f t="shared" si="1017"/>
        <v>0</v>
      </c>
      <c r="DS83" s="369">
        <f t="shared" si="1017"/>
        <v>0</v>
      </c>
      <c r="DT83" s="369">
        <f t="shared" si="1017"/>
        <v>0</v>
      </c>
      <c r="DU83" s="369">
        <f t="shared" si="1017"/>
        <v>0</v>
      </c>
      <c r="DV83" s="369">
        <f t="shared" si="1017"/>
        <v>0</v>
      </c>
      <c r="DW83" s="369">
        <f t="shared" si="1017"/>
        <v>0</v>
      </c>
      <c r="DX83" s="369">
        <f t="shared" si="1017"/>
        <v>0</v>
      </c>
      <c r="DY83" s="369">
        <f t="shared" si="1017"/>
        <v>0</v>
      </c>
      <c r="DZ83" s="369">
        <f t="shared" si="1017"/>
        <v>0</v>
      </c>
      <c r="EA83" s="370">
        <f>(((DZ83*(1+($B$44*$B$4)))-DZ83)/12)+DZ83</f>
        <v>0</v>
      </c>
      <c r="EB83" s="369">
        <f>(((EA83*(1+($B$44*$B$4)))-EA83)/12)+EA83</f>
        <v>0</v>
      </c>
      <c r="EC83" s="369">
        <f>(((EB83*(1+($B$44*$B$4)))-EB83)/12)+EB83</f>
        <v>0</v>
      </c>
      <c r="ED83" s="371">
        <f>(((EC83*(1+($B$44*$B$4)))-EC83)/12)+EC83</f>
        <v>0</v>
      </c>
    </row>
    <row r="84" spans="1:134" ht="18.75" outlineLevel="1" x14ac:dyDescent="0.3">
      <c r="A84" s="81">
        <v>200</v>
      </c>
      <c r="B84" s="81" t="s">
        <v>259</v>
      </c>
      <c r="C84" s="736"/>
      <c r="D84" s="717"/>
      <c r="E84" s="717"/>
      <c r="F84" s="717"/>
      <c r="G84" s="717"/>
      <c r="H84" s="717"/>
      <c r="I84" s="717"/>
      <c r="J84" s="717"/>
      <c r="K84" s="717"/>
      <c r="L84" s="188"/>
      <c r="M84" s="176"/>
      <c r="N84" s="572"/>
      <c r="O84" s="573"/>
      <c r="P84" s="573"/>
      <c r="Q84" s="177"/>
      <c r="R84" s="192"/>
      <c r="S84" s="178"/>
      <c r="T84" s="178"/>
      <c r="U84" s="176"/>
      <c r="V84" s="70">
        <v>1</v>
      </c>
      <c r="W84" s="374">
        <f t="shared" ref="W84:BB84" si="1018">ROUNDUP($V84*(W83/100)/0.8,0)</f>
        <v>0</v>
      </c>
      <c r="X84" s="375">
        <f t="shared" si="1018"/>
        <v>0</v>
      </c>
      <c r="Y84" s="375">
        <f t="shared" si="1018"/>
        <v>0</v>
      </c>
      <c r="Z84" s="375">
        <f t="shared" si="1018"/>
        <v>0</v>
      </c>
      <c r="AA84" s="375">
        <f t="shared" si="1018"/>
        <v>0</v>
      </c>
      <c r="AB84" s="375">
        <f t="shared" si="1018"/>
        <v>0</v>
      </c>
      <c r="AC84" s="375">
        <f t="shared" si="1018"/>
        <v>0</v>
      </c>
      <c r="AD84" s="375">
        <f t="shared" si="1018"/>
        <v>0</v>
      </c>
      <c r="AE84" s="375">
        <f t="shared" si="1018"/>
        <v>0</v>
      </c>
      <c r="AF84" s="375">
        <f t="shared" si="1018"/>
        <v>0</v>
      </c>
      <c r="AG84" s="375">
        <f t="shared" si="1018"/>
        <v>0</v>
      </c>
      <c r="AH84" s="375">
        <f t="shared" si="1018"/>
        <v>0</v>
      </c>
      <c r="AI84" s="376">
        <f t="shared" si="1018"/>
        <v>0</v>
      </c>
      <c r="AJ84" s="375">
        <f t="shared" si="1018"/>
        <v>0</v>
      </c>
      <c r="AK84" s="375">
        <f t="shared" si="1018"/>
        <v>0</v>
      </c>
      <c r="AL84" s="375">
        <f t="shared" si="1018"/>
        <v>0</v>
      </c>
      <c r="AM84" s="375">
        <f t="shared" si="1018"/>
        <v>0</v>
      </c>
      <c r="AN84" s="375">
        <f t="shared" si="1018"/>
        <v>0</v>
      </c>
      <c r="AO84" s="375">
        <f t="shared" si="1018"/>
        <v>0</v>
      </c>
      <c r="AP84" s="375">
        <f t="shared" si="1018"/>
        <v>0</v>
      </c>
      <c r="AQ84" s="375">
        <f t="shared" si="1018"/>
        <v>0</v>
      </c>
      <c r="AR84" s="375">
        <f t="shared" si="1018"/>
        <v>0</v>
      </c>
      <c r="AS84" s="375">
        <f t="shared" si="1018"/>
        <v>0</v>
      </c>
      <c r="AT84" s="375">
        <f t="shared" si="1018"/>
        <v>0</v>
      </c>
      <c r="AU84" s="376">
        <f t="shared" si="1018"/>
        <v>0</v>
      </c>
      <c r="AV84" s="375">
        <f t="shared" si="1018"/>
        <v>0</v>
      </c>
      <c r="AW84" s="375">
        <f t="shared" si="1018"/>
        <v>0</v>
      </c>
      <c r="AX84" s="375">
        <f t="shared" si="1018"/>
        <v>0</v>
      </c>
      <c r="AY84" s="375">
        <f t="shared" si="1018"/>
        <v>0</v>
      </c>
      <c r="AZ84" s="375">
        <f t="shared" si="1018"/>
        <v>0</v>
      </c>
      <c r="BA84" s="375">
        <f t="shared" si="1018"/>
        <v>0</v>
      </c>
      <c r="BB84" s="375">
        <f t="shared" si="1018"/>
        <v>0</v>
      </c>
      <c r="BC84" s="375">
        <f t="shared" ref="BC84:CH84" si="1019">ROUNDUP($V84*(BC83/100)/0.8,0)</f>
        <v>0</v>
      </c>
      <c r="BD84" s="375">
        <f t="shared" si="1019"/>
        <v>0</v>
      </c>
      <c r="BE84" s="375">
        <f t="shared" si="1019"/>
        <v>0</v>
      </c>
      <c r="BF84" s="375">
        <f t="shared" si="1019"/>
        <v>0</v>
      </c>
      <c r="BG84" s="376">
        <f t="shared" si="1019"/>
        <v>0</v>
      </c>
      <c r="BH84" s="375">
        <f t="shared" si="1019"/>
        <v>0</v>
      </c>
      <c r="BI84" s="375">
        <f t="shared" si="1019"/>
        <v>0</v>
      </c>
      <c r="BJ84" s="375">
        <f t="shared" si="1019"/>
        <v>0</v>
      </c>
      <c r="BK84" s="375">
        <f t="shared" si="1019"/>
        <v>0</v>
      </c>
      <c r="BL84" s="375">
        <f t="shared" si="1019"/>
        <v>0</v>
      </c>
      <c r="BM84" s="375">
        <f t="shared" si="1019"/>
        <v>0</v>
      </c>
      <c r="BN84" s="375">
        <f t="shared" si="1019"/>
        <v>0</v>
      </c>
      <c r="BO84" s="375">
        <f t="shared" si="1019"/>
        <v>0</v>
      </c>
      <c r="BP84" s="375">
        <f t="shared" si="1019"/>
        <v>0</v>
      </c>
      <c r="BQ84" s="375">
        <f t="shared" si="1019"/>
        <v>0</v>
      </c>
      <c r="BR84" s="375">
        <f t="shared" si="1019"/>
        <v>0</v>
      </c>
      <c r="BS84" s="376">
        <f t="shared" si="1019"/>
        <v>0</v>
      </c>
      <c r="BT84" s="375">
        <f t="shared" si="1019"/>
        <v>0</v>
      </c>
      <c r="BU84" s="375">
        <f t="shared" si="1019"/>
        <v>0</v>
      </c>
      <c r="BV84" s="375">
        <f t="shared" si="1019"/>
        <v>0</v>
      </c>
      <c r="BW84" s="375">
        <f t="shared" si="1019"/>
        <v>0</v>
      </c>
      <c r="BX84" s="375">
        <f t="shared" si="1019"/>
        <v>0</v>
      </c>
      <c r="BY84" s="375">
        <f t="shared" si="1019"/>
        <v>0</v>
      </c>
      <c r="BZ84" s="375">
        <f t="shared" si="1019"/>
        <v>0</v>
      </c>
      <c r="CA84" s="375">
        <f t="shared" si="1019"/>
        <v>0</v>
      </c>
      <c r="CB84" s="375">
        <f t="shared" si="1019"/>
        <v>0</v>
      </c>
      <c r="CC84" s="375">
        <f t="shared" si="1019"/>
        <v>0</v>
      </c>
      <c r="CD84" s="375">
        <f t="shared" si="1019"/>
        <v>0</v>
      </c>
      <c r="CE84" s="376">
        <f t="shared" si="1019"/>
        <v>0</v>
      </c>
      <c r="CF84" s="375">
        <f t="shared" si="1019"/>
        <v>0</v>
      </c>
      <c r="CG84" s="375">
        <f t="shared" si="1019"/>
        <v>0</v>
      </c>
      <c r="CH84" s="375">
        <f t="shared" si="1019"/>
        <v>0</v>
      </c>
      <c r="CI84" s="375">
        <f t="shared" ref="CI84:DN84" si="1020">ROUNDUP($V84*(CI83/100)/0.8,0)</f>
        <v>0</v>
      </c>
      <c r="CJ84" s="375">
        <f t="shared" si="1020"/>
        <v>0</v>
      </c>
      <c r="CK84" s="375">
        <f t="shared" si="1020"/>
        <v>0</v>
      </c>
      <c r="CL84" s="375">
        <f t="shared" si="1020"/>
        <v>0</v>
      </c>
      <c r="CM84" s="375">
        <f t="shared" si="1020"/>
        <v>0</v>
      </c>
      <c r="CN84" s="375">
        <f t="shared" si="1020"/>
        <v>0</v>
      </c>
      <c r="CO84" s="375">
        <f t="shared" si="1020"/>
        <v>0</v>
      </c>
      <c r="CP84" s="375">
        <f t="shared" si="1020"/>
        <v>0</v>
      </c>
      <c r="CQ84" s="376">
        <f t="shared" si="1020"/>
        <v>0</v>
      </c>
      <c r="CR84" s="375">
        <f t="shared" si="1020"/>
        <v>0</v>
      </c>
      <c r="CS84" s="375">
        <f t="shared" si="1020"/>
        <v>0</v>
      </c>
      <c r="CT84" s="375">
        <f t="shared" si="1020"/>
        <v>0</v>
      </c>
      <c r="CU84" s="375">
        <f t="shared" si="1020"/>
        <v>0</v>
      </c>
      <c r="CV84" s="375">
        <f t="shared" si="1020"/>
        <v>0</v>
      </c>
      <c r="CW84" s="375">
        <f t="shared" si="1020"/>
        <v>0</v>
      </c>
      <c r="CX84" s="375">
        <f t="shared" si="1020"/>
        <v>0</v>
      </c>
      <c r="CY84" s="375">
        <f t="shared" si="1020"/>
        <v>0</v>
      </c>
      <c r="CZ84" s="375">
        <f t="shared" si="1020"/>
        <v>0</v>
      </c>
      <c r="DA84" s="375">
        <f t="shared" si="1020"/>
        <v>0</v>
      </c>
      <c r="DB84" s="375">
        <f t="shared" si="1020"/>
        <v>0</v>
      </c>
      <c r="DC84" s="376">
        <f t="shared" si="1020"/>
        <v>0</v>
      </c>
      <c r="DD84" s="375">
        <f t="shared" si="1020"/>
        <v>0</v>
      </c>
      <c r="DE84" s="375">
        <f t="shared" si="1020"/>
        <v>0</v>
      </c>
      <c r="DF84" s="375">
        <f t="shared" si="1020"/>
        <v>0</v>
      </c>
      <c r="DG84" s="375">
        <f t="shared" si="1020"/>
        <v>0</v>
      </c>
      <c r="DH84" s="375">
        <f t="shared" si="1020"/>
        <v>0</v>
      </c>
      <c r="DI84" s="375">
        <f t="shared" si="1020"/>
        <v>0</v>
      </c>
      <c r="DJ84" s="375">
        <f t="shared" si="1020"/>
        <v>0</v>
      </c>
      <c r="DK84" s="375">
        <f t="shared" si="1020"/>
        <v>0</v>
      </c>
      <c r="DL84" s="375">
        <f t="shared" si="1020"/>
        <v>0</v>
      </c>
      <c r="DM84" s="375">
        <f t="shared" si="1020"/>
        <v>0</v>
      </c>
      <c r="DN84" s="375">
        <f t="shared" si="1020"/>
        <v>0</v>
      </c>
      <c r="DO84" s="376">
        <f t="shared" ref="DO84:ED84" si="1021">ROUNDUP($V84*(DO83/100)/0.8,0)</f>
        <v>0</v>
      </c>
      <c r="DP84" s="375">
        <f t="shared" si="1021"/>
        <v>0</v>
      </c>
      <c r="DQ84" s="375">
        <f t="shared" si="1021"/>
        <v>0</v>
      </c>
      <c r="DR84" s="375">
        <f t="shared" si="1021"/>
        <v>0</v>
      </c>
      <c r="DS84" s="375">
        <f t="shared" si="1021"/>
        <v>0</v>
      </c>
      <c r="DT84" s="375">
        <f t="shared" si="1021"/>
        <v>0</v>
      </c>
      <c r="DU84" s="375">
        <f t="shared" si="1021"/>
        <v>0</v>
      </c>
      <c r="DV84" s="375">
        <f t="shared" si="1021"/>
        <v>0</v>
      </c>
      <c r="DW84" s="375">
        <f t="shared" si="1021"/>
        <v>0</v>
      </c>
      <c r="DX84" s="375">
        <f t="shared" si="1021"/>
        <v>0</v>
      </c>
      <c r="DY84" s="375">
        <f t="shared" si="1021"/>
        <v>0</v>
      </c>
      <c r="DZ84" s="375">
        <f t="shared" si="1021"/>
        <v>0</v>
      </c>
      <c r="EA84" s="376">
        <f t="shared" si="1021"/>
        <v>0</v>
      </c>
      <c r="EB84" s="375">
        <f t="shared" si="1021"/>
        <v>0</v>
      </c>
      <c r="EC84" s="375">
        <f t="shared" si="1021"/>
        <v>0</v>
      </c>
      <c r="ED84" s="377">
        <f t="shared" si="1021"/>
        <v>0</v>
      </c>
    </row>
    <row r="85" spans="1:134" ht="18.75" outlineLevel="1" x14ac:dyDescent="0.3">
      <c r="A85" s="384">
        <f>V25/SUM(V9,V14)</f>
        <v>234.05555555555554</v>
      </c>
      <c r="B85" s="81" t="s">
        <v>260</v>
      </c>
      <c r="C85" s="736"/>
      <c r="D85" s="715" t="s">
        <v>261</v>
      </c>
      <c r="E85" s="715"/>
      <c r="F85" s="715"/>
      <c r="G85" s="715"/>
      <c r="H85" s="715"/>
      <c r="I85" s="715"/>
      <c r="J85" s="715"/>
      <c r="K85" s="715"/>
      <c r="L85" s="186"/>
      <c r="M85" s="494">
        <f>N85*100</f>
        <v>35</v>
      </c>
      <c r="N85" s="568">
        <f>'XFMR Data'!D4/100</f>
        <v>0.35</v>
      </c>
      <c r="O85" s="569">
        <f>'XFMR Data'!I4/100</f>
        <v>0.37</v>
      </c>
      <c r="P85" s="569">
        <f>'XFMR Data'!N4/100</f>
        <v>0.35</v>
      </c>
      <c r="Q85" s="183"/>
      <c r="R85" s="190">
        <f t="shared" si="981"/>
        <v>0</v>
      </c>
      <c r="S85" s="184">
        <f t="shared" si="968"/>
        <v>0</v>
      </c>
      <c r="T85" s="184"/>
      <c r="U85" s="181"/>
      <c r="V85" s="297"/>
      <c r="W85" s="378">
        <f t="shared" si="982"/>
        <v>35</v>
      </c>
      <c r="X85" s="379">
        <f t="shared" si="983"/>
        <v>35</v>
      </c>
      <c r="Y85" s="379">
        <f t="shared" si="983"/>
        <v>35</v>
      </c>
      <c r="Z85" s="379">
        <f t="shared" si="984"/>
        <v>37</v>
      </c>
      <c r="AA85" s="379">
        <f>Z85</f>
        <v>37</v>
      </c>
      <c r="AB85" s="379">
        <f>AA85</f>
        <v>37</v>
      </c>
      <c r="AC85" s="379">
        <f t="shared" si="985"/>
        <v>35</v>
      </c>
      <c r="AD85" s="379">
        <f>AC85</f>
        <v>35</v>
      </c>
      <c r="AE85" s="379">
        <f>AD85</f>
        <v>35</v>
      </c>
      <c r="AF85" s="379">
        <f>AE85</f>
        <v>35</v>
      </c>
      <c r="AG85" s="379">
        <f>AF85</f>
        <v>35</v>
      </c>
      <c r="AH85" s="379">
        <f>AG85</f>
        <v>35</v>
      </c>
      <c r="AI85" s="380">
        <f t="shared" ref="AI85:AT85" si="1022">(((AH85*(1+($B$36*$B$4)))-AH85)/12)+AH85</f>
        <v>35.21</v>
      </c>
      <c r="AJ85" s="379">
        <f t="shared" si="1022"/>
        <v>35.421260000000004</v>
      </c>
      <c r="AK85" s="379">
        <f t="shared" si="1022"/>
        <v>35.633787560000002</v>
      </c>
      <c r="AL85" s="379">
        <f t="shared" si="1022"/>
        <v>35.847590285359999</v>
      </c>
      <c r="AM85" s="379">
        <f t="shared" si="1022"/>
        <v>36.062675827072162</v>
      </c>
      <c r="AN85" s="379">
        <f t="shared" si="1022"/>
        <v>36.279051882034594</v>
      </c>
      <c r="AO85" s="379">
        <f t="shared" si="1022"/>
        <v>36.496726193326801</v>
      </c>
      <c r="AP85" s="379">
        <f t="shared" si="1022"/>
        <v>36.715706550486765</v>
      </c>
      <c r="AQ85" s="379">
        <f t="shared" si="1022"/>
        <v>36.936000789789688</v>
      </c>
      <c r="AR85" s="379">
        <f t="shared" si="1022"/>
        <v>37.157616794528423</v>
      </c>
      <c r="AS85" s="379">
        <f t="shared" si="1022"/>
        <v>37.380562495295592</v>
      </c>
      <c r="AT85" s="379">
        <f t="shared" si="1022"/>
        <v>37.604845870267368</v>
      </c>
      <c r="AU85" s="380">
        <f t="shared" ref="AU85:BF85" si="1023">(((AT85*(1+($B$37*$B$4)))-AT85)/12)+AT85</f>
        <v>37.830474945488973</v>
      </c>
      <c r="AV85" s="379">
        <f t="shared" si="1023"/>
        <v>38.057457795161909</v>
      </c>
      <c r="AW85" s="379">
        <f t="shared" si="1023"/>
        <v>38.285802541932881</v>
      </c>
      <c r="AX85" s="379">
        <f t="shared" si="1023"/>
        <v>38.515517357184478</v>
      </c>
      <c r="AY85" s="379">
        <f t="shared" si="1023"/>
        <v>38.746610461327585</v>
      </c>
      <c r="AZ85" s="379">
        <f t="shared" si="1023"/>
        <v>38.979090124095549</v>
      </c>
      <c r="BA85" s="379">
        <f t="shared" si="1023"/>
        <v>39.212964664840122</v>
      </c>
      <c r="BB85" s="379">
        <f t="shared" si="1023"/>
        <v>39.448242452829163</v>
      </c>
      <c r="BC85" s="379">
        <f t="shared" si="1023"/>
        <v>39.684931907546137</v>
      </c>
      <c r="BD85" s="379">
        <f t="shared" si="1023"/>
        <v>39.923041498991417</v>
      </c>
      <c r="BE85" s="379">
        <f t="shared" si="1023"/>
        <v>40.162579747985362</v>
      </c>
      <c r="BF85" s="379">
        <f t="shared" si="1023"/>
        <v>40.403555226473273</v>
      </c>
      <c r="BG85" s="380">
        <f t="shared" ref="BG85:BR85" si="1024">(((BF85*(1+($B$38*$B$4)))-BF85)/12)+BF85</f>
        <v>40.645976557832114</v>
      </c>
      <c r="BH85" s="379">
        <f t="shared" si="1024"/>
        <v>40.889852417179107</v>
      </c>
      <c r="BI85" s="379">
        <f t="shared" si="1024"/>
        <v>41.135191531682182</v>
      </c>
      <c r="BJ85" s="379">
        <f t="shared" si="1024"/>
        <v>41.382002680872276</v>
      </c>
      <c r="BK85" s="379">
        <f t="shared" si="1024"/>
        <v>41.630294696957506</v>
      </c>
      <c r="BL85" s="379">
        <f t="shared" si="1024"/>
        <v>41.880076465139254</v>
      </c>
      <c r="BM85" s="379">
        <f t="shared" si="1024"/>
        <v>42.131356923930092</v>
      </c>
      <c r="BN85" s="379">
        <f t="shared" si="1024"/>
        <v>42.384145065473675</v>
      </c>
      <c r="BO85" s="379">
        <f t="shared" si="1024"/>
        <v>42.638449935866518</v>
      </c>
      <c r="BP85" s="379">
        <f t="shared" si="1024"/>
        <v>42.894280635481721</v>
      </c>
      <c r="BQ85" s="379">
        <f t="shared" si="1024"/>
        <v>43.151646319294613</v>
      </c>
      <c r="BR85" s="379">
        <f t="shared" si="1024"/>
        <v>43.410556197210383</v>
      </c>
      <c r="BS85" s="380">
        <f t="shared" ref="BS85:CD85" si="1025">(((BR85*(1+($B$39*$B$4)))-BR85)/12)+BR85</f>
        <v>43.671019534393643</v>
      </c>
      <c r="BT85" s="379">
        <f t="shared" si="1025"/>
        <v>43.933045651600004</v>
      </c>
      <c r="BU85" s="379">
        <f t="shared" si="1025"/>
        <v>44.196643925509605</v>
      </c>
      <c r="BV85" s="379">
        <f t="shared" si="1025"/>
        <v>44.461823789062663</v>
      </c>
      <c r="BW85" s="379">
        <f t="shared" si="1025"/>
        <v>44.728594731797038</v>
      </c>
      <c r="BX85" s="379">
        <f t="shared" si="1025"/>
        <v>44.996966300187822</v>
      </c>
      <c r="BY85" s="379">
        <f t="shared" si="1025"/>
        <v>45.266948097988951</v>
      </c>
      <c r="BZ85" s="379">
        <f t="shared" si="1025"/>
        <v>45.538549786576887</v>
      </c>
      <c r="CA85" s="379">
        <f t="shared" si="1025"/>
        <v>45.811781085296346</v>
      </c>
      <c r="CB85" s="379">
        <f t="shared" si="1025"/>
        <v>46.086651771808121</v>
      </c>
      <c r="CC85" s="379">
        <f t="shared" si="1025"/>
        <v>46.363171682438967</v>
      </c>
      <c r="CD85" s="379">
        <f t="shared" si="1025"/>
        <v>46.641350712533601</v>
      </c>
      <c r="CE85" s="380">
        <f t="shared" ref="CE85:CP85" si="1026">(((CD85*(1+($B$40*$B$4)))-CD85)/12)+CD85</f>
        <v>46.921198816808804</v>
      </c>
      <c r="CF85" s="379">
        <f t="shared" si="1026"/>
        <v>47.202726009709657</v>
      </c>
      <c r="CG85" s="379">
        <f t="shared" si="1026"/>
        <v>47.485942365767912</v>
      </c>
      <c r="CH85" s="379">
        <f t="shared" si="1026"/>
        <v>47.770858019962517</v>
      </c>
      <c r="CI85" s="379">
        <f t="shared" si="1026"/>
        <v>48.057483168082292</v>
      </c>
      <c r="CJ85" s="379">
        <f t="shared" si="1026"/>
        <v>48.345828067090785</v>
      </c>
      <c r="CK85" s="379">
        <f t="shared" si="1026"/>
        <v>48.635903035493328</v>
      </c>
      <c r="CL85" s="379">
        <f t="shared" si="1026"/>
        <v>48.927718453706291</v>
      </c>
      <c r="CM85" s="379">
        <f t="shared" si="1026"/>
        <v>49.221284764428532</v>
      </c>
      <c r="CN85" s="379">
        <f t="shared" si="1026"/>
        <v>49.516612473015101</v>
      </c>
      <c r="CO85" s="379">
        <f t="shared" si="1026"/>
        <v>49.813712147853195</v>
      </c>
      <c r="CP85" s="379">
        <f t="shared" si="1026"/>
        <v>50.112594420740315</v>
      </c>
      <c r="CQ85" s="380">
        <f t="shared" ref="CQ85:DB85" si="1027">(((CP85*(1+($B$41*$B$4)))-CP85)/12)+CP85</f>
        <v>50.413269987264755</v>
      </c>
      <c r="CR85" s="379">
        <f t="shared" si="1027"/>
        <v>50.715749607188343</v>
      </c>
      <c r="CS85" s="379">
        <f t="shared" si="1027"/>
        <v>51.02004410483147</v>
      </c>
      <c r="CT85" s="379">
        <f t="shared" si="1027"/>
        <v>51.326164369460457</v>
      </c>
      <c r="CU85" s="379">
        <f t="shared" si="1027"/>
        <v>51.634121355677223</v>
      </c>
      <c r="CV85" s="379">
        <f t="shared" si="1027"/>
        <v>51.943926083811284</v>
      </c>
      <c r="CW85" s="379">
        <f t="shared" si="1027"/>
        <v>52.255589640314156</v>
      </c>
      <c r="CX85" s="379">
        <f t="shared" si="1027"/>
        <v>52.56912317815604</v>
      </c>
      <c r="CY85" s="379">
        <f t="shared" si="1027"/>
        <v>52.884537917224975</v>
      </c>
      <c r="CZ85" s="379">
        <f t="shared" si="1027"/>
        <v>53.201845144728324</v>
      </c>
      <c r="DA85" s="379">
        <f t="shared" si="1027"/>
        <v>53.521056215596694</v>
      </c>
      <c r="DB85" s="379">
        <f t="shared" si="1027"/>
        <v>53.842182552890272</v>
      </c>
      <c r="DC85" s="380">
        <f t="shared" ref="DC85:DN85" si="1028">(((DB85*(1+($B$42*$B$4)))-DB85)/12)+DB85</f>
        <v>54.165235648207613</v>
      </c>
      <c r="DD85" s="379">
        <f t="shared" si="1028"/>
        <v>54.490227062096857</v>
      </c>
      <c r="DE85" s="379">
        <f t="shared" si="1028"/>
        <v>54.817168424469436</v>
      </c>
      <c r="DF85" s="379">
        <f t="shared" si="1028"/>
        <v>55.146071435016253</v>
      </c>
      <c r="DG85" s="379">
        <f t="shared" si="1028"/>
        <v>55.47694786362635</v>
      </c>
      <c r="DH85" s="379">
        <f t="shared" si="1028"/>
        <v>55.809809550808112</v>
      </c>
      <c r="DI85" s="379">
        <f t="shared" si="1028"/>
        <v>56.144668408112963</v>
      </c>
      <c r="DJ85" s="379">
        <f t="shared" si="1028"/>
        <v>56.481536418561639</v>
      </c>
      <c r="DK85" s="379">
        <f t="shared" si="1028"/>
        <v>56.820425637073008</v>
      </c>
      <c r="DL85" s="379">
        <f t="shared" si="1028"/>
        <v>57.161348190895445</v>
      </c>
      <c r="DM85" s="379">
        <f t="shared" si="1028"/>
        <v>57.504316280040818</v>
      </c>
      <c r="DN85" s="379">
        <f t="shared" si="1028"/>
        <v>57.849342177721063</v>
      </c>
      <c r="DO85" s="380">
        <f t="shared" ref="DO85:DZ85" si="1029">(((DN85*(1+($B$43*$B$4)))-DN85)/12)+DN85</f>
        <v>58.196438230787393</v>
      </c>
      <c r="DP85" s="379">
        <f t="shared" si="1029"/>
        <v>58.545616860172117</v>
      </c>
      <c r="DQ85" s="379">
        <f t="shared" si="1029"/>
        <v>58.896890561333151</v>
      </c>
      <c r="DR85" s="379">
        <f t="shared" si="1029"/>
        <v>59.250271904701151</v>
      </c>
      <c r="DS85" s="379">
        <f t="shared" si="1029"/>
        <v>59.605773536129355</v>
      </c>
      <c r="DT85" s="379">
        <f t="shared" si="1029"/>
        <v>59.963408177346132</v>
      </c>
      <c r="DU85" s="379">
        <f t="shared" si="1029"/>
        <v>60.323188626410207</v>
      </c>
      <c r="DV85" s="379">
        <f t="shared" si="1029"/>
        <v>60.685127758168669</v>
      </c>
      <c r="DW85" s="379">
        <f t="shared" si="1029"/>
        <v>61.04923852471768</v>
      </c>
      <c r="DX85" s="379">
        <f t="shared" si="1029"/>
        <v>61.415533955865989</v>
      </c>
      <c r="DY85" s="379">
        <f t="shared" si="1029"/>
        <v>61.784027159601187</v>
      </c>
      <c r="DZ85" s="379">
        <f t="shared" si="1029"/>
        <v>62.154731322558796</v>
      </c>
      <c r="EA85" s="380">
        <f>(((DZ85*(1+($B$44*$B$4)))-DZ85)/12)+DZ85</f>
        <v>62.527659710494149</v>
      </c>
      <c r="EB85" s="379">
        <f>(((EA85*(1+($B$44*$B$4)))-EA85)/12)+EA85</f>
        <v>62.902825668757117</v>
      </c>
      <c r="EC85" s="379">
        <f>(((EB85*(1+($B$44*$B$4)))-EB85)/12)+EB85</f>
        <v>63.280242622769663</v>
      </c>
      <c r="ED85" s="381">
        <f>(((EC85*(1+($B$44*$B$4)))-EC85)/12)+EC85</f>
        <v>63.659924078506279</v>
      </c>
    </row>
    <row r="86" spans="1:134" ht="18.75" outlineLevel="1" x14ac:dyDescent="0.3">
      <c r="B86" s="81"/>
      <c r="C86" s="736"/>
      <c r="D86" s="716"/>
      <c r="E86" s="716"/>
      <c r="F86" s="716"/>
      <c r="G86" s="716"/>
      <c r="H86" s="716"/>
      <c r="I86" s="716"/>
      <c r="J86" s="716"/>
      <c r="K86" s="716"/>
      <c r="L86" s="187"/>
      <c r="M86" s="179"/>
      <c r="N86" s="570"/>
      <c r="O86" s="571"/>
      <c r="P86" s="571"/>
      <c r="Q86" s="180"/>
      <c r="R86" s="191"/>
      <c r="S86" s="185"/>
      <c r="T86" s="185"/>
      <c r="U86" s="179"/>
      <c r="V86" s="277">
        <v>3</v>
      </c>
      <c r="W86" s="372">
        <f t="shared" ref="W86:BB86" si="1030">ROUNDUP($V86*(W85/100)/0.8,0)</f>
        <v>2</v>
      </c>
      <c r="X86" s="176">
        <f t="shared" si="1030"/>
        <v>2</v>
      </c>
      <c r="Y86" s="176">
        <f t="shared" si="1030"/>
        <v>2</v>
      </c>
      <c r="Z86" s="176">
        <f t="shared" si="1030"/>
        <v>2</v>
      </c>
      <c r="AA86" s="176">
        <f t="shared" si="1030"/>
        <v>2</v>
      </c>
      <c r="AB86" s="176">
        <f t="shared" si="1030"/>
        <v>2</v>
      </c>
      <c r="AC86" s="176">
        <f t="shared" si="1030"/>
        <v>2</v>
      </c>
      <c r="AD86" s="176">
        <f t="shared" si="1030"/>
        <v>2</v>
      </c>
      <c r="AE86" s="176">
        <f t="shared" si="1030"/>
        <v>2</v>
      </c>
      <c r="AF86" s="176">
        <f t="shared" si="1030"/>
        <v>2</v>
      </c>
      <c r="AG86" s="176">
        <f t="shared" si="1030"/>
        <v>2</v>
      </c>
      <c r="AH86" s="176">
        <f t="shared" si="1030"/>
        <v>2</v>
      </c>
      <c r="AI86" s="367">
        <f t="shared" si="1030"/>
        <v>2</v>
      </c>
      <c r="AJ86" s="176">
        <f t="shared" si="1030"/>
        <v>2</v>
      </c>
      <c r="AK86" s="176">
        <f t="shared" si="1030"/>
        <v>2</v>
      </c>
      <c r="AL86" s="176">
        <f t="shared" si="1030"/>
        <v>2</v>
      </c>
      <c r="AM86" s="176">
        <f t="shared" si="1030"/>
        <v>2</v>
      </c>
      <c r="AN86" s="176">
        <f t="shared" si="1030"/>
        <v>2</v>
      </c>
      <c r="AO86" s="176">
        <f t="shared" si="1030"/>
        <v>2</v>
      </c>
      <c r="AP86" s="176">
        <f t="shared" si="1030"/>
        <v>2</v>
      </c>
      <c r="AQ86" s="176">
        <f t="shared" si="1030"/>
        <v>2</v>
      </c>
      <c r="AR86" s="176">
        <f t="shared" si="1030"/>
        <v>2</v>
      </c>
      <c r="AS86" s="176">
        <f t="shared" si="1030"/>
        <v>2</v>
      </c>
      <c r="AT86" s="176">
        <f t="shared" si="1030"/>
        <v>2</v>
      </c>
      <c r="AU86" s="367">
        <f t="shared" si="1030"/>
        <v>2</v>
      </c>
      <c r="AV86" s="176">
        <f t="shared" si="1030"/>
        <v>2</v>
      </c>
      <c r="AW86" s="176">
        <f t="shared" si="1030"/>
        <v>2</v>
      </c>
      <c r="AX86" s="176">
        <f t="shared" si="1030"/>
        <v>2</v>
      </c>
      <c r="AY86" s="176">
        <f t="shared" si="1030"/>
        <v>2</v>
      </c>
      <c r="AZ86" s="176">
        <f t="shared" si="1030"/>
        <v>2</v>
      </c>
      <c r="BA86" s="176">
        <f t="shared" si="1030"/>
        <v>2</v>
      </c>
      <c r="BB86" s="176">
        <f t="shared" si="1030"/>
        <v>2</v>
      </c>
      <c r="BC86" s="176">
        <f t="shared" ref="BC86:CH86" si="1031">ROUNDUP($V86*(BC85/100)/0.8,0)</f>
        <v>2</v>
      </c>
      <c r="BD86" s="176">
        <f t="shared" si="1031"/>
        <v>2</v>
      </c>
      <c r="BE86" s="176">
        <f t="shared" si="1031"/>
        <v>2</v>
      </c>
      <c r="BF86" s="176">
        <f t="shared" si="1031"/>
        <v>2</v>
      </c>
      <c r="BG86" s="367">
        <f t="shared" si="1031"/>
        <v>2</v>
      </c>
      <c r="BH86" s="176">
        <f t="shared" si="1031"/>
        <v>2</v>
      </c>
      <c r="BI86" s="176">
        <f t="shared" si="1031"/>
        <v>2</v>
      </c>
      <c r="BJ86" s="176">
        <f t="shared" si="1031"/>
        <v>2</v>
      </c>
      <c r="BK86" s="176">
        <f t="shared" si="1031"/>
        <v>2</v>
      </c>
      <c r="BL86" s="176">
        <f t="shared" si="1031"/>
        <v>2</v>
      </c>
      <c r="BM86" s="176">
        <f t="shared" si="1031"/>
        <v>2</v>
      </c>
      <c r="BN86" s="176">
        <f t="shared" si="1031"/>
        <v>2</v>
      </c>
      <c r="BO86" s="176">
        <f t="shared" si="1031"/>
        <v>2</v>
      </c>
      <c r="BP86" s="176">
        <f t="shared" si="1031"/>
        <v>2</v>
      </c>
      <c r="BQ86" s="176">
        <f t="shared" si="1031"/>
        <v>2</v>
      </c>
      <c r="BR86" s="176">
        <f t="shared" si="1031"/>
        <v>2</v>
      </c>
      <c r="BS86" s="367">
        <f t="shared" si="1031"/>
        <v>2</v>
      </c>
      <c r="BT86" s="176">
        <f t="shared" si="1031"/>
        <v>2</v>
      </c>
      <c r="BU86" s="176">
        <f t="shared" si="1031"/>
        <v>2</v>
      </c>
      <c r="BV86" s="176">
        <f t="shared" si="1031"/>
        <v>2</v>
      </c>
      <c r="BW86" s="176">
        <f t="shared" si="1031"/>
        <v>2</v>
      </c>
      <c r="BX86" s="176">
        <f t="shared" si="1031"/>
        <v>2</v>
      </c>
      <c r="BY86" s="176">
        <f t="shared" si="1031"/>
        <v>2</v>
      </c>
      <c r="BZ86" s="176">
        <f t="shared" si="1031"/>
        <v>2</v>
      </c>
      <c r="CA86" s="176">
        <f t="shared" si="1031"/>
        <v>2</v>
      </c>
      <c r="CB86" s="176">
        <f t="shared" si="1031"/>
        <v>2</v>
      </c>
      <c r="CC86" s="176">
        <f t="shared" si="1031"/>
        <v>2</v>
      </c>
      <c r="CD86" s="176">
        <f t="shared" si="1031"/>
        <v>2</v>
      </c>
      <c r="CE86" s="367">
        <f t="shared" si="1031"/>
        <v>2</v>
      </c>
      <c r="CF86" s="176">
        <f t="shared" si="1031"/>
        <v>2</v>
      </c>
      <c r="CG86" s="176">
        <f t="shared" si="1031"/>
        <v>2</v>
      </c>
      <c r="CH86" s="176">
        <f t="shared" si="1031"/>
        <v>2</v>
      </c>
      <c r="CI86" s="176">
        <f t="shared" ref="CI86:DN86" si="1032">ROUNDUP($V86*(CI85/100)/0.8,0)</f>
        <v>2</v>
      </c>
      <c r="CJ86" s="176">
        <f t="shared" si="1032"/>
        <v>2</v>
      </c>
      <c r="CK86" s="176">
        <f t="shared" si="1032"/>
        <v>2</v>
      </c>
      <c r="CL86" s="176">
        <f t="shared" si="1032"/>
        <v>2</v>
      </c>
      <c r="CM86" s="176">
        <f t="shared" si="1032"/>
        <v>2</v>
      </c>
      <c r="CN86" s="176">
        <f t="shared" si="1032"/>
        <v>2</v>
      </c>
      <c r="CO86" s="176">
        <f t="shared" si="1032"/>
        <v>2</v>
      </c>
      <c r="CP86" s="176">
        <f t="shared" si="1032"/>
        <v>2</v>
      </c>
      <c r="CQ86" s="367">
        <f t="shared" si="1032"/>
        <v>2</v>
      </c>
      <c r="CR86" s="176">
        <f t="shared" si="1032"/>
        <v>2</v>
      </c>
      <c r="CS86" s="176">
        <f t="shared" si="1032"/>
        <v>2</v>
      </c>
      <c r="CT86" s="176">
        <f t="shared" si="1032"/>
        <v>2</v>
      </c>
      <c r="CU86" s="176">
        <f t="shared" si="1032"/>
        <v>2</v>
      </c>
      <c r="CV86" s="176">
        <f t="shared" si="1032"/>
        <v>2</v>
      </c>
      <c r="CW86" s="176">
        <f t="shared" si="1032"/>
        <v>2</v>
      </c>
      <c r="CX86" s="176">
        <f t="shared" si="1032"/>
        <v>2</v>
      </c>
      <c r="CY86" s="176">
        <f t="shared" si="1032"/>
        <v>2</v>
      </c>
      <c r="CZ86" s="176">
        <f t="shared" si="1032"/>
        <v>2</v>
      </c>
      <c r="DA86" s="176">
        <f t="shared" si="1032"/>
        <v>3</v>
      </c>
      <c r="DB86" s="176">
        <f t="shared" si="1032"/>
        <v>3</v>
      </c>
      <c r="DC86" s="367">
        <f t="shared" si="1032"/>
        <v>3</v>
      </c>
      <c r="DD86" s="176">
        <f t="shared" si="1032"/>
        <v>3</v>
      </c>
      <c r="DE86" s="176">
        <f t="shared" si="1032"/>
        <v>3</v>
      </c>
      <c r="DF86" s="176">
        <f t="shared" si="1032"/>
        <v>3</v>
      </c>
      <c r="DG86" s="176">
        <f t="shared" si="1032"/>
        <v>3</v>
      </c>
      <c r="DH86" s="176">
        <f t="shared" si="1032"/>
        <v>3</v>
      </c>
      <c r="DI86" s="176">
        <f t="shared" si="1032"/>
        <v>3</v>
      </c>
      <c r="DJ86" s="176">
        <f t="shared" si="1032"/>
        <v>3</v>
      </c>
      <c r="DK86" s="176">
        <f t="shared" si="1032"/>
        <v>3</v>
      </c>
      <c r="DL86" s="176">
        <f t="shared" si="1032"/>
        <v>3</v>
      </c>
      <c r="DM86" s="176">
        <f t="shared" si="1032"/>
        <v>3</v>
      </c>
      <c r="DN86" s="176">
        <f t="shared" si="1032"/>
        <v>3</v>
      </c>
      <c r="DO86" s="367">
        <f t="shared" ref="DO86:ED86" si="1033">ROUNDUP($V86*(DO85/100)/0.8,0)</f>
        <v>3</v>
      </c>
      <c r="DP86" s="176">
        <f t="shared" si="1033"/>
        <v>3</v>
      </c>
      <c r="DQ86" s="176">
        <f t="shared" si="1033"/>
        <v>3</v>
      </c>
      <c r="DR86" s="176">
        <f t="shared" si="1033"/>
        <v>3</v>
      </c>
      <c r="DS86" s="176">
        <f t="shared" si="1033"/>
        <v>3</v>
      </c>
      <c r="DT86" s="176">
        <f t="shared" si="1033"/>
        <v>3</v>
      </c>
      <c r="DU86" s="176">
        <f t="shared" si="1033"/>
        <v>3</v>
      </c>
      <c r="DV86" s="176">
        <f t="shared" si="1033"/>
        <v>3</v>
      </c>
      <c r="DW86" s="176">
        <f t="shared" si="1033"/>
        <v>3</v>
      </c>
      <c r="DX86" s="176">
        <f t="shared" si="1033"/>
        <v>3</v>
      </c>
      <c r="DY86" s="176">
        <f t="shared" si="1033"/>
        <v>3</v>
      </c>
      <c r="DZ86" s="176">
        <f t="shared" si="1033"/>
        <v>3</v>
      </c>
      <c r="EA86" s="367">
        <f t="shared" si="1033"/>
        <v>3</v>
      </c>
      <c r="EB86" s="176">
        <f t="shared" si="1033"/>
        <v>3</v>
      </c>
      <c r="EC86" s="176">
        <f t="shared" si="1033"/>
        <v>3</v>
      </c>
      <c r="ED86" s="373">
        <f t="shared" si="1033"/>
        <v>3</v>
      </c>
    </row>
    <row r="87" spans="1:134" ht="18.75" outlineLevel="1" x14ac:dyDescent="0.3">
      <c r="B87" s="81"/>
      <c r="C87" s="736"/>
      <c r="D87" s="717" t="s">
        <v>262</v>
      </c>
      <c r="E87" s="717"/>
      <c r="F87" s="717"/>
      <c r="G87" s="717"/>
      <c r="H87" s="717"/>
      <c r="I87" s="717"/>
      <c r="J87" s="717"/>
      <c r="K87" s="717"/>
      <c r="L87" s="188"/>
      <c r="M87" s="494">
        <f>N87*100</f>
        <v>26</v>
      </c>
      <c r="N87" s="572">
        <f>'XFMR Data'!E4/100</f>
        <v>0.26</v>
      </c>
      <c r="O87" s="573">
        <f>'XFMR Data'!J4/100</f>
        <v>0.26</v>
      </c>
      <c r="P87" s="573">
        <f>'XFMR Data'!O4/100</f>
        <v>0.25</v>
      </c>
      <c r="Q87" s="177"/>
      <c r="R87" s="192">
        <f t="shared" si="981"/>
        <v>-1.0000000000000009E-2</v>
      </c>
      <c r="S87" s="178">
        <f t="shared" si="968"/>
        <v>0</v>
      </c>
      <c r="T87" s="178"/>
      <c r="U87" s="176"/>
      <c r="V87" s="298"/>
      <c r="W87" s="368">
        <f t="shared" si="982"/>
        <v>26</v>
      </c>
      <c r="X87" s="369">
        <f t="shared" si="983"/>
        <v>26</v>
      </c>
      <c r="Y87" s="369">
        <f t="shared" si="983"/>
        <v>26</v>
      </c>
      <c r="Z87" s="369">
        <f t="shared" si="984"/>
        <v>26</v>
      </c>
      <c r="AA87" s="369">
        <f>Z87</f>
        <v>26</v>
      </c>
      <c r="AB87" s="369">
        <f>AA87</f>
        <v>26</v>
      </c>
      <c r="AC87" s="369">
        <f t="shared" si="985"/>
        <v>25</v>
      </c>
      <c r="AD87" s="369">
        <f>AC87</f>
        <v>25</v>
      </c>
      <c r="AE87" s="369">
        <f>AD87</f>
        <v>25</v>
      </c>
      <c r="AF87" s="369">
        <f>AE87</f>
        <v>25</v>
      </c>
      <c r="AG87" s="369">
        <f>AF87</f>
        <v>25</v>
      </c>
      <c r="AH87" s="369">
        <f>AG87</f>
        <v>25</v>
      </c>
      <c r="AI87" s="370">
        <f t="shared" ref="AI87:AT87" si="1034">(((AH87*(1+($B$36*$B$4)))-AH87)/12)+AH87</f>
        <v>25.15</v>
      </c>
      <c r="AJ87" s="369">
        <f t="shared" si="1034"/>
        <v>25.300899999999999</v>
      </c>
      <c r="AK87" s="369">
        <f t="shared" si="1034"/>
        <v>25.452705399999999</v>
      </c>
      <c r="AL87" s="369">
        <f t="shared" si="1034"/>
        <v>25.605421632399999</v>
      </c>
      <c r="AM87" s="369">
        <f t="shared" si="1034"/>
        <v>25.759054162194399</v>
      </c>
      <c r="AN87" s="369">
        <f t="shared" si="1034"/>
        <v>25.913608487167565</v>
      </c>
      <c r="AO87" s="369">
        <f t="shared" si="1034"/>
        <v>26.069090138090569</v>
      </c>
      <c r="AP87" s="369">
        <f t="shared" si="1034"/>
        <v>26.225504678919112</v>
      </c>
      <c r="AQ87" s="369">
        <f t="shared" si="1034"/>
        <v>26.382857706992628</v>
      </c>
      <c r="AR87" s="369">
        <f t="shared" si="1034"/>
        <v>26.541154853234584</v>
      </c>
      <c r="AS87" s="369">
        <f t="shared" si="1034"/>
        <v>26.700401782353993</v>
      </c>
      <c r="AT87" s="369">
        <f t="shared" si="1034"/>
        <v>26.860604193048118</v>
      </c>
      <c r="AU87" s="370">
        <f t="shared" ref="AU87:BF87" si="1035">(((AT87*(1+($B$37*$B$4)))-AT87)/12)+AT87</f>
        <v>27.021767818206406</v>
      </c>
      <c r="AV87" s="369">
        <f t="shared" si="1035"/>
        <v>27.183898425115643</v>
      </c>
      <c r="AW87" s="369">
        <f t="shared" si="1035"/>
        <v>27.347001815666339</v>
      </c>
      <c r="AX87" s="369">
        <f t="shared" si="1035"/>
        <v>27.511083826560338</v>
      </c>
      <c r="AY87" s="369">
        <f t="shared" si="1035"/>
        <v>27.6761503295197</v>
      </c>
      <c r="AZ87" s="369">
        <f t="shared" si="1035"/>
        <v>27.842207231496818</v>
      </c>
      <c r="BA87" s="369">
        <f t="shared" si="1035"/>
        <v>28.009260474885799</v>
      </c>
      <c r="BB87" s="369">
        <f t="shared" si="1035"/>
        <v>28.177316037735114</v>
      </c>
      <c r="BC87" s="369">
        <f t="shared" si="1035"/>
        <v>28.346379933961526</v>
      </c>
      <c r="BD87" s="369">
        <f t="shared" si="1035"/>
        <v>28.516458213565294</v>
      </c>
      <c r="BE87" s="369">
        <f t="shared" si="1035"/>
        <v>28.687556962846685</v>
      </c>
      <c r="BF87" s="369">
        <f t="shared" si="1035"/>
        <v>28.859682304623764</v>
      </c>
      <c r="BG87" s="370">
        <f t="shared" ref="BG87:BR87" si="1036">(((BF87*(1+($B$38*$B$4)))-BF87)/12)+BF87</f>
        <v>29.032840398451505</v>
      </c>
      <c r="BH87" s="369">
        <f t="shared" si="1036"/>
        <v>29.207037440842214</v>
      </c>
      <c r="BI87" s="369">
        <f t="shared" si="1036"/>
        <v>29.382279665487268</v>
      </c>
      <c r="BJ87" s="369">
        <f t="shared" si="1036"/>
        <v>29.558573343480191</v>
      </c>
      <c r="BK87" s="369">
        <f t="shared" si="1036"/>
        <v>29.735924783541073</v>
      </c>
      <c r="BL87" s="369">
        <f t="shared" si="1036"/>
        <v>29.914340332242318</v>
      </c>
      <c r="BM87" s="369">
        <f t="shared" si="1036"/>
        <v>30.093826374235771</v>
      </c>
      <c r="BN87" s="369">
        <f t="shared" si="1036"/>
        <v>30.274389332481185</v>
      </c>
      <c r="BO87" s="369">
        <f t="shared" si="1036"/>
        <v>30.456035668476073</v>
      </c>
      <c r="BP87" s="369">
        <f t="shared" si="1036"/>
        <v>30.638771882486928</v>
      </c>
      <c r="BQ87" s="369">
        <f t="shared" si="1036"/>
        <v>30.822604513781851</v>
      </c>
      <c r="BR87" s="369">
        <f t="shared" si="1036"/>
        <v>31.007540140864542</v>
      </c>
      <c r="BS87" s="370">
        <f t="shared" ref="BS87:CD87" si="1037">(((BR87*(1+($B$39*$B$4)))-BR87)/12)+BR87</f>
        <v>31.193585381709731</v>
      </c>
      <c r="BT87" s="369">
        <f t="shared" si="1037"/>
        <v>31.380746893999991</v>
      </c>
      <c r="BU87" s="369">
        <f t="shared" si="1037"/>
        <v>31.569031375363991</v>
      </c>
      <c r="BV87" s="369">
        <f t="shared" si="1037"/>
        <v>31.758445563616174</v>
      </c>
      <c r="BW87" s="369">
        <f t="shared" si="1037"/>
        <v>31.948996236997871</v>
      </c>
      <c r="BX87" s="369">
        <f t="shared" si="1037"/>
        <v>32.140690214419863</v>
      </c>
      <c r="BY87" s="369">
        <f t="shared" si="1037"/>
        <v>32.333534355706384</v>
      </c>
      <c r="BZ87" s="369">
        <f t="shared" si="1037"/>
        <v>32.527535561840622</v>
      </c>
      <c r="CA87" s="369">
        <f t="shared" si="1037"/>
        <v>32.722700775211663</v>
      </c>
      <c r="CB87" s="369">
        <f t="shared" si="1037"/>
        <v>32.919036979862931</v>
      </c>
      <c r="CC87" s="369">
        <f t="shared" si="1037"/>
        <v>33.116551201742105</v>
      </c>
      <c r="CD87" s="369">
        <f t="shared" si="1037"/>
        <v>33.315250508952559</v>
      </c>
      <c r="CE87" s="370">
        <f t="shared" ref="CE87:CP87" si="1038">(((CD87*(1+($B$40*$B$4)))-CD87)/12)+CD87</f>
        <v>33.515142012006272</v>
      </c>
      <c r="CF87" s="369">
        <f t="shared" si="1038"/>
        <v>33.716232864078307</v>
      </c>
      <c r="CG87" s="369">
        <f t="shared" si="1038"/>
        <v>33.918530261262774</v>
      </c>
      <c r="CH87" s="369">
        <f t="shared" si="1038"/>
        <v>34.122041442830351</v>
      </c>
      <c r="CI87" s="369">
        <f t="shared" si="1038"/>
        <v>34.326773691487332</v>
      </c>
      <c r="CJ87" s="369">
        <f t="shared" si="1038"/>
        <v>34.532734333636256</v>
      </c>
      <c r="CK87" s="369">
        <f t="shared" si="1038"/>
        <v>34.739930739638076</v>
      </c>
      <c r="CL87" s="369">
        <f t="shared" si="1038"/>
        <v>34.948370324075903</v>
      </c>
      <c r="CM87" s="369">
        <f t="shared" si="1038"/>
        <v>35.158060546020359</v>
      </c>
      <c r="CN87" s="369">
        <f t="shared" si="1038"/>
        <v>35.369008909296483</v>
      </c>
      <c r="CO87" s="369">
        <f t="shared" si="1038"/>
        <v>35.581222962752264</v>
      </c>
      <c r="CP87" s="369">
        <f t="shared" si="1038"/>
        <v>35.794710300528777</v>
      </c>
      <c r="CQ87" s="370">
        <f t="shared" ref="CQ87:DB87" si="1039">(((CP87*(1+($B$41*$B$4)))-CP87)/12)+CP87</f>
        <v>36.00947856233195</v>
      </c>
      <c r="CR87" s="369">
        <f t="shared" si="1039"/>
        <v>36.225535433705943</v>
      </c>
      <c r="CS87" s="369">
        <f t="shared" si="1039"/>
        <v>36.442888646308177</v>
      </c>
      <c r="CT87" s="369">
        <f t="shared" si="1039"/>
        <v>36.661545978186027</v>
      </c>
      <c r="CU87" s="369">
        <f t="shared" si="1039"/>
        <v>36.881515254055145</v>
      </c>
      <c r="CV87" s="369">
        <f t="shared" si="1039"/>
        <v>37.102804345579479</v>
      </c>
      <c r="CW87" s="369">
        <f t="shared" si="1039"/>
        <v>37.325421171652955</v>
      </c>
      <c r="CX87" s="369">
        <f t="shared" si="1039"/>
        <v>37.549373698682871</v>
      </c>
      <c r="CY87" s="369">
        <f t="shared" si="1039"/>
        <v>37.774669940874972</v>
      </c>
      <c r="CZ87" s="369">
        <f t="shared" si="1039"/>
        <v>38.001317960520225</v>
      </c>
      <c r="DA87" s="369">
        <f t="shared" si="1039"/>
        <v>38.229325868283347</v>
      </c>
      <c r="DB87" s="369">
        <f t="shared" si="1039"/>
        <v>38.458701823493044</v>
      </c>
      <c r="DC87" s="370">
        <f t="shared" ref="DC87:DN87" si="1040">(((DB87*(1+($B$42*$B$4)))-DB87)/12)+DB87</f>
        <v>38.689454034434</v>
      </c>
      <c r="DD87" s="369">
        <f t="shared" si="1040"/>
        <v>38.921590758640605</v>
      </c>
      <c r="DE87" s="369">
        <f t="shared" si="1040"/>
        <v>39.155120303192447</v>
      </c>
      <c r="DF87" s="369">
        <f t="shared" si="1040"/>
        <v>39.390051025011601</v>
      </c>
      <c r="DG87" s="369">
        <f t="shared" si="1040"/>
        <v>39.62639133116167</v>
      </c>
      <c r="DH87" s="369">
        <f t="shared" si="1040"/>
        <v>39.864149679148639</v>
      </c>
      <c r="DI87" s="369">
        <f t="shared" si="1040"/>
        <v>40.103334577223528</v>
      </c>
      <c r="DJ87" s="369">
        <f t="shared" si="1040"/>
        <v>40.34395458468687</v>
      </c>
      <c r="DK87" s="369">
        <f t="shared" si="1040"/>
        <v>40.586018312194994</v>
      </c>
      <c r="DL87" s="369">
        <f t="shared" si="1040"/>
        <v>40.829534422068164</v>
      </c>
      <c r="DM87" s="369">
        <f t="shared" si="1040"/>
        <v>41.074511628600575</v>
      </c>
      <c r="DN87" s="369">
        <f t="shared" si="1040"/>
        <v>41.320958698372181</v>
      </c>
      <c r="DO87" s="370">
        <f t="shared" ref="DO87:DZ87" si="1041">(((DN87*(1+($B$43*$B$4)))-DN87)/12)+DN87</f>
        <v>41.568884450562415</v>
      </c>
      <c r="DP87" s="369">
        <f t="shared" si="1041"/>
        <v>41.818297757265789</v>
      </c>
      <c r="DQ87" s="369">
        <f t="shared" si="1041"/>
        <v>42.069207543809384</v>
      </c>
      <c r="DR87" s="369">
        <f t="shared" si="1041"/>
        <v>42.321622789072237</v>
      </c>
      <c r="DS87" s="369">
        <f t="shared" si="1041"/>
        <v>42.575552525806671</v>
      </c>
      <c r="DT87" s="369">
        <f t="shared" si="1041"/>
        <v>42.83100584096151</v>
      </c>
      <c r="DU87" s="369">
        <f t="shared" si="1041"/>
        <v>43.08799187600728</v>
      </c>
      <c r="DV87" s="369">
        <f t="shared" si="1041"/>
        <v>43.346519827263322</v>
      </c>
      <c r="DW87" s="369">
        <f t="shared" si="1041"/>
        <v>43.606598946226903</v>
      </c>
      <c r="DX87" s="369">
        <f t="shared" si="1041"/>
        <v>43.868238539904262</v>
      </c>
      <c r="DY87" s="369">
        <f t="shared" si="1041"/>
        <v>44.131447971143686</v>
      </c>
      <c r="DZ87" s="369">
        <f t="shared" si="1041"/>
        <v>44.396236658970551</v>
      </c>
      <c r="EA87" s="370">
        <f>(((DZ87*(1+($B$44*$B$4)))-DZ87)/12)+DZ87</f>
        <v>44.662614078924378</v>
      </c>
      <c r="EB87" s="369">
        <f>(((EA87*(1+($B$44*$B$4)))-EA87)/12)+EA87</f>
        <v>44.930589763397926</v>
      </c>
      <c r="EC87" s="369">
        <f>(((EB87*(1+($B$44*$B$4)))-EB87)/12)+EB87</f>
        <v>45.20017330197831</v>
      </c>
      <c r="ED87" s="371">
        <f>(((EC87*(1+($B$44*$B$4)))-EC87)/12)+EC87</f>
        <v>45.471374341790181</v>
      </c>
    </row>
    <row r="88" spans="1:134" ht="18.75" outlineLevel="1" x14ac:dyDescent="0.3">
      <c r="B88" s="81"/>
      <c r="C88" s="736"/>
      <c r="D88" s="717"/>
      <c r="E88" s="717"/>
      <c r="F88" s="717"/>
      <c r="G88" s="717"/>
      <c r="H88" s="717"/>
      <c r="I88" s="717"/>
      <c r="J88" s="717"/>
      <c r="K88" s="717"/>
      <c r="L88" s="188"/>
      <c r="M88" s="176"/>
      <c r="N88" s="572"/>
      <c r="O88" s="573"/>
      <c r="P88" s="573"/>
      <c r="Q88" s="177"/>
      <c r="R88" s="192"/>
      <c r="S88" s="178"/>
      <c r="T88" s="178"/>
      <c r="U88" s="176"/>
      <c r="V88" s="70">
        <v>1</v>
      </c>
      <c r="W88" s="374">
        <f t="shared" ref="W88:BB88" si="1042">ROUNDUP($V88*(W87/100)/0.8,0)</f>
        <v>1</v>
      </c>
      <c r="X88" s="375">
        <f t="shared" si="1042"/>
        <v>1</v>
      </c>
      <c r="Y88" s="375">
        <f t="shared" si="1042"/>
        <v>1</v>
      </c>
      <c r="Z88" s="375">
        <f t="shared" si="1042"/>
        <v>1</v>
      </c>
      <c r="AA88" s="375">
        <f t="shared" si="1042"/>
        <v>1</v>
      </c>
      <c r="AB88" s="375">
        <f t="shared" si="1042"/>
        <v>1</v>
      </c>
      <c r="AC88" s="375">
        <f t="shared" si="1042"/>
        <v>1</v>
      </c>
      <c r="AD88" s="375">
        <f t="shared" si="1042"/>
        <v>1</v>
      </c>
      <c r="AE88" s="375">
        <f t="shared" si="1042"/>
        <v>1</v>
      </c>
      <c r="AF88" s="375">
        <f t="shared" si="1042"/>
        <v>1</v>
      </c>
      <c r="AG88" s="375">
        <f t="shared" si="1042"/>
        <v>1</v>
      </c>
      <c r="AH88" s="375">
        <f t="shared" si="1042"/>
        <v>1</v>
      </c>
      <c r="AI88" s="376">
        <f t="shared" si="1042"/>
        <v>1</v>
      </c>
      <c r="AJ88" s="375">
        <f t="shared" si="1042"/>
        <v>1</v>
      </c>
      <c r="AK88" s="375">
        <f t="shared" si="1042"/>
        <v>1</v>
      </c>
      <c r="AL88" s="375">
        <f t="shared" si="1042"/>
        <v>1</v>
      </c>
      <c r="AM88" s="375">
        <f t="shared" si="1042"/>
        <v>1</v>
      </c>
      <c r="AN88" s="375">
        <f t="shared" si="1042"/>
        <v>1</v>
      </c>
      <c r="AO88" s="375">
        <f t="shared" si="1042"/>
        <v>1</v>
      </c>
      <c r="AP88" s="375">
        <f t="shared" si="1042"/>
        <v>1</v>
      </c>
      <c r="AQ88" s="375">
        <f t="shared" si="1042"/>
        <v>1</v>
      </c>
      <c r="AR88" s="375">
        <f t="shared" si="1042"/>
        <v>1</v>
      </c>
      <c r="AS88" s="375">
        <f t="shared" si="1042"/>
        <v>1</v>
      </c>
      <c r="AT88" s="375">
        <f t="shared" si="1042"/>
        <v>1</v>
      </c>
      <c r="AU88" s="376">
        <f t="shared" si="1042"/>
        <v>1</v>
      </c>
      <c r="AV88" s="375">
        <f t="shared" si="1042"/>
        <v>1</v>
      </c>
      <c r="AW88" s="375">
        <f t="shared" si="1042"/>
        <v>1</v>
      </c>
      <c r="AX88" s="375">
        <f t="shared" si="1042"/>
        <v>1</v>
      </c>
      <c r="AY88" s="375">
        <f t="shared" si="1042"/>
        <v>1</v>
      </c>
      <c r="AZ88" s="375">
        <f t="shared" si="1042"/>
        <v>1</v>
      </c>
      <c r="BA88" s="375">
        <f t="shared" si="1042"/>
        <v>1</v>
      </c>
      <c r="BB88" s="375">
        <f t="shared" si="1042"/>
        <v>1</v>
      </c>
      <c r="BC88" s="375">
        <f t="shared" ref="BC88:CH88" si="1043">ROUNDUP($V88*(BC87/100)/0.8,0)</f>
        <v>1</v>
      </c>
      <c r="BD88" s="375">
        <f t="shared" si="1043"/>
        <v>1</v>
      </c>
      <c r="BE88" s="375">
        <f t="shared" si="1043"/>
        <v>1</v>
      </c>
      <c r="BF88" s="375">
        <f t="shared" si="1043"/>
        <v>1</v>
      </c>
      <c r="BG88" s="376">
        <f t="shared" si="1043"/>
        <v>1</v>
      </c>
      <c r="BH88" s="375">
        <f t="shared" si="1043"/>
        <v>1</v>
      </c>
      <c r="BI88" s="375">
        <f t="shared" si="1043"/>
        <v>1</v>
      </c>
      <c r="BJ88" s="375">
        <f t="shared" si="1043"/>
        <v>1</v>
      </c>
      <c r="BK88" s="375">
        <f t="shared" si="1043"/>
        <v>1</v>
      </c>
      <c r="BL88" s="375">
        <f t="shared" si="1043"/>
        <v>1</v>
      </c>
      <c r="BM88" s="375">
        <f t="shared" si="1043"/>
        <v>1</v>
      </c>
      <c r="BN88" s="375">
        <f t="shared" si="1043"/>
        <v>1</v>
      </c>
      <c r="BO88" s="375">
        <f t="shared" si="1043"/>
        <v>1</v>
      </c>
      <c r="BP88" s="375">
        <f t="shared" si="1043"/>
        <v>1</v>
      </c>
      <c r="BQ88" s="375">
        <f t="shared" si="1043"/>
        <v>1</v>
      </c>
      <c r="BR88" s="375">
        <f t="shared" si="1043"/>
        <v>1</v>
      </c>
      <c r="BS88" s="376">
        <f t="shared" si="1043"/>
        <v>1</v>
      </c>
      <c r="BT88" s="375">
        <f t="shared" si="1043"/>
        <v>1</v>
      </c>
      <c r="BU88" s="375">
        <f t="shared" si="1043"/>
        <v>1</v>
      </c>
      <c r="BV88" s="375">
        <f t="shared" si="1043"/>
        <v>1</v>
      </c>
      <c r="BW88" s="375">
        <f t="shared" si="1043"/>
        <v>1</v>
      </c>
      <c r="BX88" s="375">
        <f t="shared" si="1043"/>
        <v>1</v>
      </c>
      <c r="BY88" s="375">
        <f t="shared" si="1043"/>
        <v>1</v>
      </c>
      <c r="BZ88" s="375">
        <f t="shared" si="1043"/>
        <v>1</v>
      </c>
      <c r="CA88" s="375">
        <f t="shared" si="1043"/>
        <v>1</v>
      </c>
      <c r="CB88" s="375">
        <f t="shared" si="1043"/>
        <v>1</v>
      </c>
      <c r="CC88" s="375">
        <f t="shared" si="1043"/>
        <v>1</v>
      </c>
      <c r="CD88" s="375">
        <f t="shared" si="1043"/>
        <v>1</v>
      </c>
      <c r="CE88" s="376">
        <f t="shared" si="1043"/>
        <v>1</v>
      </c>
      <c r="CF88" s="375">
        <f t="shared" si="1043"/>
        <v>1</v>
      </c>
      <c r="CG88" s="375">
        <f t="shared" si="1043"/>
        <v>1</v>
      </c>
      <c r="CH88" s="375">
        <f t="shared" si="1043"/>
        <v>1</v>
      </c>
      <c r="CI88" s="375">
        <f t="shared" ref="CI88:DN88" si="1044">ROUNDUP($V88*(CI87/100)/0.8,0)</f>
        <v>1</v>
      </c>
      <c r="CJ88" s="375">
        <f t="shared" si="1044"/>
        <v>1</v>
      </c>
      <c r="CK88" s="375">
        <f t="shared" si="1044"/>
        <v>1</v>
      </c>
      <c r="CL88" s="375">
        <f t="shared" si="1044"/>
        <v>1</v>
      </c>
      <c r="CM88" s="375">
        <f t="shared" si="1044"/>
        <v>1</v>
      </c>
      <c r="CN88" s="375">
        <f t="shared" si="1044"/>
        <v>1</v>
      </c>
      <c r="CO88" s="375">
        <f t="shared" si="1044"/>
        <v>1</v>
      </c>
      <c r="CP88" s="375">
        <f t="shared" si="1044"/>
        <v>1</v>
      </c>
      <c r="CQ88" s="376">
        <f t="shared" si="1044"/>
        <v>1</v>
      </c>
      <c r="CR88" s="375">
        <f t="shared" si="1044"/>
        <v>1</v>
      </c>
      <c r="CS88" s="375">
        <f t="shared" si="1044"/>
        <v>1</v>
      </c>
      <c r="CT88" s="375">
        <f t="shared" si="1044"/>
        <v>1</v>
      </c>
      <c r="CU88" s="375">
        <f t="shared" si="1044"/>
        <v>1</v>
      </c>
      <c r="CV88" s="375">
        <f t="shared" si="1044"/>
        <v>1</v>
      </c>
      <c r="CW88" s="375">
        <f t="shared" si="1044"/>
        <v>1</v>
      </c>
      <c r="CX88" s="375">
        <f t="shared" si="1044"/>
        <v>1</v>
      </c>
      <c r="CY88" s="375">
        <f t="shared" si="1044"/>
        <v>1</v>
      </c>
      <c r="CZ88" s="375">
        <f t="shared" si="1044"/>
        <v>1</v>
      </c>
      <c r="DA88" s="375">
        <f t="shared" si="1044"/>
        <v>1</v>
      </c>
      <c r="DB88" s="375">
        <f t="shared" si="1044"/>
        <v>1</v>
      </c>
      <c r="DC88" s="376">
        <f t="shared" si="1044"/>
        <v>1</v>
      </c>
      <c r="DD88" s="375">
        <f t="shared" si="1044"/>
        <v>1</v>
      </c>
      <c r="DE88" s="375">
        <f t="shared" si="1044"/>
        <v>1</v>
      </c>
      <c r="DF88" s="375">
        <f t="shared" si="1044"/>
        <v>1</v>
      </c>
      <c r="DG88" s="375">
        <f t="shared" si="1044"/>
        <v>1</v>
      </c>
      <c r="DH88" s="375">
        <f t="shared" si="1044"/>
        <v>1</v>
      </c>
      <c r="DI88" s="375">
        <f t="shared" si="1044"/>
        <v>1</v>
      </c>
      <c r="DJ88" s="375">
        <f t="shared" si="1044"/>
        <v>1</v>
      </c>
      <c r="DK88" s="375">
        <f t="shared" si="1044"/>
        <v>1</v>
      </c>
      <c r="DL88" s="375">
        <f t="shared" si="1044"/>
        <v>1</v>
      </c>
      <c r="DM88" s="375">
        <f t="shared" si="1044"/>
        <v>1</v>
      </c>
      <c r="DN88" s="375">
        <f t="shared" si="1044"/>
        <v>1</v>
      </c>
      <c r="DO88" s="376">
        <f t="shared" ref="DO88:ED88" si="1045">ROUNDUP($V88*(DO87/100)/0.8,0)</f>
        <v>1</v>
      </c>
      <c r="DP88" s="375">
        <f t="shared" si="1045"/>
        <v>1</v>
      </c>
      <c r="DQ88" s="375">
        <f t="shared" si="1045"/>
        <v>1</v>
      </c>
      <c r="DR88" s="375">
        <f t="shared" si="1045"/>
        <v>1</v>
      </c>
      <c r="DS88" s="375">
        <f t="shared" si="1045"/>
        <v>1</v>
      </c>
      <c r="DT88" s="375">
        <f t="shared" si="1045"/>
        <v>1</v>
      </c>
      <c r="DU88" s="375">
        <f t="shared" si="1045"/>
        <v>1</v>
      </c>
      <c r="DV88" s="375">
        <f t="shared" si="1045"/>
        <v>1</v>
      </c>
      <c r="DW88" s="375">
        <f t="shared" si="1045"/>
        <v>1</v>
      </c>
      <c r="DX88" s="375">
        <f t="shared" si="1045"/>
        <v>1</v>
      </c>
      <c r="DY88" s="375">
        <f t="shared" si="1045"/>
        <v>1</v>
      </c>
      <c r="DZ88" s="375">
        <f t="shared" si="1045"/>
        <v>1</v>
      </c>
      <c r="EA88" s="376">
        <f t="shared" si="1045"/>
        <v>1</v>
      </c>
      <c r="EB88" s="375">
        <f t="shared" si="1045"/>
        <v>1</v>
      </c>
      <c r="EC88" s="375">
        <f t="shared" si="1045"/>
        <v>1</v>
      </c>
      <c r="ED88" s="377">
        <f t="shared" si="1045"/>
        <v>1</v>
      </c>
    </row>
    <row r="89" spans="1:134" ht="18.75" outlineLevel="1" x14ac:dyDescent="0.3">
      <c r="B89" s="81"/>
      <c r="C89" s="736"/>
      <c r="D89" s="715" t="s">
        <v>263</v>
      </c>
      <c r="E89" s="715"/>
      <c r="F89" s="715"/>
      <c r="G89" s="715"/>
      <c r="H89" s="715"/>
      <c r="I89" s="715"/>
      <c r="J89" s="715"/>
      <c r="K89" s="715"/>
      <c r="L89" s="186"/>
      <c r="M89" s="494">
        <f>N89*100</f>
        <v>0</v>
      </c>
      <c r="N89" s="568"/>
      <c r="O89" s="569"/>
      <c r="P89" s="569"/>
      <c r="Q89" s="183"/>
      <c r="R89" s="190">
        <f t="shared" si="981"/>
        <v>0</v>
      </c>
      <c r="S89" s="184">
        <f t="shared" si="968"/>
        <v>0</v>
      </c>
      <c r="T89" s="184"/>
      <c r="U89" s="181"/>
      <c r="V89" s="297"/>
      <c r="W89" s="378">
        <f t="shared" si="982"/>
        <v>0</v>
      </c>
      <c r="X89" s="379">
        <f t="shared" si="983"/>
        <v>0</v>
      </c>
      <c r="Y89" s="379">
        <f t="shared" si="983"/>
        <v>0</v>
      </c>
      <c r="Z89" s="379">
        <f t="shared" si="984"/>
        <v>0</v>
      </c>
      <c r="AA89" s="379">
        <f>Z89</f>
        <v>0</v>
      </c>
      <c r="AB89" s="379">
        <f>AA89</f>
        <v>0</v>
      </c>
      <c r="AC89" s="379">
        <f t="shared" si="985"/>
        <v>0</v>
      </c>
      <c r="AD89" s="379">
        <f>AC89</f>
        <v>0</v>
      </c>
      <c r="AE89" s="379">
        <f>AD89</f>
        <v>0</v>
      </c>
      <c r="AF89" s="379">
        <f>AE89</f>
        <v>0</v>
      </c>
      <c r="AG89" s="379">
        <f>AF89</f>
        <v>0</v>
      </c>
      <c r="AH89" s="379">
        <f>AG89</f>
        <v>0</v>
      </c>
      <c r="AI89" s="380">
        <f t="shared" ref="AI89:AT89" si="1046">(((AH89*(1+($B$36*$B$4)))-AH89)/12)+AH89</f>
        <v>0</v>
      </c>
      <c r="AJ89" s="379">
        <f t="shared" si="1046"/>
        <v>0</v>
      </c>
      <c r="AK89" s="379">
        <f t="shared" si="1046"/>
        <v>0</v>
      </c>
      <c r="AL89" s="379">
        <f t="shared" si="1046"/>
        <v>0</v>
      </c>
      <c r="AM89" s="379">
        <f t="shared" si="1046"/>
        <v>0</v>
      </c>
      <c r="AN89" s="379">
        <f t="shared" si="1046"/>
        <v>0</v>
      </c>
      <c r="AO89" s="379">
        <f t="shared" si="1046"/>
        <v>0</v>
      </c>
      <c r="AP89" s="379">
        <f t="shared" si="1046"/>
        <v>0</v>
      </c>
      <c r="AQ89" s="379">
        <f t="shared" si="1046"/>
        <v>0</v>
      </c>
      <c r="AR89" s="379">
        <f t="shared" si="1046"/>
        <v>0</v>
      </c>
      <c r="AS89" s="379">
        <f t="shared" si="1046"/>
        <v>0</v>
      </c>
      <c r="AT89" s="379">
        <f t="shared" si="1046"/>
        <v>0</v>
      </c>
      <c r="AU89" s="380">
        <f t="shared" ref="AU89:BF89" si="1047">(((AT89*(1+($B$37*$B$4)))-AT89)/12)+AT89</f>
        <v>0</v>
      </c>
      <c r="AV89" s="379">
        <f t="shared" si="1047"/>
        <v>0</v>
      </c>
      <c r="AW89" s="379">
        <f t="shared" si="1047"/>
        <v>0</v>
      </c>
      <c r="AX89" s="379">
        <f t="shared" si="1047"/>
        <v>0</v>
      </c>
      <c r="AY89" s="379">
        <f t="shared" si="1047"/>
        <v>0</v>
      </c>
      <c r="AZ89" s="379">
        <f t="shared" si="1047"/>
        <v>0</v>
      </c>
      <c r="BA89" s="379">
        <f t="shared" si="1047"/>
        <v>0</v>
      </c>
      <c r="BB89" s="379">
        <f t="shared" si="1047"/>
        <v>0</v>
      </c>
      <c r="BC89" s="379">
        <f t="shared" si="1047"/>
        <v>0</v>
      </c>
      <c r="BD89" s="379">
        <f t="shared" si="1047"/>
        <v>0</v>
      </c>
      <c r="BE89" s="379">
        <f t="shared" si="1047"/>
        <v>0</v>
      </c>
      <c r="BF89" s="379">
        <f t="shared" si="1047"/>
        <v>0</v>
      </c>
      <c r="BG89" s="380">
        <f t="shared" ref="BG89:BR89" si="1048">(((BF89*(1+($B$38*$B$4)))-BF89)/12)+BF89</f>
        <v>0</v>
      </c>
      <c r="BH89" s="379">
        <f t="shared" si="1048"/>
        <v>0</v>
      </c>
      <c r="BI89" s="379">
        <f t="shared" si="1048"/>
        <v>0</v>
      </c>
      <c r="BJ89" s="379">
        <f t="shared" si="1048"/>
        <v>0</v>
      </c>
      <c r="BK89" s="379">
        <f t="shared" si="1048"/>
        <v>0</v>
      </c>
      <c r="BL89" s="379">
        <f t="shared" si="1048"/>
        <v>0</v>
      </c>
      <c r="BM89" s="379">
        <f t="shared" si="1048"/>
        <v>0</v>
      </c>
      <c r="BN89" s="379">
        <f t="shared" si="1048"/>
        <v>0</v>
      </c>
      <c r="BO89" s="379">
        <f t="shared" si="1048"/>
        <v>0</v>
      </c>
      <c r="BP89" s="379">
        <f t="shared" si="1048"/>
        <v>0</v>
      </c>
      <c r="BQ89" s="379">
        <f t="shared" si="1048"/>
        <v>0</v>
      </c>
      <c r="BR89" s="379">
        <f t="shared" si="1048"/>
        <v>0</v>
      </c>
      <c r="BS89" s="380">
        <f t="shared" ref="BS89:CD89" si="1049">(((BR89*(1+($B$39*$B$4)))-BR89)/12)+BR89</f>
        <v>0</v>
      </c>
      <c r="BT89" s="379">
        <f t="shared" si="1049"/>
        <v>0</v>
      </c>
      <c r="BU89" s="379">
        <f t="shared" si="1049"/>
        <v>0</v>
      </c>
      <c r="BV89" s="379">
        <f t="shared" si="1049"/>
        <v>0</v>
      </c>
      <c r="BW89" s="379">
        <f t="shared" si="1049"/>
        <v>0</v>
      </c>
      <c r="BX89" s="379">
        <f t="shared" si="1049"/>
        <v>0</v>
      </c>
      <c r="BY89" s="379">
        <f t="shared" si="1049"/>
        <v>0</v>
      </c>
      <c r="BZ89" s="379">
        <f t="shared" si="1049"/>
        <v>0</v>
      </c>
      <c r="CA89" s="379">
        <f t="shared" si="1049"/>
        <v>0</v>
      </c>
      <c r="CB89" s="379">
        <f t="shared" si="1049"/>
        <v>0</v>
      </c>
      <c r="CC89" s="379">
        <f t="shared" si="1049"/>
        <v>0</v>
      </c>
      <c r="CD89" s="379">
        <f t="shared" si="1049"/>
        <v>0</v>
      </c>
      <c r="CE89" s="380">
        <f t="shared" ref="CE89:CP89" si="1050">(((CD89*(1+($B$40*$B$4)))-CD89)/12)+CD89</f>
        <v>0</v>
      </c>
      <c r="CF89" s="379">
        <f t="shared" si="1050"/>
        <v>0</v>
      </c>
      <c r="CG89" s="379">
        <f t="shared" si="1050"/>
        <v>0</v>
      </c>
      <c r="CH89" s="379">
        <f t="shared" si="1050"/>
        <v>0</v>
      </c>
      <c r="CI89" s="379">
        <f t="shared" si="1050"/>
        <v>0</v>
      </c>
      <c r="CJ89" s="379">
        <f t="shared" si="1050"/>
        <v>0</v>
      </c>
      <c r="CK89" s="379">
        <f t="shared" si="1050"/>
        <v>0</v>
      </c>
      <c r="CL89" s="379">
        <f t="shared" si="1050"/>
        <v>0</v>
      </c>
      <c r="CM89" s="379">
        <f t="shared" si="1050"/>
        <v>0</v>
      </c>
      <c r="CN89" s="379">
        <f t="shared" si="1050"/>
        <v>0</v>
      </c>
      <c r="CO89" s="379">
        <f t="shared" si="1050"/>
        <v>0</v>
      </c>
      <c r="CP89" s="379">
        <f t="shared" si="1050"/>
        <v>0</v>
      </c>
      <c r="CQ89" s="380">
        <f t="shared" ref="CQ89:DB89" si="1051">(((CP89*(1+($B$41*$B$4)))-CP89)/12)+CP89</f>
        <v>0</v>
      </c>
      <c r="CR89" s="379">
        <f t="shared" si="1051"/>
        <v>0</v>
      </c>
      <c r="CS89" s="379">
        <f t="shared" si="1051"/>
        <v>0</v>
      </c>
      <c r="CT89" s="379">
        <f t="shared" si="1051"/>
        <v>0</v>
      </c>
      <c r="CU89" s="379">
        <f t="shared" si="1051"/>
        <v>0</v>
      </c>
      <c r="CV89" s="379">
        <f t="shared" si="1051"/>
        <v>0</v>
      </c>
      <c r="CW89" s="379">
        <f t="shared" si="1051"/>
        <v>0</v>
      </c>
      <c r="CX89" s="379">
        <f t="shared" si="1051"/>
        <v>0</v>
      </c>
      <c r="CY89" s="379">
        <f t="shared" si="1051"/>
        <v>0</v>
      </c>
      <c r="CZ89" s="379">
        <f t="shared" si="1051"/>
        <v>0</v>
      </c>
      <c r="DA89" s="379">
        <f t="shared" si="1051"/>
        <v>0</v>
      </c>
      <c r="DB89" s="379">
        <f t="shared" si="1051"/>
        <v>0</v>
      </c>
      <c r="DC89" s="380">
        <f t="shared" ref="DC89:DN89" si="1052">(((DB89*(1+($B$42*$B$4)))-DB89)/12)+DB89</f>
        <v>0</v>
      </c>
      <c r="DD89" s="379">
        <f t="shared" si="1052"/>
        <v>0</v>
      </c>
      <c r="DE89" s="379">
        <f t="shared" si="1052"/>
        <v>0</v>
      </c>
      <c r="DF89" s="379">
        <f t="shared" si="1052"/>
        <v>0</v>
      </c>
      <c r="DG89" s="379">
        <f t="shared" si="1052"/>
        <v>0</v>
      </c>
      <c r="DH89" s="379">
        <f t="shared" si="1052"/>
        <v>0</v>
      </c>
      <c r="DI89" s="379">
        <f t="shared" si="1052"/>
        <v>0</v>
      </c>
      <c r="DJ89" s="379">
        <f t="shared" si="1052"/>
        <v>0</v>
      </c>
      <c r="DK89" s="379">
        <f t="shared" si="1052"/>
        <v>0</v>
      </c>
      <c r="DL89" s="379">
        <f t="shared" si="1052"/>
        <v>0</v>
      </c>
      <c r="DM89" s="379">
        <f t="shared" si="1052"/>
        <v>0</v>
      </c>
      <c r="DN89" s="379">
        <f t="shared" si="1052"/>
        <v>0</v>
      </c>
      <c r="DO89" s="380">
        <f t="shared" ref="DO89:DZ89" si="1053">(((DN89*(1+($B$43*$B$4)))-DN89)/12)+DN89</f>
        <v>0</v>
      </c>
      <c r="DP89" s="379">
        <f t="shared" si="1053"/>
        <v>0</v>
      </c>
      <c r="DQ89" s="379">
        <f t="shared" si="1053"/>
        <v>0</v>
      </c>
      <c r="DR89" s="379">
        <f t="shared" si="1053"/>
        <v>0</v>
      </c>
      <c r="DS89" s="379">
        <f t="shared" si="1053"/>
        <v>0</v>
      </c>
      <c r="DT89" s="379">
        <f t="shared" si="1053"/>
        <v>0</v>
      </c>
      <c r="DU89" s="379">
        <f t="shared" si="1053"/>
        <v>0</v>
      </c>
      <c r="DV89" s="379">
        <f t="shared" si="1053"/>
        <v>0</v>
      </c>
      <c r="DW89" s="379">
        <f t="shared" si="1053"/>
        <v>0</v>
      </c>
      <c r="DX89" s="379">
        <f t="shared" si="1053"/>
        <v>0</v>
      </c>
      <c r="DY89" s="379">
        <f t="shared" si="1053"/>
        <v>0</v>
      </c>
      <c r="DZ89" s="379">
        <f t="shared" si="1053"/>
        <v>0</v>
      </c>
      <c r="EA89" s="380">
        <f>(((DZ89*(1+($B$44*$B$4)))-DZ89)/12)+DZ89</f>
        <v>0</v>
      </c>
      <c r="EB89" s="379">
        <f>(((EA89*(1+($B$44*$B$4)))-EA89)/12)+EA89</f>
        <v>0</v>
      </c>
      <c r="EC89" s="379">
        <f>(((EB89*(1+($B$44*$B$4)))-EB89)/12)+EB89</f>
        <v>0</v>
      </c>
      <c r="ED89" s="381">
        <f>(((EC89*(1+($B$44*$B$4)))-EC89)/12)+EC89</f>
        <v>0</v>
      </c>
    </row>
    <row r="90" spans="1:134" ht="18.75" outlineLevel="1" x14ac:dyDescent="0.3">
      <c r="B90" s="81"/>
      <c r="C90" s="736"/>
      <c r="D90" s="716"/>
      <c r="E90" s="716"/>
      <c r="F90" s="716"/>
      <c r="G90" s="716"/>
      <c r="H90" s="716"/>
      <c r="I90" s="716"/>
      <c r="J90" s="716"/>
      <c r="K90" s="716"/>
      <c r="L90" s="187"/>
      <c r="M90" s="179"/>
      <c r="N90" s="570"/>
      <c r="O90" s="571"/>
      <c r="P90" s="571"/>
      <c r="Q90" s="180"/>
      <c r="R90" s="191"/>
      <c r="S90" s="185"/>
      <c r="T90" s="185"/>
      <c r="U90" s="179"/>
      <c r="V90" s="277">
        <v>1</v>
      </c>
      <c r="W90" s="372">
        <f t="shared" ref="W90:BB90" si="1054">ROUNDUP($V90*(W89/100)/0.8,0)</f>
        <v>0</v>
      </c>
      <c r="X90" s="176">
        <f t="shared" si="1054"/>
        <v>0</v>
      </c>
      <c r="Y90" s="176">
        <f t="shared" si="1054"/>
        <v>0</v>
      </c>
      <c r="Z90" s="176">
        <f t="shared" si="1054"/>
        <v>0</v>
      </c>
      <c r="AA90" s="176">
        <f t="shared" si="1054"/>
        <v>0</v>
      </c>
      <c r="AB90" s="176">
        <f t="shared" si="1054"/>
        <v>0</v>
      </c>
      <c r="AC90" s="176">
        <f t="shared" si="1054"/>
        <v>0</v>
      </c>
      <c r="AD90" s="176">
        <f t="shared" si="1054"/>
        <v>0</v>
      </c>
      <c r="AE90" s="176">
        <f t="shared" si="1054"/>
        <v>0</v>
      </c>
      <c r="AF90" s="176">
        <f t="shared" si="1054"/>
        <v>0</v>
      </c>
      <c r="AG90" s="176">
        <f t="shared" si="1054"/>
        <v>0</v>
      </c>
      <c r="AH90" s="176">
        <f t="shared" si="1054"/>
        <v>0</v>
      </c>
      <c r="AI90" s="367">
        <f t="shared" si="1054"/>
        <v>0</v>
      </c>
      <c r="AJ90" s="176">
        <f t="shared" si="1054"/>
        <v>0</v>
      </c>
      <c r="AK90" s="176">
        <f t="shared" si="1054"/>
        <v>0</v>
      </c>
      <c r="AL90" s="176">
        <f t="shared" si="1054"/>
        <v>0</v>
      </c>
      <c r="AM90" s="176">
        <f t="shared" si="1054"/>
        <v>0</v>
      </c>
      <c r="AN90" s="176">
        <f t="shared" si="1054"/>
        <v>0</v>
      </c>
      <c r="AO90" s="176">
        <f t="shared" si="1054"/>
        <v>0</v>
      </c>
      <c r="AP90" s="176">
        <f t="shared" si="1054"/>
        <v>0</v>
      </c>
      <c r="AQ90" s="176">
        <f t="shared" si="1054"/>
        <v>0</v>
      </c>
      <c r="AR90" s="176">
        <f t="shared" si="1054"/>
        <v>0</v>
      </c>
      <c r="AS90" s="176">
        <f t="shared" si="1054"/>
        <v>0</v>
      </c>
      <c r="AT90" s="176">
        <f t="shared" si="1054"/>
        <v>0</v>
      </c>
      <c r="AU90" s="367">
        <f t="shared" si="1054"/>
        <v>0</v>
      </c>
      <c r="AV90" s="176">
        <f t="shared" si="1054"/>
        <v>0</v>
      </c>
      <c r="AW90" s="176">
        <f t="shared" si="1054"/>
        <v>0</v>
      </c>
      <c r="AX90" s="176">
        <f t="shared" si="1054"/>
        <v>0</v>
      </c>
      <c r="AY90" s="176">
        <f t="shared" si="1054"/>
        <v>0</v>
      </c>
      <c r="AZ90" s="176">
        <f t="shared" si="1054"/>
        <v>0</v>
      </c>
      <c r="BA90" s="176">
        <f t="shared" si="1054"/>
        <v>0</v>
      </c>
      <c r="BB90" s="176">
        <f t="shared" si="1054"/>
        <v>0</v>
      </c>
      <c r="BC90" s="176">
        <f t="shared" ref="BC90:CH90" si="1055">ROUNDUP($V90*(BC89/100)/0.8,0)</f>
        <v>0</v>
      </c>
      <c r="BD90" s="176">
        <f t="shared" si="1055"/>
        <v>0</v>
      </c>
      <c r="BE90" s="176">
        <f t="shared" si="1055"/>
        <v>0</v>
      </c>
      <c r="BF90" s="176">
        <f t="shared" si="1055"/>
        <v>0</v>
      </c>
      <c r="BG90" s="367">
        <f t="shared" si="1055"/>
        <v>0</v>
      </c>
      <c r="BH90" s="176">
        <f t="shared" si="1055"/>
        <v>0</v>
      </c>
      <c r="BI90" s="176">
        <f t="shared" si="1055"/>
        <v>0</v>
      </c>
      <c r="BJ90" s="176">
        <f t="shared" si="1055"/>
        <v>0</v>
      </c>
      <c r="BK90" s="176">
        <f t="shared" si="1055"/>
        <v>0</v>
      </c>
      <c r="BL90" s="176">
        <f t="shared" si="1055"/>
        <v>0</v>
      </c>
      <c r="BM90" s="176">
        <f t="shared" si="1055"/>
        <v>0</v>
      </c>
      <c r="BN90" s="176">
        <f t="shared" si="1055"/>
        <v>0</v>
      </c>
      <c r="BO90" s="176">
        <f t="shared" si="1055"/>
        <v>0</v>
      </c>
      <c r="BP90" s="176">
        <f t="shared" si="1055"/>
        <v>0</v>
      </c>
      <c r="BQ90" s="176">
        <f t="shared" si="1055"/>
        <v>0</v>
      </c>
      <c r="BR90" s="176">
        <f t="shared" si="1055"/>
        <v>0</v>
      </c>
      <c r="BS90" s="367">
        <f t="shared" si="1055"/>
        <v>0</v>
      </c>
      <c r="BT90" s="176">
        <f t="shared" si="1055"/>
        <v>0</v>
      </c>
      <c r="BU90" s="176">
        <f t="shared" si="1055"/>
        <v>0</v>
      </c>
      <c r="BV90" s="176">
        <f t="shared" si="1055"/>
        <v>0</v>
      </c>
      <c r="BW90" s="176">
        <f t="shared" si="1055"/>
        <v>0</v>
      </c>
      <c r="BX90" s="176">
        <f t="shared" si="1055"/>
        <v>0</v>
      </c>
      <c r="BY90" s="176">
        <f t="shared" si="1055"/>
        <v>0</v>
      </c>
      <c r="BZ90" s="176">
        <f t="shared" si="1055"/>
        <v>0</v>
      </c>
      <c r="CA90" s="176">
        <f t="shared" si="1055"/>
        <v>0</v>
      </c>
      <c r="CB90" s="176">
        <f t="shared" si="1055"/>
        <v>0</v>
      </c>
      <c r="CC90" s="176">
        <f t="shared" si="1055"/>
        <v>0</v>
      </c>
      <c r="CD90" s="176">
        <f t="shared" si="1055"/>
        <v>0</v>
      </c>
      <c r="CE90" s="367">
        <f t="shared" si="1055"/>
        <v>0</v>
      </c>
      <c r="CF90" s="176">
        <f t="shared" si="1055"/>
        <v>0</v>
      </c>
      <c r="CG90" s="176">
        <f t="shared" si="1055"/>
        <v>0</v>
      </c>
      <c r="CH90" s="176">
        <f t="shared" si="1055"/>
        <v>0</v>
      </c>
      <c r="CI90" s="176">
        <f t="shared" ref="CI90:DN90" si="1056">ROUNDUP($V90*(CI89/100)/0.8,0)</f>
        <v>0</v>
      </c>
      <c r="CJ90" s="176">
        <f t="shared" si="1056"/>
        <v>0</v>
      </c>
      <c r="CK90" s="176">
        <f t="shared" si="1056"/>
        <v>0</v>
      </c>
      <c r="CL90" s="176">
        <f t="shared" si="1056"/>
        <v>0</v>
      </c>
      <c r="CM90" s="176">
        <f t="shared" si="1056"/>
        <v>0</v>
      </c>
      <c r="CN90" s="176">
        <f t="shared" si="1056"/>
        <v>0</v>
      </c>
      <c r="CO90" s="176">
        <f t="shared" si="1056"/>
        <v>0</v>
      </c>
      <c r="CP90" s="176">
        <f t="shared" si="1056"/>
        <v>0</v>
      </c>
      <c r="CQ90" s="367">
        <f t="shared" si="1056"/>
        <v>0</v>
      </c>
      <c r="CR90" s="176">
        <f t="shared" si="1056"/>
        <v>0</v>
      </c>
      <c r="CS90" s="176">
        <f t="shared" si="1056"/>
        <v>0</v>
      </c>
      <c r="CT90" s="176">
        <f t="shared" si="1056"/>
        <v>0</v>
      </c>
      <c r="CU90" s="176">
        <f t="shared" si="1056"/>
        <v>0</v>
      </c>
      <c r="CV90" s="176">
        <f t="shared" si="1056"/>
        <v>0</v>
      </c>
      <c r="CW90" s="176">
        <f t="shared" si="1056"/>
        <v>0</v>
      </c>
      <c r="CX90" s="176">
        <f t="shared" si="1056"/>
        <v>0</v>
      </c>
      <c r="CY90" s="176">
        <f t="shared" si="1056"/>
        <v>0</v>
      </c>
      <c r="CZ90" s="176">
        <f t="shared" si="1056"/>
        <v>0</v>
      </c>
      <c r="DA90" s="176">
        <f t="shared" si="1056"/>
        <v>0</v>
      </c>
      <c r="DB90" s="176">
        <f t="shared" si="1056"/>
        <v>0</v>
      </c>
      <c r="DC90" s="367">
        <f t="shared" si="1056"/>
        <v>0</v>
      </c>
      <c r="DD90" s="176">
        <f t="shared" si="1056"/>
        <v>0</v>
      </c>
      <c r="DE90" s="176">
        <f t="shared" si="1056"/>
        <v>0</v>
      </c>
      <c r="DF90" s="176">
        <f t="shared" si="1056"/>
        <v>0</v>
      </c>
      <c r="DG90" s="176">
        <f t="shared" si="1056"/>
        <v>0</v>
      </c>
      <c r="DH90" s="176">
        <f t="shared" si="1056"/>
        <v>0</v>
      </c>
      <c r="DI90" s="176">
        <f t="shared" si="1056"/>
        <v>0</v>
      </c>
      <c r="DJ90" s="176">
        <f t="shared" si="1056"/>
        <v>0</v>
      </c>
      <c r="DK90" s="176">
        <f t="shared" si="1056"/>
        <v>0</v>
      </c>
      <c r="DL90" s="176">
        <f t="shared" si="1056"/>
        <v>0</v>
      </c>
      <c r="DM90" s="176">
        <f t="shared" si="1056"/>
        <v>0</v>
      </c>
      <c r="DN90" s="176">
        <f t="shared" si="1056"/>
        <v>0</v>
      </c>
      <c r="DO90" s="367">
        <f t="shared" ref="DO90:ED90" si="1057">ROUNDUP($V90*(DO89/100)/0.8,0)</f>
        <v>0</v>
      </c>
      <c r="DP90" s="176">
        <f t="shared" si="1057"/>
        <v>0</v>
      </c>
      <c r="DQ90" s="176">
        <f t="shared" si="1057"/>
        <v>0</v>
      </c>
      <c r="DR90" s="176">
        <f t="shared" si="1057"/>
        <v>0</v>
      </c>
      <c r="DS90" s="176">
        <f t="shared" si="1057"/>
        <v>0</v>
      </c>
      <c r="DT90" s="176">
        <f t="shared" si="1057"/>
        <v>0</v>
      </c>
      <c r="DU90" s="176">
        <f t="shared" si="1057"/>
        <v>0</v>
      </c>
      <c r="DV90" s="176">
        <f t="shared" si="1057"/>
        <v>0</v>
      </c>
      <c r="DW90" s="176">
        <f t="shared" si="1057"/>
        <v>0</v>
      </c>
      <c r="DX90" s="176">
        <f t="shared" si="1057"/>
        <v>0</v>
      </c>
      <c r="DY90" s="176">
        <f t="shared" si="1057"/>
        <v>0</v>
      </c>
      <c r="DZ90" s="176">
        <f t="shared" si="1057"/>
        <v>0</v>
      </c>
      <c r="EA90" s="367">
        <f t="shared" si="1057"/>
        <v>0</v>
      </c>
      <c r="EB90" s="176">
        <f t="shared" si="1057"/>
        <v>0</v>
      </c>
      <c r="EC90" s="176">
        <f t="shared" si="1057"/>
        <v>0</v>
      </c>
      <c r="ED90" s="373">
        <f t="shared" si="1057"/>
        <v>0</v>
      </c>
    </row>
    <row r="91" spans="1:134" ht="18.75" outlineLevel="1" x14ac:dyDescent="0.3">
      <c r="B91" s="81"/>
      <c r="C91" s="736"/>
      <c r="D91" s="717" t="s">
        <v>264</v>
      </c>
      <c r="E91" s="717"/>
      <c r="F91" s="717"/>
      <c r="G91" s="717"/>
      <c r="H91" s="717"/>
      <c r="I91" s="717"/>
      <c r="J91" s="717"/>
      <c r="K91" s="717"/>
      <c r="L91" s="188"/>
      <c r="M91" s="494">
        <f>N91*100</f>
        <v>0</v>
      </c>
      <c r="N91" s="572"/>
      <c r="O91" s="573"/>
      <c r="P91" s="573"/>
      <c r="Q91" s="177"/>
      <c r="R91" s="192">
        <f t="shared" si="981"/>
        <v>0</v>
      </c>
      <c r="S91" s="178">
        <f t="shared" si="968"/>
        <v>0</v>
      </c>
      <c r="T91" s="178"/>
      <c r="U91" s="176"/>
      <c r="V91" s="298"/>
      <c r="W91" s="368">
        <f t="shared" si="982"/>
        <v>0</v>
      </c>
      <c r="X91" s="369">
        <f t="shared" si="983"/>
        <v>0</v>
      </c>
      <c r="Y91" s="369">
        <f t="shared" si="983"/>
        <v>0</v>
      </c>
      <c r="Z91" s="369">
        <f t="shared" si="984"/>
        <v>0</v>
      </c>
      <c r="AA91" s="369">
        <f>Z91</f>
        <v>0</v>
      </c>
      <c r="AB91" s="369">
        <f>AA91</f>
        <v>0</v>
      </c>
      <c r="AC91" s="369">
        <f t="shared" si="985"/>
        <v>0</v>
      </c>
      <c r="AD91" s="369">
        <f>AC91</f>
        <v>0</v>
      </c>
      <c r="AE91" s="369">
        <f>AD91</f>
        <v>0</v>
      </c>
      <c r="AF91" s="369">
        <f>AE91</f>
        <v>0</v>
      </c>
      <c r="AG91" s="369">
        <f>AF91</f>
        <v>0</v>
      </c>
      <c r="AH91" s="369">
        <f>AG91</f>
        <v>0</v>
      </c>
      <c r="AI91" s="370">
        <f t="shared" ref="AI91:AT91" si="1058">(((AH91*(1+($B$36*$B$4)))-AH91)/12)+AH91</f>
        <v>0</v>
      </c>
      <c r="AJ91" s="369">
        <f t="shared" si="1058"/>
        <v>0</v>
      </c>
      <c r="AK91" s="369">
        <f t="shared" si="1058"/>
        <v>0</v>
      </c>
      <c r="AL91" s="369">
        <f t="shared" si="1058"/>
        <v>0</v>
      </c>
      <c r="AM91" s="369">
        <f t="shared" si="1058"/>
        <v>0</v>
      </c>
      <c r="AN91" s="369">
        <f t="shared" si="1058"/>
        <v>0</v>
      </c>
      <c r="AO91" s="369">
        <f t="shared" si="1058"/>
        <v>0</v>
      </c>
      <c r="AP91" s="369">
        <f t="shared" si="1058"/>
        <v>0</v>
      </c>
      <c r="AQ91" s="369">
        <f t="shared" si="1058"/>
        <v>0</v>
      </c>
      <c r="AR91" s="369">
        <f t="shared" si="1058"/>
        <v>0</v>
      </c>
      <c r="AS91" s="369">
        <f t="shared" si="1058"/>
        <v>0</v>
      </c>
      <c r="AT91" s="369">
        <f t="shared" si="1058"/>
        <v>0</v>
      </c>
      <c r="AU91" s="370">
        <f t="shared" ref="AU91:BF91" si="1059">(((AT91*(1+($B$37*$B$4)))-AT91)/12)+AT91</f>
        <v>0</v>
      </c>
      <c r="AV91" s="369">
        <f t="shared" si="1059"/>
        <v>0</v>
      </c>
      <c r="AW91" s="369">
        <f t="shared" si="1059"/>
        <v>0</v>
      </c>
      <c r="AX91" s="369">
        <f t="shared" si="1059"/>
        <v>0</v>
      </c>
      <c r="AY91" s="369">
        <f t="shared" si="1059"/>
        <v>0</v>
      </c>
      <c r="AZ91" s="369">
        <f t="shared" si="1059"/>
        <v>0</v>
      </c>
      <c r="BA91" s="369">
        <f t="shared" si="1059"/>
        <v>0</v>
      </c>
      <c r="BB91" s="369">
        <f t="shared" si="1059"/>
        <v>0</v>
      </c>
      <c r="BC91" s="369">
        <f t="shared" si="1059"/>
        <v>0</v>
      </c>
      <c r="BD91" s="369">
        <f t="shared" si="1059"/>
        <v>0</v>
      </c>
      <c r="BE91" s="369">
        <f t="shared" si="1059"/>
        <v>0</v>
      </c>
      <c r="BF91" s="369">
        <f t="shared" si="1059"/>
        <v>0</v>
      </c>
      <c r="BG91" s="370">
        <f t="shared" ref="BG91:BR91" si="1060">(((BF91*(1+($B$38*$B$4)))-BF91)/12)+BF91</f>
        <v>0</v>
      </c>
      <c r="BH91" s="369">
        <f t="shared" si="1060"/>
        <v>0</v>
      </c>
      <c r="BI91" s="369">
        <f t="shared" si="1060"/>
        <v>0</v>
      </c>
      <c r="BJ91" s="369">
        <f t="shared" si="1060"/>
        <v>0</v>
      </c>
      <c r="BK91" s="369">
        <f t="shared" si="1060"/>
        <v>0</v>
      </c>
      <c r="BL91" s="369">
        <f t="shared" si="1060"/>
        <v>0</v>
      </c>
      <c r="BM91" s="369">
        <f t="shared" si="1060"/>
        <v>0</v>
      </c>
      <c r="BN91" s="369">
        <f t="shared" si="1060"/>
        <v>0</v>
      </c>
      <c r="BO91" s="369">
        <f t="shared" si="1060"/>
        <v>0</v>
      </c>
      <c r="BP91" s="369">
        <f t="shared" si="1060"/>
        <v>0</v>
      </c>
      <c r="BQ91" s="369">
        <f t="shared" si="1060"/>
        <v>0</v>
      </c>
      <c r="BR91" s="369">
        <f t="shared" si="1060"/>
        <v>0</v>
      </c>
      <c r="BS91" s="370">
        <f t="shared" ref="BS91:CD91" si="1061">(((BR91*(1+($B$39*$B$4)))-BR91)/12)+BR91</f>
        <v>0</v>
      </c>
      <c r="BT91" s="369">
        <f t="shared" si="1061"/>
        <v>0</v>
      </c>
      <c r="BU91" s="369">
        <f t="shared" si="1061"/>
        <v>0</v>
      </c>
      <c r="BV91" s="369">
        <f t="shared" si="1061"/>
        <v>0</v>
      </c>
      <c r="BW91" s="369">
        <f t="shared" si="1061"/>
        <v>0</v>
      </c>
      <c r="BX91" s="369">
        <f t="shared" si="1061"/>
        <v>0</v>
      </c>
      <c r="BY91" s="369">
        <f t="shared" si="1061"/>
        <v>0</v>
      </c>
      <c r="BZ91" s="369">
        <f t="shared" si="1061"/>
        <v>0</v>
      </c>
      <c r="CA91" s="369">
        <f t="shared" si="1061"/>
        <v>0</v>
      </c>
      <c r="CB91" s="369">
        <f t="shared" si="1061"/>
        <v>0</v>
      </c>
      <c r="CC91" s="369">
        <f t="shared" si="1061"/>
        <v>0</v>
      </c>
      <c r="CD91" s="369">
        <f t="shared" si="1061"/>
        <v>0</v>
      </c>
      <c r="CE91" s="370">
        <f t="shared" ref="CE91:CP91" si="1062">(((CD91*(1+($B$40*$B$4)))-CD91)/12)+CD91</f>
        <v>0</v>
      </c>
      <c r="CF91" s="369">
        <f t="shared" si="1062"/>
        <v>0</v>
      </c>
      <c r="CG91" s="369">
        <f t="shared" si="1062"/>
        <v>0</v>
      </c>
      <c r="CH91" s="369">
        <f t="shared" si="1062"/>
        <v>0</v>
      </c>
      <c r="CI91" s="369">
        <f t="shared" si="1062"/>
        <v>0</v>
      </c>
      <c r="CJ91" s="369">
        <f t="shared" si="1062"/>
        <v>0</v>
      </c>
      <c r="CK91" s="369">
        <f t="shared" si="1062"/>
        <v>0</v>
      </c>
      <c r="CL91" s="369">
        <f t="shared" si="1062"/>
        <v>0</v>
      </c>
      <c r="CM91" s="369">
        <f t="shared" si="1062"/>
        <v>0</v>
      </c>
      <c r="CN91" s="369">
        <f t="shared" si="1062"/>
        <v>0</v>
      </c>
      <c r="CO91" s="369">
        <f t="shared" si="1062"/>
        <v>0</v>
      </c>
      <c r="CP91" s="369">
        <f t="shared" si="1062"/>
        <v>0</v>
      </c>
      <c r="CQ91" s="370">
        <f t="shared" ref="CQ91:DB91" si="1063">(((CP91*(1+($B$41*$B$4)))-CP91)/12)+CP91</f>
        <v>0</v>
      </c>
      <c r="CR91" s="369">
        <f t="shared" si="1063"/>
        <v>0</v>
      </c>
      <c r="CS91" s="369">
        <f t="shared" si="1063"/>
        <v>0</v>
      </c>
      <c r="CT91" s="369">
        <f t="shared" si="1063"/>
        <v>0</v>
      </c>
      <c r="CU91" s="369">
        <f t="shared" si="1063"/>
        <v>0</v>
      </c>
      <c r="CV91" s="369">
        <f t="shared" si="1063"/>
        <v>0</v>
      </c>
      <c r="CW91" s="369">
        <f t="shared" si="1063"/>
        <v>0</v>
      </c>
      <c r="CX91" s="369">
        <f t="shared" si="1063"/>
        <v>0</v>
      </c>
      <c r="CY91" s="369">
        <f t="shared" si="1063"/>
        <v>0</v>
      </c>
      <c r="CZ91" s="369">
        <f t="shared" si="1063"/>
        <v>0</v>
      </c>
      <c r="DA91" s="369">
        <f t="shared" si="1063"/>
        <v>0</v>
      </c>
      <c r="DB91" s="369">
        <f t="shared" si="1063"/>
        <v>0</v>
      </c>
      <c r="DC91" s="370">
        <f t="shared" ref="DC91:DN91" si="1064">(((DB91*(1+($B$42*$B$4)))-DB91)/12)+DB91</f>
        <v>0</v>
      </c>
      <c r="DD91" s="369">
        <f t="shared" si="1064"/>
        <v>0</v>
      </c>
      <c r="DE91" s="369">
        <f t="shared" si="1064"/>
        <v>0</v>
      </c>
      <c r="DF91" s="369">
        <f t="shared" si="1064"/>
        <v>0</v>
      </c>
      <c r="DG91" s="369">
        <f t="shared" si="1064"/>
        <v>0</v>
      </c>
      <c r="DH91" s="369">
        <f t="shared" si="1064"/>
        <v>0</v>
      </c>
      <c r="DI91" s="369">
        <f t="shared" si="1064"/>
        <v>0</v>
      </c>
      <c r="DJ91" s="369">
        <f t="shared" si="1064"/>
        <v>0</v>
      </c>
      <c r="DK91" s="369">
        <f t="shared" si="1064"/>
        <v>0</v>
      </c>
      <c r="DL91" s="369">
        <f t="shared" si="1064"/>
        <v>0</v>
      </c>
      <c r="DM91" s="369">
        <f t="shared" si="1064"/>
        <v>0</v>
      </c>
      <c r="DN91" s="369">
        <f t="shared" si="1064"/>
        <v>0</v>
      </c>
      <c r="DO91" s="370">
        <f t="shared" ref="DO91:DZ91" si="1065">(((DN91*(1+($B$43*$B$4)))-DN91)/12)+DN91</f>
        <v>0</v>
      </c>
      <c r="DP91" s="369">
        <f t="shared" si="1065"/>
        <v>0</v>
      </c>
      <c r="DQ91" s="369">
        <f t="shared" si="1065"/>
        <v>0</v>
      </c>
      <c r="DR91" s="369">
        <f t="shared" si="1065"/>
        <v>0</v>
      </c>
      <c r="DS91" s="369">
        <f t="shared" si="1065"/>
        <v>0</v>
      </c>
      <c r="DT91" s="369">
        <f t="shared" si="1065"/>
        <v>0</v>
      </c>
      <c r="DU91" s="369">
        <f t="shared" si="1065"/>
        <v>0</v>
      </c>
      <c r="DV91" s="369">
        <f t="shared" si="1065"/>
        <v>0</v>
      </c>
      <c r="DW91" s="369">
        <f t="shared" si="1065"/>
        <v>0</v>
      </c>
      <c r="DX91" s="369">
        <f t="shared" si="1065"/>
        <v>0</v>
      </c>
      <c r="DY91" s="369">
        <f t="shared" si="1065"/>
        <v>0</v>
      </c>
      <c r="DZ91" s="369">
        <f t="shared" si="1065"/>
        <v>0</v>
      </c>
      <c r="EA91" s="370">
        <f>(((DZ91*(1+($B$44*$B$4)))-DZ91)/12)+DZ91</f>
        <v>0</v>
      </c>
      <c r="EB91" s="369">
        <f>(((EA91*(1+($B$44*$B$4)))-EA91)/12)+EA91</f>
        <v>0</v>
      </c>
      <c r="EC91" s="369">
        <f>(((EB91*(1+($B$44*$B$4)))-EB91)/12)+EB91</f>
        <v>0</v>
      </c>
      <c r="ED91" s="371">
        <f>(((EC91*(1+($B$44*$B$4)))-EC91)/12)+EC91</f>
        <v>0</v>
      </c>
    </row>
    <row r="92" spans="1:134" ht="18.75" outlineLevel="1" x14ac:dyDescent="0.3">
      <c r="B92" s="81"/>
      <c r="C92" s="736"/>
      <c r="D92" s="717"/>
      <c r="E92" s="717"/>
      <c r="F92" s="717"/>
      <c r="G92" s="717"/>
      <c r="H92" s="717"/>
      <c r="I92" s="717"/>
      <c r="J92" s="717"/>
      <c r="K92" s="717"/>
      <c r="L92" s="188"/>
      <c r="M92" s="176"/>
      <c r="N92" s="572"/>
      <c r="O92" s="573"/>
      <c r="P92" s="573"/>
      <c r="Q92" s="177"/>
      <c r="R92" s="192"/>
      <c r="S92" s="178"/>
      <c r="T92" s="178"/>
      <c r="U92" s="176"/>
      <c r="V92" s="70">
        <v>1</v>
      </c>
      <c r="W92" s="374">
        <f t="shared" ref="W92:BB92" si="1066">ROUNDUP($V92*(W91/100)/0.8,0)</f>
        <v>0</v>
      </c>
      <c r="X92" s="375">
        <f t="shared" si="1066"/>
        <v>0</v>
      </c>
      <c r="Y92" s="375">
        <f t="shared" si="1066"/>
        <v>0</v>
      </c>
      <c r="Z92" s="375">
        <f t="shared" si="1066"/>
        <v>0</v>
      </c>
      <c r="AA92" s="375">
        <f t="shared" si="1066"/>
        <v>0</v>
      </c>
      <c r="AB92" s="375">
        <f t="shared" si="1066"/>
        <v>0</v>
      </c>
      <c r="AC92" s="375">
        <f t="shared" si="1066"/>
        <v>0</v>
      </c>
      <c r="AD92" s="375">
        <f t="shared" si="1066"/>
        <v>0</v>
      </c>
      <c r="AE92" s="375">
        <f t="shared" si="1066"/>
        <v>0</v>
      </c>
      <c r="AF92" s="375">
        <f t="shared" si="1066"/>
        <v>0</v>
      </c>
      <c r="AG92" s="375">
        <f t="shared" si="1066"/>
        <v>0</v>
      </c>
      <c r="AH92" s="375">
        <f t="shared" si="1066"/>
        <v>0</v>
      </c>
      <c r="AI92" s="376">
        <f t="shared" si="1066"/>
        <v>0</v>
      </c>
      <c r="AJ92" s="375">
        <f t="shared" si="1066"/>
        <v>0</v>
      </c>
      <c r="AK92" s="375">
        <f t="shared" si="1066"/>
        <v>0</v>
      </c>
      <c r="AL92" s="375">
        <f t="shared" si="1066"/>
        <v>0</v>
      </c>
      <c r="AM92" s="375">
        <f t="shared" si="1066"/>
        <v>0</v>
      </c>
      <c r="AN92" s="375">
        <f t="shared" si="1066"/>
        <v>0</v>
      </c>
      <c r="AO92" s="375">
        <f t="shared" si="1066"/>
        <v>0</v>
      </c>
      <c r="AP92" s="375">
        <f t="shared" si="1066"/>
        <v>0</v>
      </c>
      <c r="AQ92" s="375">
        <f t="shared" si="1066"/>
        <v>0</v>
      </c>
      <c r="AR92" s="375">
        <f t="shared" si="1066"/>
        <v>0</v>
      </c>
      <c r="AS92" s="375">
        <f t="shared" si="1066"/>
        <v>0</v>
      </c>
      <c r="AT92" s="375">
        <f t="shared" si="1066"/>
        <v>0</v>
      </c>
      <c r="AU92" s="376">
        <f t="shared" si="1066"/>
        <v>0</v>
      </c>
      <c r="AV92" s="375">
        <f t="shared" si="1066"/>
        <v>0</v>
      </c>
      <c r="AW92" s="375">
        <f t="shared" si="1066"/>
        <v>0</v>
      </c>
      <c r="AX92" s="375">
        <f t="shared" si="1066"/>
        <v>0</v>
      </c>
      <c r="AY92" s="375">
        <f t="shared" si="1066"/>
        <v>0</v>
      </c>
      <c r="AZ92" s="375">
        <f t="shared" si="1066"/>
        <v>0</v>
      </c>
      <c r="BA92" s="375">
        <f t="shared" si="1066"/>
        <v>0</v>
      </c>
      <c r="BB92" s="375">
        <f t="shared" si="1066"/>
        <v>0</v>
      </c>
      <c r="BC92" s="375">
        <f t="shared" ref="BC92:CH92" si="1067">ROUNDUP($V92*(BC91/100)/0.8,0)</f>
        <v>0</v>
      </c>
      <c r="BD92" s="375">
        <f t="shared" si="1067"/>
        <v>0</v>
      </c>
      <c r="BE92" s="375">
        <f t="shared" si="1067"/>
        <v>0</v>
      </c>
      <c r="BF92" s="375">
        <f t="shared" si="1067"/>
        <v>0</v>
      </c>
      <c r="BG92" s="376">
        <f t="shared" si="1067"/>
        <v>0</v>
      </c>
      <c r="BH92" s="375">
        <f t="shared" si="1067"/>
        <v>0</v>
      </c>
      <c r="BI92" s="375">
        <f t="shared" si="1067"/>
        <v>0</v>
      </c>
      <c r="BJ92" s="375">
        <f t="shared" si="1067"/>
        <v>0</v>
      </c>
      <c r="BK92" s="375">
        <f t="shared" si="1067"/>
        <v>0</v>
      </c>
      <c r="BL92" s="375">
        <f t="shared" si="1067"/>
        <v>0</v>
      </c>
      <c r="BM92" s="375">
        <f t="shared" si="1067"/>
        <v>0</v>
      </c>
      <c r="BN92" s="375">
        <f t="shared" si="1067"/>
        <v>0</v>
      </c>
      <c r="BO92" s="375">
        <f t="shared" si="1067"/>
        <v>0</v>
      </c>
      <c r="BP92" s="375">
        <f t="shared" si="1067"/>
        <v>0</v>
      </c>
      <c r="BQ92" s="375">
        <f t="shared" si="1067"/>
        <v>0</v>
      </c>
      <c r="BR92" s="375">
        <f t="shared" si="1067"/>
        <v>0</v>
      </c>
      <c r="BS92" s="376">
        <f t="shared" si="1067"/>
        <v>0</v>
      </c>
      <c r="BT92" s="375">
        <f t="shared" si="1067"/>
        <v>0</v>
      </c>
      <c r="BU92" s="375">
        <f t="shared" si="1067"/>
        <v>0</v>
      </c>
      <c r="BV92" s="375">
        <f t="shared" si="1067"/>
        <v>0</v>
      </c>
      <c r="BW92" s="375">
        <f t="shared" si="1067"/>
        <v>0</v>
      </c>
      <c r="BX92" s="375">
        <f t="shared" si="1067"/>
        <v>0</v>
      </c>
      <c r="BY92" s="375">
        <f t="shared" si="1067"/>
        <v>0</v>
      </c>
      <c r="BZ92" s="375">
        <f t="shared" si="1067"/>
        <v>0</v>
      </c>
      <c r="CA92" s="375">
        <f t="shared" si="1067"/>
        <v>0</v>
      </c>
      <c r="CB92" s="375">
        <f t="shared" si="1067"/>
        <v>0</v>
      </c>
      <c r="CC92" s="375">
        <f t="shared" si="1067"/>
        <v>0</v>
      </c>
      <c r="CD92" s="375">
        <f t="shared" si="1067"/>
        <v>0</v>
      </c>
      <c r="CE92" s="376">
        <f t="shared" si="1067"/>
        <v>0</v>
      </c>
      <c r="CF92" s="375">
        <f t="shared" si="1067"/>
        <v>0</v>
      </c>
      <c r="CG92" s="375">
        <f t="shared" si="1067"/>
        <v>0</v>
      </c>
      <c r="CH92" s="375">
        <f t="shared" si="1067"/>
        <v>0</v>
      </c>
      <c r="CI92" s="375">
        <f t="shared" ref="CI92:DN92" si="1068">ROUNDUP($V92*(CI91/100)/0.8,0)</f>
        <v>0</v>
      </c>
      <c r="CJ92" s="375">
        <f t="shared" si="1068"/>
        <v>0</v>
      </c>
      <c r="CK92" s="375">
        <f t="shared" si="1068"/>
        <v>0</v>
      </c>
      <c r="CL92" s="375">
        <f t="shared" si="1068"/>
        <v>0</v>
      </c>
      <c r="CM92" s="375">
        <f t="shared" si="1068"/>
        <v>0</v>
      </c>
      <c r="CN92" s="375">
        <f t="shared" si="1068"/>
        <v>0</v>
      </c>
      <c r="CO92" s="375">
        <f t="shared" si="1068"/>
        <v>0</v>
      </c>
      <c r="CP92" s="375">
        <f t="shared" si="1068"/>
        <v>0</v>
      </c>
      <c r="CQ92" s="376">
        <f t="shared" si="1068"/>
        <v>0</v>
      </c>
      <c r="CR92" s="375">
        <f t="shared" si="1068"/>
        <v>0</v>
      </c>
      <c r="CS92" s="375">
        <f t="shared" si="1068"/>
        <v>0</v>
      </c>
      <c r="CT92" s="375">
        <f t="shared" si="1068"/>
        <v>0</v>
      </c>
      <c r="CU92" s="375">
        <f t="shared" si="1068"/>
        <v>0</v>
      </c>
      <c r="CV92" s="375">
        <f t="shared" si="1068"/>
        <v>0</v>
      </c>
      <c r="CW92" s="375">
        <f t="shared" si="1068"/>
        <v>0</v>
      </c>
      <c r="CX92" s="375">
        <f t="shared" si="1068"/>
        <v>0</v>
      </c>
      <c r="CY92" s="375">
        <f t="shared" si="1068"/>
        <v>0</v>
      </c>
      <c r="CZ92" s="375">
        <f t="shared" si="1068"/>
        <v>0</v>
      </c>
      <c r="DA92" s="375">
        <f t="shared" si="1068"/>
        <v>0</v>
      </c>
      <c r="DB92" s="375">
        <f t="shared" si="1068"/>
        <v>0</v>
      </c>
      <c r="DC92" s="376">
        <f t="shared" si="1068"/>
        <v>0</v>
      </c>
      <c r="DD92" s="375">
        <f t="shared" si="1068"/>
        <v>0</v>
      </c>
      <c r="DE92" s="375">
        <f t="shared" si="1068"/>
        <v>0</v>
      </c>
      <c r="DF92" s="375">
        <f t="shared" si="1068"/>
        <v>0</v>
      </c>
      <c r="DG92" s="375">
        <f t="shared" si="1068"/>
        <v>0</v>
      </c>
      <c r="DH92" s="375">
        <f t="shared" si="1068"/>
        <v>0</v>
      </c>
      <c r="DI92" s="375">
        <f t="shared" si="1068"/>
        <v>0</v>
      </c>
      <c r="DJ92" s="375">
        <f t="shared" si="1068"/>
        <v>0</v>
      </c>
      <c r="DK92" s="375">
        <f t="shared" si="1068"/>
        <v>0</v>
      </c>
      <c r="DL92" s="375">
        <f t="shared" si="1068"/>
        <v>0</v>
      </c>
      <c r="DM92" s="375">
        <f t="shared" si="1068"/>
        <v>0</v>
      </c>
      <c r="DN92" s="375">
        <f t="shared" si="1068"/>
        <v>0</v>
      </c>
      <c r="DO92" s="376">
        <f t="shared" ref="DO92:ED92" si="1069">ROUNDUP($V92*(DO91/100)/0.8,0)</f>
        <v>0</v>
      </c>
      <c r="DP92" s="375">
        <f t="shared" si="1069"/>
        <v>0</v>
      </c>
      <c r="DQ92" s="375">
        <f t="shared" si="1069"/>
        <v>0</v>
      </c>
      <c r="DR92" s="375">
        <f t="shared" si="1069"/>
        <v>0</v>
      </c>
      <c r="DS92" s="375">
        <f t="shared" si="1069"/>
        <v>0</v>
      </c>
      <c r="DT92" s="375">
        <f t="shared" si="1069"/>
        <v>0</v>
      </c>
      <c r="DU92" s="375">
        <f t="shared" si="1069"/>
        <v>0</v>
      </c>
      <c r="DV92" s="375">
        <f t="shared" si="1069"/>
        <v>0</v>
      </c>
      <c r="DW92" s="375">
        <f t="shared" si="1069"/>
        <v>0</v>
      </c>
      <c r="DX92" s="375">
        <f t="shared" si="1069"/>
        <v>0</v>
      </c>
      <c r="DY92" s="375">
        <f t="shared" si="1069"/>
        <v>0</v>
      </c>
      <c r="DZ92" s="375">
        <f t="shared" si="1069"/>
        <v>0</v>
      </c>
      <c r="EA92" s="376">
        <f t="shared" si="1069"/>
        <v>0</v>
      </c>
      <c r="EB92" s="375">
        <f t="shared" si="1069"/>
        <v>0</v>
      </c>
      <c r="EC92" s="375">
        <f t="shared" si="1069"/>
        <v>0</v>
      </c>
      <c r="ED92" s="377">
        <f t="shared" si="1069"/>
        <v>0</v>
      </c>
    </row>
    <row r="93" spans="1:134" ht="18.75" outlineLevel="1" x14ac:dyDescent="0.3">
      <c r="B93" s="81"/>
      <c r="C93" s="736"/>
      <c r="D93" s="715" t="s">
        <v>265</v>
      </c>
      <c r="E93" s="715"/>
      <c r="F93" s="715"/>
      <c r="G93" s="715"/>
      <c r="H93" s="715"/>
      <c r="I93" s="715"/>
      <c r="J93" s="715"/>
      <c r="K93" s="715"/>
      <c r="L93" s="186"/>
      <c r="M93" s="494">
        <f>N93*100</f>
        <v>72</v>
      </c>
      <c r="N93" s="568">
        <f>'XFMR Data'!F4/100</f>
        <v>0.72</v>
      </c>
      <c r="O93" s="569">
        <f>'XFMR Data'!K4/100</f>
        <v>0.67</v>
      </c>
      <c r="P93" s="569">
        <f>'XFMR Data'!P4/100</f>
        <v>0.57999999999999996</v>
      </c>
      <c r="Q93" s="183"/>
      <c r="R93" s="190">
        <f>P93-N93</f>
        <v>-0.14000000000000001</v>
      </c>
      <c r="S93" s="184">
        <v>10</v>
      </c>
      <c r="T93" s="184">
        <v>1</v>
      </c>
      <c r="U93" s="181"/>
      <c r="V93" s="297"/>
      <c r="W93" s="378">
        <f t="shared" si="982"/>
        <v>72</v>
      </c>
      <c r="X93" s="379">
        <f t="shared" si="983"/>
        <v>72</v>
      </c>
      <c r="Y93" s="379">
        <f t="shared" si="983"/>
        <v>72</v>
      </c>
      <c r="Z93" s="379">
        <f t="shared" si="984"/>
        <v>67</v>
      </c>
      <c r="AA93" s="379">
        <f>Z93</f>
        <v>67</v>
      </c>
      <c r="AB93" s="379">
        <f>AA93</f>
        <v>67</v>
      </c>
      <c r="AC93" s="379">
        <f t="shared" si="985"/>
        <v>57.999999999999993</v>
      </c>
      <c r="AD93" s="379">
        <f>AC93</f>
        <v>57.999999999999993</v>
      </c>
      <c r="AE93" s="379">
        <f>AD93</f>
        <v>57.999999999999993</v>
      </c>
      <c r="AF93" s="379">
        <f>AE93</f>
        <v>57.999999999999993</v>
      </c>
      <c r="AG93" s="379">
        <f>AF93</f>
        <v>57.999999999999993</v>
      </c>
      <c r="AH93" s="379">
        <f>AG93</f>
        <v>57.999999999999993</v>
      </c>
      <c r="AI93" s="380">
        <f t="shared" ref="AI93:AT93" si="1070">(((AH93*(1+($B$36*$B$4)))-AH93)/12)+AH93</f>
        <v>58.347999999999992</v>
      </c>
      <c r="AJ93" s="379">
        <f t="shared" si="1070"/>
        <v>58.698087999999991</v>
      </c>
      <c r="AK93" s="379">
        <f t="shared" si="1070"/>
        <v>59.050276527999991</v>
      </c>
      <c r="AL93" s="379">
        <f t="shared" si="1070"/>
        <v>59.404578187167992</v>
      </c>
      <c r="AM93" s="379">
        <f t="shared" si="1070"/>
        <v>59.761005656290997</v>
      </c>
      <c r="AN93" s="379">
        <f t="shared" si="1070"/>
        <v>60.119571690228746</v>
      </c>
      <c r="AO93" s="379">
        <f t="shared" si="1070"/>
        <v>60.480289120370117</v>
      </c>
      <c r="AP93" s="379">
        <f t="shared" si="1070"/>
        <v>60.843170855092339</v>
      </c>
      <c r="AQ93" s="379">
        <f t="shared" si="1070"/>
        <v>61.208229880222895</v>
      </c>
      <c r="AR93" s="379">
        <f t="shared" si="1070"/>
        <v>61.575479259504235</v>
      </c>
      <c r="AS93" s="379">
        <f t="shared" si="1070"/>
        <v>61.944932135061258</v>
      </c>
      <c r="AT93" s="379">
        <f t="shared" si="1070"/>
        <v>62.316601727871628</v>
      </c>
      <c r="AU93" s="380">
        <f t="shared" ref="AU93:BF93" si="1071">(((AT93*(1+($B$37*$B$4)))-AT93)/12)+AT93</f>
        <v>62.69050133823886</v>
      </c>
      <c r="AV93" s="379">
        <f t="shared" si="1071"/>
        <v>63.066644346268291</v>
      </c>
      <c r="AW93" s="379">
        <f t="shared" si="1071"/>
        <v>63.445044212345898</v>
      </c>
      <c r="AX93" s="379">
        <f t="shared" si="1071"/>
        <v>63.825714477619975</v>
      </c>
      <c r="AY93" s="379">
        <f t="shared" si="1071"/>
        <v>64.208668764485694</v>
      </c>
      <c r="AZ93" s="379">
        <f t="shared" si="1071"/>
        <v>64.593920777072611</v>
      </c>
      <c r="BA93" s="379">
        <f t="shared" si="1071"/>
        <v>64.981484301735051</v>
      </c>
      <c r="BB93" s="379">
        <f t="shared" si="1071"/>
        <v>65.37137320754546</v>
      </c>
      <c r="BC93" s="379">
        <f t="shared" si="1071"/>
        <v>65.76360144679073</v>
      </c>
      <c r="BD93" s="379">
        <f t="shared" si="1071"/>
        <v>66.158183055471468</v>
      </c>
      <c r="BE93" s="379">
        <f t="shared" si="1071"/>
        <v>66.555132153804294</v>
      </c>
      <c r="BF93" s="379">
        <f t="shared" si="1071"/>
        <v>66.954462946727119</v>
      </c>
      <c r="BG93" s="380">
        <f t="shared" ref="BG93:BR93" si="1072">(((BF93*(1+($B$38*$B$4)))-BF93)/12)+BF93</f>
        <v>67.356189724407486</v>
      </c>
      <c r="BH93" s="379">
        <f t="shared" si="1072"/>
        <v>67.760326862753928</v>
      </c>
      <c r="BI93" s="379">
        <f t="shared" si="1072"/>
        <v>68.166888823930449</v>
      </c>
      <c r="BJ93" s="379">
        <f t="shared" si="1072"/>
        <v>68.575890156874038</v>
      </c>
      <c r="BK93" s="379">
        <f t="shared" si="1072"/>
        <v>68.987345497815284</v>
      </c>
      <c r="BL93" s="379">
        <f t="shared" si="1072"/>
        <v>69.401269570802171</v>
      </c>
      <c r="BM93" s="379">
        <f t="shared" si="1072"/>
        <v>69.81767718822698</v>
      </c>
      <c r="BN93" s="379">
        <f t="shared" si="1072"/>
        <v>70.236583251356336</v>
      </c>
      <c r="BO93" s="379">
        <f t="shared" si="1072"/>
        <v>70.658002750864469</v>
      </c>
      <c r="BP93" s="379">
        <f t="shared" si="1072"/>
        <v>71.081950767369662</v>
      </c>
      <c r="BQ93" s="379">
        <f t="shared" si="1072"/>
        <v>71.508442471973879</v>
      </c>
      <c r="BR93" s="379">
        <f t="shared" si="1072"/>
        <v>71.93749312680572</v>
      </c>
      <c r="BS93" s="380">
        <f t="shared" ref="BS93:CD93" si="1073">(((BR93*(1+($B$39*$B$4)))-BR93)/12)+BR93</f>
        <v>72.369118085566555</v>
      </c>
      <c r="BT93" s="379">
        <f t="shared" si="1073"/>
        <v>72.80333279407995</v>
      </c>
      <c r="BU93" s="379">
        <f t="shared" si="1073"/>
        <v>73.240152790844434</v>
      </c>
      <c r="BV93" s="379">
        <f t="shared" si="1073"/>
        <v>73.679593707589504</v>
      </c>
      <c r="BW93" s="379">
        <f t="shared" si="1073"/>
        <v>74.121671269835048</v>
      </c>
      <c r="BX93" s="379">
        <f t="shared" si="1073"/>
        <v>74.566401297454064</v>
      </c>
      <c r="BY93" s="379">
        <f t="shared" si="1073"/>
        <v>75.013799705238796</v>
      </c>
      <c r="BZ93" s="379">
        <f t="shared" si="1073"/>
        <v>75.463882503470231</v>
      </c>
      <c r="CA93" s="379">
        <f t="shared" si="1073"/>
        <v>75.916665798491053</v>
      </c>
      <c r="CB93" s="379">
        <f t="shared" si="1073"/>
        <v>76.372165793281994</v>
      </c>
      <c r="CC93" s="379">
        <f t="shared" si="1073"/>
        <v>76.830398788041691</v>
      </c>
      <c r="CD93" s="379">
        <f t="shared" si="1073"/>
        <v>77.291381180769946</v>
      </c>
      <c r="CE93" s="380">
        <f t="shared" ref="CE93:CP93" si="1074">(((CD93*(1+($B$40*$B$4)))-CD93)/12)+CD93</f>
        <v>77.755129467854573</v>
      </c>
      <c r="CF93" s="379">
        <f t="shared" si="1074"/>
        <v>78.221660244661706</v>
      </c>
      <c r="CG93" s="379">
        <f t="shared" si="1074"/>
        <v>78.690990206129669</v>
      </c>
      <c r="CH93" s="379">
        <f t="shared" si="1074"/>
        <v>79.163136147366444</v>
      </c>
      <c r="CI93" s="379">
        <f t="shared" si="1074"/>
        <v>79.638114964250647</v>
      </c>
      <c r="CJ93" s="379">
        <f t="shared" si="1074"/>
        <v>80.115943654036158</v>
      </c>
      <c r="CK93" s="379">
        <f t="shared" si="1074"/>
        <v>80.596639315960374</v>
      </c>
      <c r="CL93" s="379">
        <f t="shared" si="1074"/>
        <v>81.080219151856141</v>
      </c>
      <c r="CM93" s="379">
        <f t="shared" si="1074"/>
        <v>81.566700466767273</v>
      </c>
      <c r="CN93" s="379">
        <f t="shared" si="1074"/>
        <v>82.056100669567883</v>
      </c>
      <c r="CO93" s="379">
        <f t="shared" si="1074"/>
        <v>82.548437273585293</v>
      </c>
      <c r="CP93" s="379">
        <f t="shared" si="1074"/>
        <v>83.043727897226802</v>
      </c>
      <c r="CQ93" s="380">
        <f t="shared" ref="CQ93:DB93" si="1075">(((CP93*(1+($B$41*$B$4)))-CP93)/12)+CP93</f>
        <v>83.541990264610163</v>
      </c>
      <c r="CR93" s="379">
        <f t="shared" si="1075"/>
        <v>84.043242206197817</v>
      </c>
      <c r="CS93" s="379">
        <f t="shared" si="1075"/>
        <v>84.547501659435</v>
      </c>
      <c r="CT93" s="379">
        <f t="shared" si="1075"/>
        <v>85.054786669391603</v>
      </c>
      <c r="CU93" s="379">
        <f t="shared" si="1075"/>
        <v>85.56511538940795</v>
      </c>
      <c r="CV93" s="379">
        <f t="shared" si="1075"/>
        <v>86.078506081744393</v>
      </c>
      <c r="CW93" s="379">
        <f t="shared" si="1075"/>
        <v>86.594977118234866</v>
      </c>
      <c r="CX93" s="379">
        <f t="shared" si="1075"/>
        <v>87.114546980944269</v>
      </c>
      <c r="CY93" s="379">
        <f t="shared" si="1075"/>
        <v>87.637234262829935</v>
      </c>
      <c r="CZ93" s="379">
        <f t="shared" si="1075"/>
        <v>88.163057668406921</v>
      </c>
      <c r="DA93" s="379">
        <f t="shared" si="1075"/>
        <v>88.692036014417369</v>
      </c>
      <c r="DB93" s="379">
        <f t="shared" si="1075"/>
        <v>89.22418823050387</v>
      </c>
      <c r="DC93" s="380">
        <f t="shared" ref="DC93:DN93" si="1076">(((DB93*(1+($B$42*$B$4)))-DB93)/12)+DB93</f>
        <v>89.759533359886888</v>
      </c>
      <c r="DD93" s="379">
        <f t="shared" si="1076"/>
        <v>90.298090560046205</v>
      </c>
      <c r="DE93" s="379">
        <f t="shared" si="1076"/>
        <v>90.839879103406489</v>
      </c>
      <c r="DF93" s="379">
        <f t="shared" si="1076"/>
        <v>91.384918378026924</v>
      </c>
      <c r="DG93" s="379">
        <f t="shared" si="1076"/>
        <v>91.933227888295079</v>
      </c>
      <c r="DH93" s="379">
        <f t="shared" si="1076"/>
        <v>92.48482725562485</v>
      </c>
      <c r="DI93" s="379">
        <f t="shared" si="1076"/>
        <v>93.039736219158598</v>
      </c>
      <c r="DJ93" s="379">
        <f t="shared" si="1076"/>
        <v>93.597974636473552</v>
      </c>
      <c r="DK93" s="379">
        <f t="shared" si="1076"/>
        <v>94.159562484292394</v>
      </c>
      <c r="DL93" s="379">
        <f t="shared" si="1076"/>
        <v>94.724519859198153</v>
      </c>
      <c r="DM93" s="379">
        <f t="shared" si="1076"/>
        <v>95.292866978353345</v>
      </c>
      <c r="DN93" s="379">
        <f t="shared" si="1076"/>
        <v>95.864624180223473</v>
      </c>
      <c r="DO93" s="380">
        <f t="shared" ref="DO93:DZ93" si="1077">(((DN93*(1+($B$43*$B$4)))-DN93)/12)+DN93</f>
        <v>96.439811925304809</v>
      </c>
      <c r="DP93" s="379">
        <f t="shared" si="1077"/>
        <v>97.018450796856641</v>
      </c>
      <c r="DQ93" s="379">
        <f t="shared" si="1077"/>
        <v>97.600561501637785</v>
      </c>
      <c r="DR93" s="379">
        <f t="shared" si="1077"/>
        <v>98.186164870647616</v>
      </c>
      <c r="DS93" s="379">
        <f t="shared" si="1077"/>
        <v>98.775281859871498</v>
      </c>
      <c r="DT93" s="379">
        <f t="shared" si="1077"/>
        <v>99.367933551030731</v>
      </c>
      <c r="DU93" s="379">
        <f t="shared" si="1077"/>
        <v>99.964141152336921</v>
      </c>
      <c r="DV93" s="379">
        <f t="shared" si="1077"/>
        <v>100.56392599925094</v>
      </c>
      <c r="DW93" s="379">
        <f t="shared" si="1077"/>
        <v>101.16730955524645</v>
      </c>
      <c r="DX93" s="379">
        <f t="shared" si="1077"/>
        <v>101.77431341257792</v>
      </c>
      <c r="DY93" s="379">
        <f t="shared" si="1077"/>
        <v>102.3849592930534</v>
      </c>
      <c r="DZ93" s="379">
        <f t="shared" si="1077"/>
        <v>102.99926904881173</v>
      </c>
      <c r="EA93" s="380">
        <f>(((DZ93*(1+($B$44*$B$4)))-DZ93)/12)+DZ93</f>
        <v>103.61726466310459</v>
      </c>
      <c r="EB93" s="379">
        <f>(((EA93*(1+($B$44*$B$4)))-EA93)/12)+EA93</f>
        <v>104.23896825108322</v>
      </c>
      <c r="EC93" s="379">
        <f>(((EB93*(1+($B$44*$B$4)))-EB93)/12)+EB93</f>
        <v>104.86440206058973</v>
      </c>
      <c r="ED93" s="381">
        <f>(((EC93*(1+($B$44*$B$4)))-EC93)/12)+EC93</f>
        <v>105.49358847295326</v>
      </c>
    </row>
    <row r="94" spans="1:134" ht="18.75" outlineLevel="1" x14ac:dyDescent="0.3">
      <c r="B94" s="81"/>
      <c r="C94" s="736"/>
      <c r="D94" s="716"/>
      <c r="E94" s="716"/>
      <c r="F94" s="716"/>
      <c r="G94" s="716"/>
      <c r="H94" s="716"/>
      <c r="I94" s="716"/>
      <c r="J94" s="716"/>
      <c r="K94" s="716"/>
      <c r="L94" s="187"/>
      <c r="M94" s="179"/>
      <c r="N94" s="570"/>
      <c r="O94" s="571"/>
      <c r="P94" s="571"/>
      <c r="Q94" s="180"/>
      <c r="R94" s="191"/>
      <c r="S94" s="185"/>
      <c r="T94" s="185"/>
      <c r="U94" s="179"/>
      <c r="V94" s="277">
        <v>1</v>
      </c>
      <c r="W94" s="372">
        <f t="shared" ref="W94:BB94" si="1078">ROUNDUP($V94*(W93/100)/0.8,0)</f>
        <v>1</v>
      </c>
      <c r="X94" s="176">
        <f t="shared" si="1078"/>
        <v>1</v>
      </c>
      <c r="Y94" s="176">
        <f t="shared" si="1078"/>
        <v>1</v>
      </c>
      <c r="Z94" s="176">
        <f t="shared" si="1078"/>
        <v>1</v>
      </c>
      <c r="AA94" s="176">
        <f t="shared" si="1078"/>
        <v>1</v>
      </c>
      <c r="AB94" s="176">
        <f t="shared" si="1078"/>
        <v>1</v>
      </c>
      <c r="AC94" s="176">
        <f t="shared" si="1078"/>
        <v>1</v>
      </c>
      <c r="AD94" s="176">
        <f t="shared" si="1078"/>
        <v>1</v>
      </c>
      <c r="AE94" s="176">
        <f t="shared" si="1078"/>
        <v>1</v>
      </c>
      <c r="AF94" s="176">
        <f t="shared" si="1078"/>
        <v>1</v>
      </c>
      <c r="AG94" s="176">
        <f t="shared" si="1078"/>
        <v>1</v>
      </c>
      <c r="AH94" s="176">
        <f t="shared" si="1078"/>
        <v>1</v>
      </c>
      <c r="AI94" s="367">
        <f t="shared" si="1078"/>
        <v>1</v>
      </c>
      <c r="AJ94" s="176">
        <f t="shared" si="1078"/>
        <v>1</v>
      </c>
      <c r="AK94" s="176">
        <f t="shared" si="1078"/>
        <v>1</v>
      </c>
      <c r="AL94" s="176">
        <f t="shared" si="1078"/>
        <v>1</v>
      </c>
      <c r="AM94" s="176">
        <f t="shared" si="1078"/>
        <v>1</v>
      </c>
      <c r="AN94" s="176">
        <f t="shared" si="1078"/>
        <v>1</v>
      </c>
      <c r="AO94" s="176">
        <f t="shared" si="1078"/>
        <v>1</v>
      </c>
      <c r="AP94" s="176">
        <f t="shared" si="1078"/>
        <v>1</v>
      </c>
      <c r="AQ94" s="176">
        <f t="shared" si="1078"/>
        <v>1</v>
      </c>
      <c r="AR94" s="176">
        <f t="shared" si="1078"/>
        <v>1</v>
      </c>
      <c r="AS94" s="176">
        <f t="shared" si="1078"/>
        <v>1</v>
      </c>
      <c r="AT94" s="176">
        <f t="shared" si="1078"/>
        <v>1</v>
      </c>
      <c r="AU94" s="367">
        <f t="shared" si="1078"/>
        <v>1</v>
      </c>
      <c r="AV94" s="176">
        <f t="shared" si="1078"/>
        <v>1</v>
      </c>
      <c r="AW94" s="176">
        <f t="shared" si="1078"/>
        <v>1</v>
      </c>
      <c r="AX94" s="176">
        <f t="shared" si="1078"/>
        <v>1</v>
      </c>
      <c r="AY94" s="176">
        <f t="shared" si="1078"/>
        <v>1</v>
      </c>
      <c r="AZ94" s="176">
        <f t="shared" si="1078"/>
        <v>1</v>
      </c>
      <c r="BA94" s="176">
        <f t="shared" si="1078"/>
        <v>1</v>
      </c>
      <c r="BB94" s="176">
        <f t="shared" si="1078"/>
        <v>1</v>
      </c>
      <c r="BC94" s="176">
        <f t="shared" ref="BC94:CH94" si="1079">ROUNDUP($V94*(BC93/100)/0.8,0)</f>
        <v>1</v>
      </c>
      <c r="BD94" s="176">
        <f t="shared" si="1079"/>
        <v>1</v>
      </c>
      <c r="BE94" s="176">
        <f t="shared" si="1079"/>
        <v>1</v>
      </c>
      <c r="BF94" s="176">
        <f t="shared" si="1079"/>
        <v>1</v>
      </c>
      <c r="BG94" s="367">
        <f t="shared" si="1079"/>
        <v>1</v>
      </c>
      <c r="BH94" s="176">
        <f t="shared" si="1079"/>
        <v>1</v>
      </c>
      <c r="BI94" s="176">
        <f t="shared" si="1079"/>
        <v>1</v>
      </c>
      <c r="BJ94" s="176">
        <f t="shared" si="1079"/>
        <v>1</v>
      </c>
      <c r="BK94" s="176">
        <f t="shared" si="1079"/>
        <v>1</v>
      </c>
      <c r="BL94" s="176">
        <f t="shared" si="1079"/>
        <v>1</v>
      </c>
      <c r="BM94" s="176">
        <f t="shared" si="1079"/>
        <v>1</v>
      </c>
      <c r="BN94" s="176">
        <f t="shared" si="1079"/>
        <v>1</v>
      </c>
      <c r="BO94" s="176">
        <f t="shared" si="1079"/>
        <v>1</v>
      </c>
      <c r="BP94" s="176">
        <f t="shared" si="1079"/>
        <v>1</v>
      </c>
      <c r="BQ94" s="176">
        <f t="shared" si="1079"/>
        <v>1</v>
      </c>
      <c r="BR94" s="176">
        <f t="shared" si="1079"/>
        <v>1</v>
      </c>
      <c r="BS94" s="367">
        <f t="shared" si="1079"/>
        <v>1</v>
      </c>
      <c r="BT94" s="176">
        <f t="shared" si="1079"/>
        <v>1</v>
      </c>
      <c r="BU94" s="176">
        <f t="shared" si="1079"/>
        <v>1</v>
      </c>
      <c r="BV94" s="176">
        <f t="shared" si="1079"/>
        <v>1</v>
      </c>
      <c r="BW94" s="176">
        <f t="shared" si="1079"/>
        <v>1</v>
      </c>
      <c r="BX94" s="176">
        <f t="shared" si="1079"/>
        <v>1</v>
      </c>
      <c r="BY94" s="176">
        <f t="shared" si="1079"/>
        <v>1</v>
      </c>
      <c r="BZ94" s="176">
        <f t="shared" si="1079"/>
        <v>1</v>
      </c>
      <c r="CA94" s="176">
        <f t="shared" si="1079"/>
        <v>1</v>
      </c>
      <c r="CB94" s="176">
        <f t="shared" si="1079"/>
        <v>1</v>
      </c>
      <c r="CC94" s="176">
        <f t="shared" si="1079"/>
        <v>1</v>
      </c>
      <c r="CD94" s="176">
        <f t="shared" si="1079"/>
        <v>1</v>
      </c>
      <c r="CE94" s="367">
        <f t="shared" si="1079"/>
        <v>1</v>
      </c>
      <c r="CF94" s="176">
        <f t="shared" si="1079"/>
        <v>1</v>
      </c>
      <c r="CG94" s="176">
        <f t="shared" si="1079"/>
        <v>1</v>
      </c>
      <c r="CH94" s="176">
        <f t="shared" si="1079"/>
        <v>1</v>
      </c>
      <c r="CI94" s="176">
        <f t="shared" ref="CI94:DN94" si="1080">ROUNDUP($V94*(CI93/100)/0.8,0)</f>
        <v>1</v>
      </c>
      <c r="CJ94" s="176">
        <f t="shared" si="1080"/>
        <v>2</v>
      </c>
      <c r="CK94" s="176">
        <f t="shared" si="1080"/>
        <v>2</v>
      </c>
      <c r="CL94" s="176">
        <f t="shared" si="1080"/>
        <v>2</v>
      </c>
      <c r="CM94" s="176">
        <f t="shared" si="1080"/>
        <v>2</v>
      </c>
      <c r="CN94" s="176">
        <f t="shared" si="1080"/>
        <v>2</v>
      </c>
      <c r="CO94" s="176">
        <f t="shared" si="1080"/>
        <v>2</v>
      </c>
      <c r="CP94" s="176">
        <f t="shared" si="1080"/>
        <v>2</v>
      </c>
      <c r="CQ94" s="367">
        <f t="shared" si="1080"/>
        <v>2</v>
      </c>
      <c r="CR94" s="176">
        <f t="shared" si="1080"/>
        <v>2</v>
      </c>
      <c r="CS94" s="176">
        <f t="shared" si="1080"/>
        <v>2</v>
      </c>
      <c r="CT94" s="176">
        <f t="shared" si="1080"/>
        <v>2</v>
      </c>
      <c r="CU94" s="176">
        <f t="shared" si="1080"/>
        <v>2</v>
      </c>
      <c r="CV94" s="176">
        <f t="shared" si="1080"/>
        <v>2</v>
      </c>
      <c r="CW94" s="176">
        <f t="shared" si="1080"/>
        <v>2</v>
      </c>
      <c r="CX94" s="176">
        <f t="shared" si="1080"/>
        <v>2</v>
      </c>
      <c r="CY94" s="176">
        <f t="shared" si="1080"/>
        <v>2</v>
      </c>
      <c r="CZ94" s="176">
        <f t="shared" si="1080"/>
        <v>2</v>
      </c>
      <c r="DA94" s="176">
        <f t="shared" si="1080"/>
        <v>2</v>
      </c>
      <c r="DB94" s="176">
        <f t="shared" si="1080"/>
        <v>2</v>
      </c>
      <c r="DC94" s="367">
        <f t="shared" si="1080"/>
        <v>2</v>
      </c>
      <c r="DD94" s="176">
        <f t="shared" si="1080"/>
        <v>2</v>
      </c>
      <c r="DE94" s="176">
        <f t="shared" si="1080"/>
        <v>2</v>
      </c>
      <c r="DF94" s="176">
        <f t="shared" si="1080"/>
        <v>2</v>
      </c>
      <c r="DG94" s="176">
        <f t="shared" si="1080"/>
        <v>2</v>
      </c>
      <c r="DH94" s="176">
        <f t="shared" si="1080"/>
        <v>2</v>
      </c>
      <c r="DI94" s="176">
        <f t="shared" si="1080"/>
        <v>2</v>
      </c>
      <c r="DJ94" s="176">
        <f t="shared" si="1080"/>
        <v>2</v>
      </c>
      <c r="DK94" s="176">
        <f t="shared" si="1080"/>
        <v>2</v>
      </c>
      <c r="DL94" s="176">
        <f t="shared" si="1080"/>
        <v>2</v>
      </c>
      <c r="DM94" s="176">
        <f t="shared" si="1080"/>
        <v>2</v>
      </c>
      <c r="DN94" s="176">
        <f t="shared" si="1080"/>
        <v>2</v>
      </c>
      <c r="DO94" s="367">
        <f t="shared" ref="DO94:ED94" si="1081">ROUNDUP($V94*(DO93/100)/0.8,0)</f>
        <v>2</v>
      </c>
      <c r="DP94" s="176">
        <f t="shared" si="1081"/>
        <v>2</v>
      </c>
      <c r="DQ94" s="176">
        <f t="shared" si="1081"/>
        <v>2</v>
      </c>
      <c r="DR94" s="176">
        <f t="shared" si="1081"/>
        <v>2</v>
      </c>
      <c r="DS94" s="176">
        <f t="shared" si="1081"/>
        <v>2</v>
      </c>
      <c r="DT94" s="176">
        <f t="shared" si="1081"/>
        <v>2</v>
      </c>
      <c r="DU94" s="176">
        <f t="shared" si="1081"/>
        <v>2</v>
      </c>
      <c r="DV94" s="176">
        <f t="shared" si="1081"/>
        <v>2</v>
      </c>
      <c r="DW94" s="176">
        <f t="shared" si="1081"/>
        <v>2</v>
      </c>
      <c r="DX94" s="176">
        <f t="shared" si="1081"/>
        <v>2</v>
      </c>
      <c r="DY94" s="176">
        <f t="shared" si="1081"/>
        <v>2</v>
      </c>
      <c r="DZ94" s="176">
        <f t="shared" si="1081"/>
        <v>2</v>
      </c>
      <c r="EA94" s="367">
        <f t="shared" si="1081"/>
        <v>2</v>
      </c>
      <c r="EB94" s="176">
        <f t="shared" si="1081"/>
        <v>2</v>
      </c>
      <c r="EC94" s="176">
        <f t="shared" si="1081"/>
        <v>2</v>
      </c>
      <c r="ED94" s="373">
        <f t="shared" si="1081"/>
        <v>2</v>
      </c>
    </row>
    <row r="95" spans="1:134" ht="18.75" outlineLevel="1" x14ac:dyDescent="0.3">
      <c r="B95" s="81"/>
      <c r="C95" s="736"/>
      <c r="D95" s="754" t="s">
        <v>228</v>
      </c>
      <c r="E95" s="715"/>
      <c r="F95" s="715"/>
      <c r="G95" s="715"/>
      <c r="H95" s="715"/>
      <c r="I95" s="715"/>
      <c r="J95" s="715"/>
      <c r="K95" s="715"/>
      <c r="L95" s="755"/>
      <c r="M95" s="494">
        <f>N95</f>
        <v>7.0516078431372557</v>
      </c>
      <c r="N95" s="533">
        <f>'XFMR Data'!W4</f>
        <v>7.0516078431372557</v>
      </c>
      <c r="O95" s="534">
        <f>'XFMR Data'!X4</f>
        <v>7.6382745098039218</v>
      </c>
      <c r="P95" s="534">
        <f>'XFMR Data'!Y4</f>
        <v>6.8894117647058826</v>
      </c>
      <c r="Q95" s="177"/>
      <c r="R95" s="553">
        <f>P95-N95</f>
        <v>-0.16219607843137318</v>
      </c>
      <c r="S95" s="177"/>
      <c r="T95" s="177"/>
      <c r="U95" s="176"/>
      <c r="V95" s="298"/>
      <c r="W95" s="368">
        <f>M95</f>
        <v>7.0516078431372557</v>
      </c>
      <c r="X95" s="369">
        <f>W95</f>
        <v>7.0516078431372557</v>
      </c>
      <c r="Y95" s="369">
        <f>X95</f>
        <v>7.0516078431372557</v>
      </c>
      <c r="Z95" s="369">
        <f>O95</f>
        <v>7.6382745098039218</v>
      </c>
      <c r="AA95" s="369">
        <f>Z95</f>
        <v>7.6382745098039218</v>
      </c>
      <c r="AB95" s="369">
        <f>AA95</f>
        <v>7.6382745098039218</v>
      </c>
      <c r="AC95" s="369">
        <f>P95</f>
        <v>6.8894117647058826</v>
      </c>
      <c r="AD95" s="369">
        <f>AC95</f>
        <v>6.8894117647058826</v>
      </c>
      <c r="AE95" s="369">
        <f>AD95</f>
        <v>6.8894117647058826</v>
      </c>
      <c r="AF95" s="369">
        <f>AE95</f>
        <v>6.8894117647058826</v>
      </c>
      <c r="AG95" s="369">
        <f>AF95</f>
        <v>6.8894117647058826</v>
      </c>
      <c r="AH95" s="369">
        <f>AG95</f>
        <v>6.8894117647058826</v>
      </c>
      <c r="AI95" s="370">
        <f t="shared" ref="AI95:AT95" si="1082">(((AH95*(1+($B$36*$B$4)))-AH95)/12)+AH95</f>
        <v>6.9307482352941179</v>
      </c>
      <c r="AJ95" s="369">
        <f t="shared" si="1082"/>
        <v>6.9723327247058826</v>
      </c>
      <c r="AK95" s="369">
        <f t="shared" si="1082"/>
        <v>7.0141667210541181</v>
      </c>
      <c r="AL95" s="369">
        <f t="shared" si="1082"/>
        <v>7.056251721380443</v>
      </c>
      <c r="AM95" s="369">
        <f t="shared" si="1082"/>
        <v>7.0985892317087256</v>
      </c>
      <c r="AN95" s="369">
        <f t="shared" si="1082"/>
        <v>7.1411807670989784</v>
      </c>
      <c r="AO95" s="369">
        <f t="shared" si="1082"/>
        <v>7.1840278517015719</v>
      </c>
      <c r="AP95" s="369">
        <f t="shared" si="1082"/>
        <v>7.2271320188117816</v>
      </c>
      <c r="AQ95" s="369">
        <f t="shared" si="1082"/>
        <v>7.2704948109246521</v>
      </c>
      <c r="AR95" s="369">
        <f t="shared" si="1082"/>
        <v>7.3141177797901999</v>
      </c>
      <c r="AS95" s="369">
        <f t="shared" si="1082"/>
        <v>7.3580024864689415</v>
      </c>
      <c r="AT95" s="369">
        <f t="shared" si="1082"/>
        <v>7.4021505013877551</v>
      </c>
      <c r="AU95" s="370">
        <f t="shared" ref="AU95:BF95" si="1083">(((AT95*(1+($B$37*$B$4)))-AT95)/12)+AT95</f>
        <v>7.4465634043960813</v>
      </c>
      <c r="AV95" s="369">
        <f t="shared" si="1083"/>
        <v>7.4912427848224574</v>
      </c>
      <c r="AW95" s="369">
        <f t="shared" si="1083"/>
        <v>7.5361902415313917</v>
      </c>
      <c r="AX95" s="369">
        <f t="shared" si="1083"/>
        <v>7.5814073829805801</v>
      </c>
      <c r="AY95" s="369">
        <f t="shared" si="1083"/>
        <v>7.6268958272784637</v>
      </c>
      <c r="AZ95" s="369">
        <f t="shared" si="1083"/>
        <v>7.6726572022421342</v>
      </c>
      <c r="BA95" s="369">
        <f t="shared" si="1083"/>
        <v>7.7186931454555872</v>
      </c>
      <c r="BB95" s="369">
        <f t="shared" si="1083"/>
        <v>7.7650053043283211</v>
      </c>
      <c r="BC95" s="369">
        <f t="shared" si="1083"/>
        <v>7.8115953361542907</v>
      </c>
      <c r="BD95" s="369">
        <f t="shared" si="1083"/>
        <v>7.8584649081712161</v>
      </c>
      <c r="BE95" s="369">
        <f t="shared" si="1083"/>
        <v>7.9056156976202434</v>
      </c>
      <c r="BF95" s="369">
        <f t="shared" si="1083"/>
        <v>7.9530493918059646</v>
      </c>
      <c r="BG95" s="370">
        <f t="shared" ref="BG95:BR95" si="1084">(((BF95*(1+($B$38*$B$4)))-BF95)/12)+BF95</f>
        <v>8.0007676881568006</v>
      </c>
      <c r="BH95" s="369">
        <f t="shared" si="1084"/>
        <v>8.048772294285742</v>
      </c>
      <c r="BI95" s="369">
        <f t="shared" si="1084"/>
        <v>8.0970649280514557</v>
      </c>
      <c r="BJ95" s="369">
        <f t="shared" si="1084"/>
        <v>8.1456473176197655</v>
      </c>
      <c r="BK95" s="369">
        <f t="shared" si="1084"/>
        <v>8.1945212015254842</v>
      </c>
      <c r="BL95" s="369">
        <f t="shared" si="1084"/>
        <v>8.2436883287346365</v>
      </c>
      <c r="BM95" s="369">
        <f t="shared" si="1084"/>
        <v>8.2931504587070446</v>
      </c>
      <c r="BN95" s="369">
        <f t="shared" si="1084"/>
        <v>8.3429093614592862</v>
      </c>
      <c r="BO95" s="369">
        <f t="shared" si="1084"/>
        <v>8.3929668176280412</v>
      </c>
      <c r="BP95" s="369">
        <f t="shared" si="1084"/>
        <v>8.4433246185338096</v>
      </c>
      <c r="BQ95" s="369">
        <f t="shared" si="1084"/>
        <v>8.4939845662450129</v>
      </c>
      <c r="BR95" s="369">
        <f t="shared" si="1084"/>
        <v>8.5449484736424832</v>
      </c>
      <c r="BS95" s="370">
        <f t="shared" ref="BS95:CD95" si="1085">(((BR95*(1+($B$39*$B$4)))-BR95)/12)+BR95</f>
        <v>8.5962181644843376</v>
      </c>
      <c r="BT95" s="369">
        <f t="shared" si="1085"/>
        <v>8.647795473471243</v>
      </c>
      <c r="BU95" s="369">
        <f t="shared" si="1085"/>
        <v>8.6996822463120704</v>
      </c>
      <c r="BV95" s="369">
        <f t="shared" si="1085"/>
        <v>8.7518803397899436</v>
      </c>
      <c r="BW95" s="369">
        <f t="shared" si="1085"/>
        <v>8.8043916218286835</v>
      </c>
      <c r="BX95" s="369">
        <f t="shared" si="1085"/>
        <v>8.8572179715596562</v>
      </c>
      <c r="BY95" s="369">
        <f t="shared" si="1085"/>
        <v>8.910361279389015</v>
      </c>
      <c r="BZ95" s="369">
        <f t="shared" si="1085"/>
        <v>8.9638234470653497</v>
      </c>
      <c r="CA95" s="369">
        <f t="shared" si="1085"/>
        <v>9.0176063877477421</v>
      </c>
      <c r="CB95" s="369">
        <f t="shared" si="1085"/>
        <v>9.0717120260742288</v>
      </c>
      <c r="CC95" s="369">
        <f t="shared" si="1085"/>
        <v>9.1261422982306737</v>
      </c>
      <c r="CD95" s="369">
        <f t="shared" si="1085"/>
        <v>9.1808991520200571</v>
      </c>
      <c r="CE95" s="370">
        <f t="shared" ref="CE95:CP95" si="1086">(((CD95*(1+($B$40*$B$4)))-CD95)/12)+CD95</f>
        <v>9.235984546932178</v>
      </c>
      <c r="CF95" s="369">
        <f t="shared" si="1086"/>
        <v>9.2914004542137718</v>
      </c>
      <c r="CG95" s="369">
        <f t="shared" si="1086"/>
        <v>9.3471488569390537</v>
      </c>
      <c r="CH95" s="369">
        <f t="shared" si="1086"/>
        <v>9.403231750080689</v>
      </c>
      <c r="CI95" s="369">
        <f t="shared" si="1086"/>
        <v>9.4596511405811725</v>
      </c>
      <c r="CJ95" s="369">
        <f t="shared" si="1086"/>
        <v>9.5164090474246592</v>
      </c>
      <c r="CK95" s="369">
        <f t="shared" si="1086"/>
        <v>9.5735075017092068</v>
      </c>
      <c r="CL95" s="369">
        <f t="shared" si="1086"/>
        <v>9.6309485467194627</v>
      </c>
      <c r="CM95" s="369">
        <f t="shared" si="1086"/>
        <v>9.6887342379997801</v>
      </c>
      <c r="CN95" s="369">
        <f t="shared" si="1086"/>
        <v>9.7468666434277793</v>
      </c>
      <c r="CO95" s="369">
        <f t="shared" si="1086"/>
        <v>9.8053478432883452</v>
      </c>
      <c r="CP95" s="369">
        <f t="shared" si="1086"/>
        <v>9.8641799303480759</v>
      </c>
      <c r="CQ95" s="370">
        <f t="shared" ref="CQ95:DB95" si="1087">(((CP95*(1+($B$41*$B$4)))-CP95)/12)+CP95</f>
        <v>9.9233650099301638</v>
      </c>
      <c r="CR95" s="369">
        <f t="shared" si="1087"/>
        <v>9.9829051999897445</v>
      </c>
      <c r="CS95" s="369">
        <f t="shared" si="1087"/>
        <v>10.042802631189684</v>
      </c>
      <c r="CT95" s="369">
        <f t="shared" si="1087"/>
        <v>10.103059446976822</v>
      </c>
      <c r="CU95" s="369">
        <f t="shared" si="1087"/>
        <v>10.163677803658683</v>
      </c>
      <c r="CV95" s="369">
        <f t="shared" si="1087"/>
        <v>10.224659870480634</v>
      </c>
      <c r="CW95" s="369">
        <f t="shared" si="1087"/>
        <v>10.286007829703518</v>
      </c>
      <c r="CX95" s="369">
        <f t="shared" si="1087"/>
        <v>10.347723876681739</v>
      </c>
      <c r="CY95" s="369">
        <f t="shared" si="1087"/>
        <v>10.409810219941829</v>
      </c>
      <c r="CZ95" s="369">
        <f t="shared" si="1087"/>
        <v>10.47226908126148</v>
      </c>
      <c r="DA95" s="369">
        <f t="shared" si="1087"/>
        <v>10.53510269574905</v>
      </c>
      <c r="DB95" s="369">
        <f t="shared" si="1087"/>
        <v>10.598313311923544</v>
      </c>
      <c r="DC95" s="370">
        <f t="shared" ref="DC95:DN95" si="1088">(((DB95*(1+($B$42*$B$4)))-DB95)/12)+DB95</f>
        <v>10.661903191795085</v>
      </c>
      <c r="DD95" s="369">
        <f t="shared" si="1088"/>
        <v>10.725874610945855</v>
      </c>
      <c r="DE95" s="369">
        <f t="shared" si="1088"/>
        <v>10.79022985861153</v>
      </c>
      <c r="DF95" s="369">
        <f t="shared" si="1088"/>
        <v>10.8549712377632</v>
      </c>
      <c r="DG95" s="369">
        <f t="shared" si="1088"/>
        <v>10.92010106518978</v>
      </c>
      <c r="DH95" s="369">
        <f t="shared" si="1088"/>
        <v>10.985621671580919</v>
      </c>
      <c r="DI95" s="369">
        <f t="shared" si="1088"/>
        <v>11.051535401610405</v>
      </c>
      <c r="DJ95" s="369">
        <f t="shared" si="1088"/>
        <v>11.117844614020067</v>
      </c>
      <c r="DK95" s="369">
        <f t="shared" si="1088"/>
        <v>11.184551681704187</v>
      </c>
      <c r="DL95" s="369">
        <f t="shared" si="1088"/>
        <v>11.251658991794413</v>
      </c>
      <c r="DM95" s="369">
        <f t="shared" si="1088"/>
        <v>11.319168945745179</v>
      </c>
      <c r="DN95" s="369">
        <f t="shared" si="1088"/>
        <v>11.38708395941965</v>
      </c>
      <c r="DO95" s="370">
        <f t="shared" ref="DO95:DZ95" si="1089">(((DN95*(1+($B$43*$B$4)))-DN95)/12)+DN95</f>
        <v>11.455406463176168</v>
      </c>
      <c r="DP95" s="369">
        <f t="shared" si="1089"/>
        <v>11.524138901955224</v>
      </c>
      <c r="DQ95" s="369">
        <f t="shared" si="1089"/>
        <v>11.593283735366956</v>
      </c>
      <c r="DR95" s="369">
        <f t="shared" si="1089"/>
        <v>11.662843437779157</v>
      </c>
      <c r="DS95" s="369">
        <f t="shared" si="1089"/>
        <v>11.732820498405832</v>
      </c>
      <c r="DT95" s="369">
        <f t="shared" si="1089"/>
        <v>11.803217421396267</v>
      </c>
      <c r="DU95" s="369">
        <f t="shared" si="1089"/>
        <v>11.874036725924645</v>
      </c>
      <c r="DV95" s="369">
        <f t="shared" si="1089"/>
        <v>11.945280946280192</v>
      </c>
      <c r="DW95" s="369">
        <f t="shared" si="1089"/>
        <v>12.016952631957874</v>
      </c>
      <c r="DX95" s="369">
        <f t="shared" si="1089"/>
        <v>12.089054347749622</v>
      </c>
      <c r="DY95" s="369">
        <f t="shared" si="1089"/>
        <v>12.161588673836119</v>
      </c>
      <c r="DZ95" s="369">
        <f t="shared" si="1089"/>
        <v>12.234558205879136</v>
      </c>
      <c r="EA95" s="370">
        <f>(((DZ95*(1+($B$44*$B$4)))-DZ95)/12)+DZ95</f>
        <v>12.307965555114411</v>
      </c>
      <c r="EB95" s="369">
        <f>(((EA95*(1+($B$44*$B$4)))-EA95)/12)+EA95</f>
        <v>12.381813348445098</v>
      </c>
      <c r="EC95" s="369">
        <f>(((EB95*(1+($B$44*$B$4)))-EB95)/12)+EB95</f>
        <v>12.456104228535768</v>
      </c>
      <c r="ED95" s="371">
        <f>(((EC95*(1+($B$44*$B$4)))-EC95)/12)+EC95</f>
        <v>12.530840853906982</v>
      </c>
    </row>
    <row r="96" spans="1:134" ht="18.75" outlineLevel="1" x14ac:dyDescent="0.3">
      <c r="B96" s="81"/>
      <c r="C96" s="736"/>
      <c r="D96" s="756" t="s">
        <v>230</v>
      </c>
      <c r="E96" s="716"/>
      <c r="F96" s="716"/>
      <c r="G96" s="716"/>
      <c r="H96" s="716"/>
      <c r="I96" s="716"/>
      <c r="J96" s="716"/>
      <c r="K96" s="716"/>
      <c r="L96" s="757"/>
      <c r="M96" s="179"/>
      <c r="N96" s="580">
        <f>'XFMR Data'!T4</f>
        <v>247</v>
      </c>
      <c r="O96" s="581">
        <f>'XFMR Data'!U63</f>
        <v>185</v>
      </c>
      <c r="P96" s="535">
        <f>'XFMR Data'!V63</f>
        <v>186</v>
      </c>
      <c r="Q96" s="180"/>
      <c r="R96" s="191"/>
      <c r="S96" s="180"/>
      <c r="T96" s="180"/>
      <c r="U96" s="200"/>
      <c r="V96" s="299">
        <f>ROUNDUP((ROUNDUP(N95,0))+((ROUNDUP(N95,0))/7),0)</f>
        <v>10</v>
      </c>
      <c r="W96" s="535">
        <f>ROUNDUP(W95,0)+(W95/7)</f>
        <v>9.0073725490196086</v>
      </c>
      <c r="X96" s="535">
        <f t="shared" ref="X96:AI96" si="1090">ROUNDUP(X95,0)+(X95/7)</f>
        <v>9.0073725490196086</v>
      </c>
      <c r="Y96" s="535">
        <f t="shared" si="1090"/>
        <v>9.0073725490196086</v>
      </c>
      <c r="Z96" s="535">
        <f t="shared" si="1090"/>
        <v>9.091182072829131</v>
      </c>
      <c r="AA96" s="535">
        <f t="shared" si="1090"/>
        <v>9.091182072829131</v>
      </c>
      <c r="AB96" s="535">
        <f t="shared" si="1090"/>
        <v>9.091182072829131</v>
      </c>
      <c r="AC96" s="535">
        <f t="shared" si="1090"/>
        <v>7.9842016806722693</v>
      </c>
      <c r="AD96" s="535">
        <f t="shared" si="1090"/>
        <v>7.9842016806722693</v>
      </c>
      <c r="AE96" s="535">
        <f t="shared" si="1090"/>
        <v>7.9842016806722693</v>
      </c>
      <c r="AF96" s="535">
        <f t="shared" si="1090"/>
        <v>7.9842016806722693</v>
      </c>
      <c r="AG96" s="535">
        <f t="shared" si="1090"/>
        <v>7.9842016806722693</v>
      </c>
      <c r="AH96" s="535">
        <f t="shared" si="1090"/>
        <v>7.9842016806722693</v>
      </c>
      <c r="AI96" s="535">
        <f t="shared" si="1090"/>
        <v>7.9901068907563024</v>
      </c>
      <c r="AJ96" s="535">
        <f t="shared" ref="AJ96" si="1091">ROUNDUP(AJ95,0)+(AJ95/7)</f>
        <v>7.9960475321008406</v>
      </c>
      <c r="AK96" s="535">
        <f t="shared" ref="AK96" si="1092">ROUNDUP(AK95,0)+(AK95/7)</f>
        <v>9.0020238172934448</v>
      </c>
      <c r="AL96" s="535">
        <f t="shared" ref="AL96" si="1093">ROUNDUP(AL95,0)+(AL95/7)</f>
        <v>9.0080359601972066</v>
      </c>
      <c r="AM96" s="535">
        <f t="shared" ref="AM96" si="1094">ROUNDUP(AM95,0)+(AM95/7)</f>
        <v>9.0140841759583896</v>
      </c>
      <c r="AN96" s="535">
        <f t="shared" ref="AN96" si="1095">ROUNDUP(AN95,0)+(AN95/7)</f>
        <v>9.0201686810141393</v>
      </c>
      <c r="AO96" s="535">
        <f t="shared" ref="AO96" si="1096">ROUNDUP(AO95,0)+(AO95/7)</f>
        <v>9.0262896931002246</v>
      </c>
      <c r="AP96" s="535">
        <f t="shared" ref="AP96" si="1097">ROUNDUP(AP95,0)+(AP95/7)</f>
        <v>9.0324474312588254</v>
      </c>
      <c r="AQ96" s="535">
        <f t="shared" ref="AQ96" si="1098">ROUNDUP(AQ95,0)+(AQ95/7)</f>
        <v>9.038642115846379</v>
      </c>
      <c r="AR96" s="535">
        <f t="shared" ref="AR96" si="1099">ROUNDUP(AR95,0)+(AR95/7)</f>
        <v>9.0448739685414576</v>
      </c>
      <c r="AS96" s="535">
        <f t="shared" ref="AS96" si="1100">ROUNDUP(AS95,0)+(AS95/7)</f>
        <v>9.0511432123527058</v>
      </c>
      <c r="AT96" s="535">
        <f t="shared" ref="AT96:AU96" si="1101">ROUNDUP(AT95,0)+(AT95/7)</f>
        <v>9.0574500716268229</v>
      </c>
      <c r="AU96" s="535">
        <f t="shared" si="1101"/>
        <v>9.0637947720565837</v>
      </c>
      <c r="AV96" s="535">
        <f t="shared" ref="AV96" si="1102">ROUNDUP(AV95,0)+(AV95/7)</f>
        <v>9.0701775406889222</v>
      </c>
      <c r="AW96" s="535">
        <f t="shared" ref="AW96" si="1103">ROUNDUP(AW95,0)+(AW95/7)</f>
        <v>9.0765986059330555</v>
      </c>
      <c r="AX96" s="535">
        <f t="shared" ref="AX96" si="1104">ROUNDUP(AX95,0)+(AX95/7)</f>
        <v>9.0830581975686542</v>
      </c>
      <c r="AY96" s="535">
        <f t="shared" ref="AY96" si="1105">ROUNDUP(AY95,0)+(AY95/7)</f>
        <v>9.089556546754066</v>
      </c>
      <c r="AZ96" s="535">
        <f t="shared" ref="AZ96" si="1106">ROUNDUP(AZ95,0)+(AZ95/7)</f>
        <v>9.0960938860345912</v>
      </c>
      <c r="BA96" s="535">
        <f t="shared" ref="BA96" si="1107">ROUNDUP(BA95,0)+(BA95/7)</f>
        <v>9.1026704493507982</v>
      </c>
      <c r="BB96" s="535">
        <f t="shared" ref="BB96" si="1108">ROUNDUP(BB95,0)+(BB95/7)</f>
        <v>9.1092864720469038</v>
      </c>
      <c r="BC96" s="535">
        <f t="shared" ref="BC96" si="1109">ROUNDUP(BC95,0)+(BC95/7)</f>
        <v>9.1159421908791849</v>
      </c>
      <c r="BD96" s="535">
        <f t="shared" ref="BD96" si="1110">ROUNDUP(BD95,0)+(BD95/7)</f>
        <v>9.1226378440244602</v>
      </c>
      <c r="BE96" s="535">
        <f t="shared" ref="BE96" si="1111">ROUNDUP(BE95,0)+(BE95/7)</f>
        <v>9.1293736710886062</v>
      </c>
      <c r="BF96" s="535">
        <f t="shared" ref="BF96:BG96" si="1112">ROUNDUP(BF95,0)+(BF95/7)</f>
        <v>9.1361499131151369</v>
      </c>
      <c r="BG96" s="535">
        <f t="shared" si="1112"/>
        <v>10.142966812593828</v>
      </c>
      <c r="BH96" s="535">
        <f t="shared" ref="BH96" si="1113">ROUNDUP(BH95,0)+(BH95/7)</f>
        <v>10.149824613469391</v>
      </c>
      <c r="BI96" s="535">
        <f t="shared" ref="BI96" si="1114">ROUNDUP(BI95,0)+(BI95/7)</f>
        <v>10.156723561150208</v>
      </c>
      <c r="BJ96" s="535">
        <f t="shared" ref="BJ96" si="1115">ROUNDUP(BJ95,0)+(BJ95/7)</f>
        <v>10.16366390251711</v>
      </c>
      <c r="BK96" s="535">
        <f t="shared" ref="BK96" si="1116">ROUNDUP(BK95,0)+(BK95/7)</f>
        <v>10.170645885932212</v>
      </c>
      <c r="BL96" s="535">
        <f t="shared" ref="BL96" si="1117">ROUNDUP(BL95,0)+(BL95/7)</f>
        <v>10.177669761247806</v>
      </c>
      <c r="BM96" s="535">
        <f t="shared" ref="BM96" si="1118">ROUNDUP(BM95,0)+(BM95/7)</f>
        <v>10.184735779815291</v>
      </c>
      <c r="BN96" s="535">
        <f t="shared" ref="BN96" si="1119">ROUNDUP(BN95,0)+(BN95/7)</f>
        <v>10.191844194494184</v>
      </c>
      <c r="BO96" s="535">
        <f t="shared" ref="BO96" si="1120">ROUNDUP(BO95,0)+(BO95/7)</f>
        <v>10.19899525966115</v>
      </c>
      <c r="BP96" s="535">
        <f t="shared" ref="BP96" si="1121">ROUNDUP(BP95,0)+(BP95/7)</f>
        <v>10.206189231219115</v>
      </c>
      <c r="BQ96" s="535">
        <f t="shared" ref="BQ96" si="1122">ROUNDUP(BQ95,0)+(BQ95/7)</f>
        <v>10.213426366606431</v>
      </c>
      <c r="BR96" s="535">
        <f t="shared" ref="BR96:BS96" si="1123">ROUNDUP(BR95,0)+(BR95/7)</f>
        <v>10.22070692480607</v>
      </c>
      <c r="BS96" s="535">
        <f t="shared" si="1123"/>
        <v>10.228031166354905</v>
      </c>
      <c r="BT96" s="535">
        <f t="shared" ref="BT96" si="1124">ROUNDUP(BT95,0)+(BT95/7)</f>
        <v>10.235399353353035</v>
      </c>
      <c r="BU96" s="535">
        <f t="shared" ref="BU96" si="1125">ROUNDUP(BU95,0)+(BU95/7)</f>
        <v>10.242811749473153</v>
      </c>
      <c r="BV96" s="535">
        <f t="shared" ref="BV96" si="1126">ROUNDUP(BV95,0)+(BV95/7)</f>
        <v>10.250268619969992</v>
      </c>
      <c r="BW96" s="535">
        <f t="shared" ref="BW96" si="1127">ROUNDUP(BW95,0)+(BW95/7)</f>
        <v>10.257770231689811</v>
      </c>
      <c r="BX96" s="535">
        <f t="shared" ref="BX96" si="1128">ROUNDUP(BX95,0)+(BX95/7)</f>
        <v>10.26531685307995</v>
      </c>
      <c r="BY96" s="535">
        <f t="shared" ref="BY96" si="1129">ROUNDUP(BY95,0)+(BY95/7)</f>
        <v>10.272908754198431</v>
      </c>
      <c r="BZ96" s="535">
        <f t="shared" ref="BZ96" si="1130">ROUNDUP(BZ95,0)+(BZ95/7)</f>
        <v>10.280546206723621</v>
      </c>
      <c r="CA96" s="535">
        <f t="shared" ref="CA96" si="1131">ROUNDUP(CA95,0)+(CA95/7)</f>
        <v>11.288229483963963</v>
      </c>
      <c r="CB96" s="535">
        <f t="shared" ref="CB96" si="1132">ROUNDUP(CB95,0)+(CB95/7)</f>
        <v>11.295958860867747</v>
      </c>
      <c r="CC96" s="535">
        <f t="shared" ref="CC96" si="1133">ROUNDUP(CC95,0)+(CC95/7)</f>
        <v>11.303734614032953</v>
      </c>
      <c r="CD96" s="535">
        <f t="shared" ref="CD96:CE96" si="1134">ROUNDUP(CD95,0)+(CD95/7)</f>
        <v>11.311557021717151</v>
      </c>
      <c r="CE96" s="535">
        <f t="shared" si="1134"/>
        <v>11.319426363847453</v>
      </c>
      <c r="CF96" s="535">
        <f t="shared" ref="CF96" si="1135">ROUNDUP(CF95,0)+(CF95/7)</f>
        <v>11.327342922030539</v>
      </c>
      <c r="CG96" s="535">
        <f t="shared" ref="CG96" si="1136">ROUNDUP(CG95,0)+(CG95/7)</f>
        <v>11.335306979562722</v>
      </c>
      <c r="CH96" s="535">
        <f t="shared" ref="CH96" si="1137">ROUNDUP(CH95,0)+(CH95/7)</f>
        <v>11.343318821440098</v>
      </c>
      <c r="CI96" s="535">
        <f t="shared" ref="CI96" si="1138">ROUNDUP(CI95,0)+(CI95/7)</f>
        <v>11.351378734368739</v>
      </c>
      <c r="CJ96" s="535">
        <f t="shared" ref="CJ96" si="1139">ROUNDUP(CJ95,0)+(CJ95/7)</f>
        <v>11.359487006774952</v>
      </c>
      <c r="CK96" s="535">
        <f t="shared" ref="CK96" si="1140">ROUNDUP(CK95,0)+(CK95/7)</f>
        <v>11.367643928815601</v>
      </c>
      <c r="CL96" s="535">
        <f t="shared" ref="CL96" si="1141">ROUNDUP(CL95,0)+(CL95/7)</f>
        <v>11.375849792388495</v>
      </c>
      <c r="CM96" s="535">
        <f t="shared" ref="CM96" si="1142">ROUNDUP(CM95,0)+(CM95/7)</f>
        <v>11.384104891142826</v>
      </c>
      <c r="CN96" s="535">
        <f t="shared" ref="CN96" si="1143">ROUNDUP(CN95,0)+(CN95/7)</f>
        <v>11.392409520489682</v>
      </c>
      <c r="CO96" s="535">
        <f t="shared" ref="CO96" si="1144">ROUNDUP(CO95,0)+(CO95/7)</f>
        <v>11.400763977612622</v>
      </c>
      <c r="CP96" s="535">
        <f t="shared" ref="CP96:CQ96" si="1145">ROUNDUP(CP95,0)+(CP95/7)</f>
        <v>11.409168561478296</v>
      </c>
      <c r="CQ96" s="535">
        <f t="shared" si="1145"/>
        <v>11.417623572847166</v>
      </c>
      <c r="CR96" s="535">
        <f t="shared" ref="CR96" si="1146">ROUNDUP(CR95,0)+(CR95/7)</f>
        <v>11.42612931428425</v>
      </c>
      <c r="CS96" s="535">
        <f t="shared" ref="CS96" si="1147">ROUNDUP(CS95,0)+(CS95/7)</f>
        <v>12.434686090169954</v>
      </c>
      <c r="CT96" s="535">
        <f t="shared" ref="CT96" si="1148">ROUNDUP(CT95,0)+(CT95/7)</f>
        <v>12.443294206710975</v>
      </c>
      <c r="CU96" s="535">
        <f t="shared" ref="CU96" si="1149">ROUNDUP(CU95,0)+(CU95/7)</f>
        <v>12.451953971951241</v>
      </c>
      <c r="CV96" s="535">
        <f t="shared" ref="CV96" si="1150">ROUNDUP(CV95,0)+(CV95/7)</f>
        <v>12.460665695782948</v>
      </c>
      <c r="CW96" s="535">
        <f t="shared" ref="CW96" si="1151">ROUNDUP(CW95,0)+(CW95/7)</f>
        <v>12.469429689957645</v>
      </c>
      <c r="CX96" s="535">
        <f t="shared" ref="CX96" si="1152">ROUNDUP(CX95,0)+(CX95/7)</f>
        <v>12.478246268097392</v>
      </c>
      <c r="CY96" s="535">
        <f t="shared" ref="CY96" si="1153">ROUNDUP(CY95,0)+(CY95/7)</f>
        <v>12.487115745705976</v>
      </c>
      <c r="CZ96" s="535">
        <f t="shared" ref="CZ96" si="1154">ROUNDUP(CZ95,0)+(CZ95/7)</f>
        <v>12.496038440180211</v>
      </c>
      <c r="DA96" s="535">
        <f t="shared" ref="DA96" si="1155">ROUNDUP(DA95,0)+(DA95/7)</f>
        <v>12.505014670821293</v>
      </c>
      <c r="DB96" s="535">
        <f t="shared" ref="DB96:DC96" si="1156">ROUNDUP(DB95,0)+(DB95/7)</f>
        <v>12.51404475884622</v>
      </c>
      <c r="DC96" s="535">
        <f t="shared" si="1156"/>
        <v>12.523129027399298</v>
      </c>
      <c r="DD96" s="535">
        <f t="shared" ref="DD96" si="1157">ROUNDUP(DD95,0)+(DD95/7)</f>
        <v>12.532267801563693</v>
      </c>
      <c r="DE96" s="535">
        <f t="shared" ref="DE96" si="1158">ROUNDUP(DE95,0)+(DE95/7)</f>
        <v>12.541461408373076</v>
      </c>
      <c r="DF96" s="535">
        <f t="shared" ref="DF96" si="1159">ROUNDUP(DF95,0)+(DF95/7)</f>
        <v>12.550710176823314</v>
      </c>
      <c r="DG96" s="535">
        <f t="shared" ref="DG96" si="1160">ROUNDUP(DG95,0)+(DG95/7)</f>
        <v>12.560014437884254</v>
      </c>
      <c r="DH96" s="535">
        <f t="shared" ref="DH96" si="1161">ROUNDUP(DH95,0)+(DH95/7)</f>
        <v>12.569374524511559</v>
      </c>
      <c r="DI96" s="535">
        <f t="shared" ref="DI96" si="1162">ROUNDUP(DI95,0)+(DI95/7)</f>
        <v>13.57879077165863</v>
      </c>
      <c r="DJ96" s="535">
        <f t="shared" ref="DJ96" si="1163">ROUNDUP(DJ95,0)+(DJ95/7)</f>
        <v>13.588263516288581</v>
      </c>
      <c r="DK96" s="535">
        <f t="shared" ref="DK96" si="1164">ROUNDUP(DK95,0)+(DK95/7)</f>
        <v>13.597793097386312</v>
      </c>
      <c r="DL96" s="535">
        <f t="shared" ref="DL96" si="1165">ROUNDUP(DL95,0)+(DL95/7)</f>
        <v>13.607379855970631</v>
      </c>
      <c r="DM96" s="535">
        <f t="shared" ref="DM96" si="1166">ROUNDUP(DM95,0)+(DM95/7)</f>
        <v>13.617024135106455</v>
      </c>
      <c r="DN96" s="535">
        <f t="shared" ref="DN96:DO96" si="1167">ROUNDUP(DN95,0)+(DN95/7)</f>
        <v>13.626726279917094</v>
      </c>
      <c r="DO96" s="535">
        <f t="shared" si="1167"/>
        <v>13.636486637596596</v>
      </c>
      <c r="DP96" s="535">
        <f t="shared" ref="DP96" si="1168">ROUNDUP(DP95,0)+(DP95/7)</f>
        <v>13.646305557422174</v>
      </c>
      <c r="DQ96" s="535">
        <f t="shared" ref="DQ96" si="1169">ROUNDUP(DQ95,0)+(DQ95/7)</f>
        <v>13.656183390766708</v>
      </c>
      <c r="DR96" s="535">
        <f t="shared" ref="DR96" si="1170">ROUNDUP(DR95,0)+(DR95/7)</f>
        <v>13.666120491111307</v>
      </c>
      <c r="DS96" s="535">
        <f t="shared" ref="DS96" si="1171">ROUNDUP(DS95,0)+(DS95/7)</f>
        <v>13.676117214057976</v>
      </c>
      <c r="DT96" s="535">
        <f t="shared" ref="DT96" si="1172">ROUNDUP(DT95,0)+(DT95/7)</f>
        <v>13.686173917342323</v>
      </c>
      <c r="DU96" s="535">
        <f t="shared" ref="DU96" si="1173">ROUNDUP(DU95,0)+(DU95/7)</f>
        <v>13.696290960846378</v>
      </c>
      <c r="DV96" s="535">
        <f t="shared" ref="DV96" si="1174">ROUNDUP(DV95,0)+(DV95/7)</f>
        <v>13.706468706611457</v>
      </c>
      <c r="DW96" s="535">
        <f t="shared" ref="DW96" si="1175">ROUNDUP(DW95,0)+(DW95/7)</f>
        <v>14.716707518851125</v>
      </c>
      <c r="DX96" s="535">
        <f t="shared" ref="DX96" si="1176">ROUNDUP(DX95,0)+(DX95/7)</f>
        <v>14.727007763964231</v>
      </c>
      <c r="DY96" s="535">
        <f t="shared" ref="DY96" si="1177">ROUNDUP(DY95,0)+(DY95/7)</f>
        <v>14.737369810548017</v>
      </c>
      <c r="DZ96" s="535">
        <f t="shared" ref="DZ96:EA96" si="1178">ROUNDUP(DZ95,0)+(DZ95/7)</f>
        <v>14.747794029411304</v>
      </c>
      <c r="EA96" s="535">
        <f t="shared" si="1178"/>
        <v>14.758280793587772</v>
      </c>
      <c r="EB96" s="535">
        <f t="shared" ref="EB96" si="1179">ROUNDUP(EB95,0)+(EB95/7)</f>
        <v>14.768830478349299</v>
      </c>
      <c r="EC96" s="535">
        <f t="shared" ref="EC96" si="1180">ROUNDUP(EC95,0)+(EC95/7)</f>
        <v>14.779443461219396</v>
      </c>
      <c r="ED96" s="535">
        <f t="shared" ref="ED96" si="1181">ROUNDUP(ED95,0)+(ED95/7)</f>
        <v>14.790120121986712</v>
      </c>
    </row>
    <row r="97" spans="2:134" ht="18.75" outlineLevel="1" x14ac:dyDescent="0.3">
      <c r="B97" s="81"/>
      <c r="C97" s="736"/>
      <c r="D97" s="745" t="s">
        <v>231</v>
      </c>
      <c r="E97" s="746"/>
      <c r="F97" s="746"/>
      <c r="G97" s="746"/>
      <c r="H97" s="746"/>
      <c r="I97" s="746"/>
      <c r="J97" s="746"/>
      <c r="K97" s="746"/>
      <c r="L97" s="747"/>
      <c r="M97" s="176"/>
      <c r="N97" s="591">
        <f>'XFMR Data'!T4*('XFMR Data'!Q4/100)</f>
        <v>224.77</v>
      </c>
      <c r="O97" s="592"/>
      <c r="P97" s="591"/>
      <c r="Q97" s="177"/>
      <c r="R97" s="177"/>
      <c r="S97" s="708" t="s">
        <v>232</v>
      </c>
      <c r="T97" s="709"/>
      <c r="U97" s="298"/>
      <c r="V97" s="298"/>
      <c r="W97" s="591"/>
      <c r="X97" s="591"/>
      <c r="Y97" s="591"/>
      <c r="Z97" s="591"/>
      <c r="AA97" s="591"/>
      <c r="AB97" s="591"/>
      <c r="AC97" s="591"/>
      <c r="AD97" s="591"/>
      <c r="AE97" s="591"/>
      <c r="AF97" s="591"/>
      <c r="AG97" s="591"/>
      <c r="AH97" s="591"/>
      <c r="AI97" s="591"/>
      <c r="AJ97" s="591"/>
      <c r="AK97" s="591"/>
      <c r="AL97" s="591"/>
      <c r="AM97" s="591"/>
      <c r="AN97" s="591"/>
      <c r="AO97" s="591"/>
      <c r="AP97" s="591"/>
      <c r="AQ97" s="591"/>
      <c r="AR97" s="591"/>
      <c r="AS97" s="591"/>
      <c r="AT97" s="591"/>
      <c r="AU97" s="591"/>
      <c r="AV97" s="591"/>
      <c r="AW97" s="591"/>
      <c r="AX97" s="591"/>
      <c r="AY97" s="591"/>
      <c r="AZ97" s="591"/>
      <c r="BA97" s="591"/>
      <c r="BB97" s="591"/>
      <c r="BC97" s="591"/>
      <c r="BD97" s="591"/>
      <c r="BE97" s="591"/>
      <c r="BF97" s="591"/>
      <c r="BG97" s="591"/>
      <c r="BH97" s="591"/>
      <c r="BI97" s="591"/>
      <c r="BJ97" s="591"/>
      <c r="BK97" s="591"/>
      <c r="BL97" s="591"/>
      <c r="BM97" s="591"/>
      <c r="BN97" s="591"/>
      <c r="BO97" s="591"/>
      <c r="BP97" s="591"/>
      <c r="BQ97" s="591"/>
      <c r="BR97" s="591"/>
      <c r="BS97" s="591"/>
      <c r="BT97" s="591"/>
      <c r="BU97" s="591"/>
      <c r="BV97" s="591"/>
      <c r="BW97" s="591"/>
      <c r="BX97" s="591"/>
      <c r="BY97" s="591"/>
      <c r="BZ97" s="591"/>
      <c r="CA97" s="591"/>
      <c r="CB97" s="591"/>
      <c r="CC97" s="591"/>
      <c r="CD97" s="591"/>
      <c r="CE97" s="591"/>
      <c r="CF97" s="591"/>
      <c r="CG97" s="591"/>
      <c r="CH97" s="591"/>
      <c r="CI97" s="591"/>
      <c r="CJ97" s="591"/>
      <c r="CK97" s="591"/>
      <c r="CL97" s="591"/>
      <c r="CM97" s="591"/>
      <c r="CN97" s="591"/>
      <c r="CO97" s="591"/>
      <c r="CP97" s="591"/>
      <c r="CQ97" s="591"/>
      <c r="CR97" s="591"/>
      <c r="CS97" s="591"/>
      <c r="CT97" s="591"/>
      <c r="CU97" s="591"/>
      <c r="CV97" s="591"/>
      <c r="CW97" s="591"/>
      <c r="CX97" s="591"/>
      <c r="CY97" s="591"/>
      <c r="CZ97" s="591"/>
      <c r="DA97" s="591"/>
      <c r="DB97" s="591"/>
      <c r="DC97" s="591"/>
      <c r="DD97" s="591"/>
      <c r="DE97" s="591"/>
      <c r="DF97" s="591"/>
      <c r="DG97" s="591"/>
      <c r="DH97" s="591"/>
      <c r="DI97" s="591"/>
      <c r="DJ97" s="591"/>
      <c r="DK97" s="591"/>
      <c r="DL97" s="591"/>
      <c r="DM97" s="591"/>
      <c r="DN97" s="591"/>
      <c r="DO97" s="591"/>
      <c r="DP97" s="591"/>
      <c r="DQ97" s="591"/>
      <c r="DR97" s="591"/>
      <c r="DS97" s="591"/>
      <c r="DT97" s="591"/>
      <c r="DU97" s="591"/>
      <c r="DV97" s="591"/>
      <c r="DW97" s="591"/>
      <c r="DX97" s="591"/>
      <c r="DY97" s="591"/>
      <c r="DZ97" s="591"/>
      <c r="EA97" s="591"/>
      <c r="EB97" s="591"/>
      <c r="EC97" s="591"/>
      <c r="ED97" s="591"/>
    </row>
    <row r="98" spans="2:134" ht="18.75" outlineLevel="1" x14ac:dyDescent="0.3">
      <c r="B98" s="81"/>
      <c r="C98" s="736"/>
      <c r="D98" s="617" t="s">
        <v>233</v>
      </c>
      <c r="E98" s="618"/>
      <c r="F98" s="618"/>
      <c r="G98" s="618"/>
      <c r="H98" s="618"/>
      <c r="I98" s="618"/>
      <c r="J98" s="618"/>
      <c r="K98" s="618"/>
      <c r="L98" s="618"/>
      <c r="M98" s="618"/>
      <c r="N98" s="614">
        <f>N95/$T$98</f>
        <v>0.70516078431372553</v>
      </c>
      <c r="O98" s="614">
        <f t="shared" ref="O98:P98" si="1182">O95/$T$98</f>
        <v>0.76382745098039218</v>
      </c>
      <c r="P98" s="614">
        <f t="shared" si="1182"/>
        <v>0.68894117647058828</v>
      </c>
      <c r="Q98" s="615"/>
      <c r="R98" s="616"/>
      <c r="S98" s="535"/>
      <c r="T98" s="613">
        <f>((S93*T93))</f>
        <v>10</v>
      </c>
      <c r="U98" s="298"/>
      <c r="V98" s="298"/>
      <c r="W98" s="591"/>
      <c r="X98" s="591"/>
      <c r="Y98" s="591"/>
      <c r="Z98" s="591"/>
      <c r="AA98" s="591"/>
      <c r="AB98" s="591"/>
      <c r="AC98" s="591"/>
      <c r="AD98" s="591"/>
      <c r="AE98" s="591"/>
      <c r="AF98" s="591"/>
      <c r="AG98" s="591"/>
      <c r="AH98" s="591"/>
      <c r="AI98" s="591"/>
      <c r="AJ98" s="591"/>
      <c r="AK98" s="591"/>
      <c r="AL98" s="591"/>
      <c r="AM98" s="591"/>
      <c r="AN98" s="591"/>
      <c r="AO98" s="591"/>
      <c r="AP98" s="591"/>
      <c r="AQ98" s="591"/>
      <c r="AR98" s="591"/>
      <c r="AS98" s="591"/>
      <c r="AT98" s="591"/>
      <c r="AU98" s="591"/>
      <c r="AV98" s="591"/>
      <c r="AW98" s="591"/>
      <c r="AX98" s="591"/>
      <c r="AY98" s="591"/>
      <c r="AZ98" s="591"/>
      <c r="BA98" s="591"/>
      <c r="BB98" s="591"/>
      <c r="BC98" s="591"/>
      <c r="BD98" s="591"/>
      <c r="BE98" s="591"/>
      <c r="BF98" s="591"/>
      <c r="BG98" s="591"/>
      <c r="BH98" s="591"/>
      <c r="BI98" s="591"/>
      <c r="BJ98" s="591"/>
      <c r="BK98" s="591"/>
      <c r="BL98" s="591"/>
      <c r="BM98" s="591"/>
      <c r="BN98" s="591"/>
      <c r="BO98" s="591"/>
      <c r="BP98" s="591"/>
      <c r="BQ98" s="591"/>
      <c r="BR98" s="591"/>
      <c r="BS98" s="591"/>
      <c r="BT98" s="591"/>
      <c r="BU98" s="591"/>
      <c r="BV98" s="591"/>
      <c r="BW98" s="591"/>
      <c r="BX98" s="591"/>
      <c r="BY98" s="591"/>
      <c r="BZ98" s="591"/>
      <c r="CA98" s="591"/>
      <c r="CB98" s="591"/>
      <c r="CC98" s="591"/>
      <c r="CD98" s="591"/>
      <c r="CE98" s="591"/>
      <c r="CF98" s="591"/>
      <c r="CG98" s="591"/>
      <c r="CH98" s="591"/>
      <c r="CI98" s="591"/>
      <c r="CJ98" s="591"/>
      <c r="CK98" s="591"/>
      <c r="CL98" s="591"/>
      <c r="CM98" s="591"/>
      <c r="CN98" s="591"/>
      <c r="CO98" s="591"/>
      <c r="CP98" s="591"/>
      <c r="CQ98" s="591"/>
      <c r="CR98" s="591"/>
      <c r="CS98" s="591"/>
      <c r="CT98" s="591"/>
      <c r="CU98" s="591"/>
      <c r="CV98" s="591"/>
      <c r="CW98" s="591"/>
      <c r="CX98" s="591"/>
      <c r="CY98" s="591"/>
      <c r="CZ98" s="591"/>
      <c r="DA98" s="591"/>
      <c r="DB98" s="591"/>
      <c r="DC98" s="591"/>
      <c r="DD98" s="591"/>
      <c r="DE98" s="591"/>
      <c r="DF98" s="591"/>
      <c r="DG98" s="591"/>
      <c r="DH98" s="591"/>
      <c r="DI98" s="591"/>
      <c r="DJ98" s="591"/>
      <c r="DK98" s="591"/>
      <c r="DL98" s="591"/>
      <c r="DM98" s="591"/>
      <c r="DN98" s="591"/>
      <c r="DO98" s="591"/>
      <c r="DP98" s="591"/>
      <c r="DQ98" s="591"/>
      <c r="DR98" s="591"/>
      <c r="DS98" s="591"/>
      <c r="DT98" s="591"/>
      <c r="DU98" s="591"/>
      <c r="DV98" s="591"/>
      <c r="DW98" s="591"/>
      <c r="DX98" s="591"/>
      <c r="DY98" s="591"/>
      <c r="DZ98" s="591"/>
      <c r="EA98" s="591"/>
      <c r="EB98" s="591"/>
      <c r="EC98" s="591"/>
      <c r="ED98" s="591"/>
    </row>
    <row r="99" spans="2:134" ht="18.75" x14ac:dyDescent="0.3">
      <c r="B99" s="81"/>
      <c r="C99" s="736"/>
      <c r="D99" s="81"/>
      <c r="AI99" s="133"/>
      <c r="AU99" s="133"/>
      <c r="BG99" s="133"/>
      <c r="BS99" s="133"/>
      <c r="CE99" s="133"/>
      <c r="CQ99" s="133"/>
      <c r="DC99" s="133"/>
      <c r="DO99" s="133"/>
      <c r="EA99" s="133"/>
    </row>
    <row r="100" spans="2:134" ht="18.75" outlineLevel="1" x14ac:dyDescent="0.3">
      <c r="C100" s="475"/>
      <c r="D100" s="215" t="s">
        <v>266</v>
      </c>
      <c r="E100" s="127"/>
      <c r="F100" s="127"/>
      <c r="G100" s="127"/>
      <c r="H100" s="127"/>
      <c r="I100" s="127"/>
      <c r="J100" s="127"/>
      <c r="K100" s="127"/>
      <c r="L100" s="216"/>
      <c r="M100" s="127"/>
      <c r="N100" s="217" t="s">
        <v>267</v>
      </c>
      <c r="O100" s="127"/>
      <c r="P100" s="127"/>
      <c r="Q100" s="127"/>
      <c r="R100" s="216"/>
      <c r="S100" s="127"/>
      <c r="T100" s="127"/>
      <c r="U100" s="127"/>
      <c r="V100" s="276">
        <f>SUM(V102,V104,V106,V110,V112,V116,V118,V120,V122)</f>
        <v>8</v>
      </c>
      <c r="W100" s="282">
        <f>SUM(V102,V104,V106,V110,V112,V116,V118,V120,V122)</f>
        <v>8</v>
      </c>
      <c r="X100" s="283">
        <f>SUM(W102,W104,W106,W110,W112,W116,W118,W120,W122)</f>
        <v>0</v>
      </c>
      <c r="Y100" s="283">
        <f t="shared" ref="Y100:BB100" si="1183">SUM(X102,X104,X106,X110,X112,X116,X118,X120,X122)</f>
        <v>0</v>
      </c>
      <c r="Z100" s="283">
        <f t="shared" si="1183"/>
        <v>0</v>
      </c>
      <c r="AA100" s="283">
        <f t="shared" si="1183"/>
        <v>0</v>
      </c>
      <c r="AB100" s="283">
        <f t="shared" si="1183"/>
        <v>0</v>
      </c>
      <c r="AC100" s="283">
        <f t="shared" si="1183"/>
        <v>0</v>
      </c>
      <c r="AD100" s="283">
        <f t="shared" si="1183"/>
        <v>0</v>
      </c>
      <c r="AE100" s="283">
        <f>SUM(AD102,AD104,AD106,AD110,AD112,AD116,AD118,AD120,AD122)</f>
        <v>0</v>
      </c>
      <c r="AF100" s="283">
        <f t="shared" si="1183"/>
        <v>0</v>
      </c>
      <c r="AG100" s="283">
        <f t="shared" si="1183"/>
        <v>0</v>
      </c>
      <c r="AH100" s="283">
        <f t="shared" si="1183"/>
        <v>0</v>
      </c>
      <c r="AI100" s="284">
        <f t="shared" si="1183"/>
        <v>0</v>
      </c>
      <c r="AJ100" s="283">
        <f t="shared" si="1183"/>
        <v>0</v>
      </c>
      <c r="AK100" s="283">
        <f t="shared" si="1183"/>
        <v>0</v>
      </c>
      <c r="AL100" s="283">
        <f t="shared" si="1183"/>
        <v>0</v>
      </c>
      <c r="AM100" s="283">
        <f t="shared" si="1183"/>
        <v>0</v>
      </c>
      <c r="AN100" s="283">
        <f>SUM(AM102,AM104,AM106,AM110,AM112,AM116,AM118,AM120,AM122)</f>
        <v>0</v>
      </c>
      <c r="AO100" s="283">
        <f t="shared" si="1183"/>
        <v>0</v>
      </c>
      <c r="AP100" s="283">
        <f t="shared" si="1183"/>
        <v>0</v>
      </c>
      <c r="AQ100" s="283">
        <f t="shared" si="1183"/>
        <v>0</v>
      </c>
      <c r="AR100" s="283">
        <f t="shared" si="1183"/>
        <v>0</v>
      </c>
      <c r="AS100" s="283">
        <f t="shared" si="1183"/>
        <v>0</v>
      </c>
      <c r="AT100" s="283">
        <f t="shared" si="1183"/>
        <v>0</v>
      </c>
      <c r="AU100" s="284">
        <f t="shared" si="1183"/>
        <v>0</v>
      </c>
      <c r="AV100" s="283">
        <f t="shared" si="1183"/>
        <v>0</v>
      </c>
      <c r="AW100" s="283">
        <f t="shared" si="1183"/>
        <v>0</v>
      </c>
      <c r="AX100" s="283">
        <f t="shared" si="1183"/>
        <v>0</v>
      </c>
      <c r="AY100" s="283">
        <f t="shared" si="1183"/>
        <v>0</v>
      </c>
      <c r="AZ100" s="283">
        <f t="shared" si="1183"/>
        <v>0</v>
      </c>
      <c r="BA100" s="283">
        <f t="shared" si="1183"/>
        <v>0</v>
      </c>
      <c r="BB100" s="283">
        <f t="shared" si="1183"/>
        <v>0</v>
      </c>
      <c r="BC100" s="283">
        <f t="shared" ref="BC100:CH100" si="1184">SUM(BB102,BB104,BB106,BB110,BB112,BB116,BB118,BB120,BB122)</f>
        <v>0</v>
      </c>
      <c r="BD100" s="283">
        <f t="shared" si="1184"/>
        <v>0</v>
      </c>
      <c r="BE100" s="283">
        <f t="shared" si="1184"/>
        <v>0</v>
      </c>
      <c r="BF100" s="283">
        <f t="shared" si="1184"/>
        <v>0</v>
      </c>
      <c r="BG100" s="284">
        <f t="shared" si="1184"/>
        <v>0</v>
      </c>
      <c r="BH100" s="283">
        <f t="shared" si="1184"/>
        <v>0</v>
      </c>
      <c r="BI100" s="283">
        <f t="shared" si="1184"/>
        <v>0</v>
      </c>
      <c r="BJ100" s="283">
        <f t="shared" si="1184"/>
        <v>0</v>
      </c>
      <c r="BK100" s="283">
        <f t="shared" si="1184"/>
        <v>0</v>
      </c>
      <c r="BL100" s="283">
        <f t="shared" si="1184"/>
        <v>0</v>
      </c>
      <c r="BM100" s="283">
        <f t="shared" si="1184"/>
        <v>0</v>
      </c>
      <c r="BN100" s="283">
        <f t="shared" si="1184"/>
        <v>0</v>
      </c>
      <c r="BO100" s="283">
        <f t="shared" si="1184"/>
        <v>0</v>
      </c>
      <c r="BP100" s="283">
        <f t="shared" si="1184"/>
        <v>0</v>
      </c>
      <c r="BQ100" s="283">
        <f t="shared" si="1184"/>
        <v>0</v>
      </c>
      <c r="BR100" s="283">
        <f t="shared" si="1184"/>
        <v>0</v>
      </c>
      <c r="BS100" s="284">
        <f t="shared" si="1184"/>
        <v>0</v>
      </c>
      <c r="BT100" s="283">
        <f t="shared" si="1184"/>
        <v>0</v>
      </c>
      <c r="BU100" s="283">
        <f t="shared" si="1184"/>
        <v>0</v>
      </c>
      <c r="BV100" s="283">
        <f t="shared" si="1184"/>
        <v>0</v>
      </c>
      <c r="BW100" s="283">
        <f t="shared" si="1184"/>
        <v>0</v>
      </c>
      <c r="BX100" s="283">
        <f t="shared" si="1184"/>
        <v>0</v>
      </c>
      <c r="BY100" s="283">
        <f t="shared" si="1184"/>
        <v>0</v>
      </c>
      <c r="BZ100" s="283">
        <f t="shared" si="1184"/>
        <v>0</v>
      </c>
      <c r="CA100" s="283">
        <f t="shared" si="1184"/>
        <v>0</v>
      </c>
      <c r="CB100" s="283">
        <f t="shared" si="1184"/>
        <v>0</v>
      </c>
      <c r="CC100" s="283">
        <f t="shared" si="1184"/>
        <v>0</v>
      </c>
      <c r="CD100" s="283">
        <f t="shared" si="1184"/>
        <v>0</v>
      </c>
      <c r="CE100" s="284">
        <f t="shared" si="1184"/>
        <v>0</v>
      </c>
      <c r="CF100" s="283">
        <f t="shared" si="1184"/>
        <v>0</v>
      </c>
      <c r="CG100" s="283">
        <f t="shared" si="1184"/>
        <v>0</v>
      </c>
      <c r="CH100" s="283">
        <f t="shared" si="1184"/>
        <v>0</v>
      </c>
      <c r="CI100" s="283">
        <f t="shared" ref="CI100:DN100" si="1185">SUM(CH102,CH104,CH106,CH110,CH112,CH116,CH118,CH120,CH122)</f>
        <v>0</v>
      </c>
      <c r="CJ100" s="283">
        <f t="shared" si="1185"/>
        <v>0</v>
      </c>
      <c r="CK100" s="283">
        <f t="shared" si="1185"/>
        <v>0</v>
      </c>
      <c r="CL100" s="283">
        <f t="shared" si="1185"/>
        <v>0</v>
      </c>
      <c r="CM100" s="283">
        <f t="shared" si="1185"/>
        <v>0</v>
      </c>
      <c r="CN100" s="283">
        <f t="shared" si="1185"/>
        <v>0</v>
      </c>
      <c r="CO100" s="283">
        <f t="shared" si="1185"/>
        <v>0</v>
      </c>
      <c r="CP100" s="283">
        <f t="shared" si="1185"/>
        <v>0</v>
      </c>
      <c r="CQ100" s="284">
        <f t="shared" si="1185"/>
        <v>0</v>
      </c>
      <c r="CR100" s="283">
        <f t="shared" si="1185"/>
        <v>0</v>
      </c>
      <c r="CS100" s="283">
        <f t="shared" si="1185"/>
        <v>0</v>
      </c>
      <c r="CT100" s="283">
        <f t="shared" si="1185"/>
        <v>0</v>
      </c>
      <c r="CU100" s="283">
        <f t="shared" si="1185"/>
        <v>0</v>
      </c>
      <c r="CV100" s="283">
        <f t="shared" si="1185"/>
        <v>0</v>
      </c>
      <c r="CW100" s="283">
        <f t="shared" si="1185"/>
        <v>0</v>
      </c>
      <c r="CX100" s="283">
        <f t="shared" si="1185"/>
        <v>0</v>
      </c>
      <c r="CY100" s="283">
        <f t="shared" si="1185"/>
        <v>0</v>
      </c>
      <c r="CZ100" s="283">
        <f t="shared" si="1185"/>
        <v>0</v>
      </c>
      <c r="DA100" s="283">
        <f t="shared" si="1185"/>
        <v>0</v>
      </c>
      <c r="DB100" s="283">
        <f t="shared" si="1185"/>
        <v>0</v>
      </c>
      <c r="DC100" s="284">
        <f t="shared" si="1185"/>
        <v>0</v>
      </c>
      <c r="DD100" s="283">
        <f t="shared" si="1185"/>
        <v>0</v>
      </c>
      <c r="DE100" s="283">
        <f t="shared" si="1185"/>
        <v>0</v>
      </c>
      <c r="DF100" s="283">
        <f t="shared" si="1185"/>
        <v>0</v>
      </c>
      <c r="DG100" s="283">
        <f t="shared" si="1185"/>
        <v>0</v>
      </c>
      <c r="DH100" s="283">
        <f t="shared" si="1185"/>
        <v>0</v>
      </c>
      <c r="DI100" s="283">
        <f t="shared" si="1185"/>
        <v>0</v>
      </c>
      <c r="DJ100" s="283">
        <f t="shared" si="1185"/>
        <v>0</v>
      </c>
      <c r="DK100" s="283">
        <f t="shared" si="1185"/>
        <v>0</v>
      </c>
      <c r="DL100" s="283">
        <f t="shared" si="1185"/>
        <v>0</v>
      </c>
      <c r="DM100" s="283">
        <f t="shared" si="1185"/>
        <v>0</v>
      </c>
      <c r="DN100" s="283">
        <f t="shared" si="1185"/>
        <v>0</v>
      </c>
      <c r="DO100" s="284">
        <f t="shared" ref="DO100:ED100" si="1186">SUM(DN102,DN104,DN106,DN110,DN112,DN116,DN118,DN120,DN122)</f>
        <v>0</v>
      </c>
      <c r="DP100" s="283">
        <f t="shared" si="1186"/>
        <v>0</v>
      </c>
      <c r="DQ100" s="283">
        <f t="shared" si="1186"/>
        <v>0</v>
      </c>
      <c r="DR100" s="283">
        <f t="shared" si="1186"/>
        <v>0</v>
      </c>
      <c r="DS100" s="283">
        <f t="shared" si="1186"/>
        <v>0</v>
      </c>
      <c r="DT100" s="283">
        <f t="shared" si="1186"/>
        <v>0</v>
      </c>
      <c r="DU100" s="283">
        <f t="shared" si="1186"/>
        <v>0</v>
      </c>
      <c r="DV100" s="283">
        <f t="shared" si="1186"/>
        <v>0</v>
      </c>
      <c r="DW100" s="283">
        <f t="shared" si="1186"/>
        <v>0</v>
      </c>
      <c r="DX100" s="283">
        <f t="shared" si="1186"/>
        <v>0</v>
      </c>
      <c r="DY100" s="283">
        <f t="shared" si="1186"/>
        <v>0</v>
      </c>
      <c r="DZ100" s="283">
        <f t="shared" si="1186"/>
        <v>0</v>
      </c>
      <c r="EA100" s="284">
        <f t="shared" si="1186"/>
        <v>0</v>
      </c>
      <c r="EB100" s="283">
        <f t="shared" si="1186"/>
        <v>0</v>
      </c>
      <c r="EC100" s="283">
        <f t="shared" si="1186"/>
        <v>0</v>
      </c>
      <c r="ED100" s="285">
        <f t="shared" si="1186"/>
        <v>0</v>
      </c>
    </row>
    <row r="101" spans="2:134" outlineLevel="1" x14ac:dyDescent="0.25">
      <c r="C101" s="475"/>
      <c r="D101" s="710" t="s">
        <v>268</v>
      </c>
      <c r="E101" s="710"/>
      <c r="F101" s="710"/>
      <c r="G101" s="710"/>
      <c r="H101" s="710"/>
      <c r="I101" s="710"/>
      <c r="J101" s="710"/>
      <c r="K101" s="710"/>
      <c r="L101" s="216"/>
      <c r="M101" s="493">
        <f>N101*100</f>
        <v>0</v>
      </c>
      <c r="N101" s="218"/>
      <c r="O101" s="219"/>
      <c r="P101" s="219"/>
      <c r="Q101" s="219"/>
      <c r="R101" s="220">
        <f>P101-N101</f>
        <v>0</v>
      </c>
      <c r="S101" s="221">
        <f>Q101*100</f>
        <v>0</v>
      </c>
      <c r="T101" s="221"/>
      <c r="U101" s="127"/>
      <c r="V101" s="276"/>
      <c r="W101" s="293">
        <f>M101</f>
        <v>0</v>
      </c>
      <c r="X101" s="294">
        <f>W101</f>
        <v>0</v>
      </c>
      <c r="Y101" s="294">
        <f>X101</f>
        <v>0</v>
      </c>
      <c r="Z101" s="294">
        <f>O101*100</f>
        <v>0</v>
      </c>
      <c r="AA101" s="294">
        <f>Z101</f>
        <v>0</v>
      </c>
      <c r="AB101" s="294">
        <f>AA101</f>
        <v>0</v>
      </c>
      <c r="AC101" s="294">
        <f>P101*100</f>
        <v>0</v>
      </c>
      <c r="AD101" s="294">
        <f>AC101</f>
        <v>0</v>
      </c>
      <c r="AE101" s="294">
        <f>AD101</f>
        <v>0</v>
      </c>
      <c r="AF101" s="294">
        <f>AE101</f>
        <v>0</v>
      </c>
      <c r="AG101" s="294">
        <f>AF101</f>
        <v>0</v>
      </c>
      <c r="AH101" s="294">
        <f>AG101</f>
        <v>0</v>
      </c>
      <c r="AI101" s="295">
        <f t="shared" ref="AI101:AT101" si="1187">(((AH101*(1+($B$36*$B$4)))-AH101)/12)+AH101</f>
        <v>0</v>
      </c>
      <c r="AJ101" s="294">
        <f t="shared" si="1187"/>
        <v>0</v>
      </c>
      <c r="AK101" s="294">
        <f t="shared" si="1187"/>
        <v>0</v>
      </c>
      <c r="AL101" s="294">
        <f t="shared" si="1187"/>
        <v>0</v>
      </c>
      <c r="AM101" s="294">
        <f t="shared" si="1187"/>
        <v>0</v>
      </c>
      <c r="AN101" s="294">
        <f t="shared" si="1187"/>
        <v>0</v>
      </c>
      <c r="AO101" s="294">
        <f t="shared" si="1187"/>
        <v>0</v>
      </c>
      <c r="AP101" s="294">
        <f t="shared" si="1187"/>
        <v>0</v>
      </c>
      <c r="AQ101" s="294">
        <f t="shared" si="1187"/>
        <v>0</v>
      </c>
      <c r="AR101" s="294">
        <f t="shared" si="1187"/>
        <v>0</v>
      </c>
      <c r="AS101" s="294">
        <f t="shared" si="1187"/>
        <v>0</v>
      </c>
      <c r="AT101" s="294">
        <f t="shared" si="1187"/>
        <v>0</v>
      </c>
      <c r="AU101" s="295">
        <f t="shared" ref="AU101:BF101" si="1188">(((AT101*(1+($B$37*$B$4)))-AT101)/12)+AT101</f>
        <v>0</v>
      </c>
      <c r="AV101" s="294">
        <f t="shared" si="1188"/>
        <v>0</v>
      </c>
      <c r="AW101" s="294">
        <f t="shared" si="1188"/>
        <v>0</v>
      </c>
      <c r="AX101" s="294">
        <f t="shared" si="1188"/>
        <v>0</v>
      </c>
      <c r="AY101" s="294">
        <f t="shared" si="1188"/>
        <v>0</v>
      </c>
      <c r="AZ101" s="294">
        <f t="shared" si="1188"/>
        <v>0</v>
      </c>
      <c r="BA101" s="294">
        <f t="shared" si="1188"/>
        <v>0</v>
      </c>
      <c r="BB101" s="294">
        <f t="shared" si="1188"/>
        <v>0</v>
      </c>
      <c r="BC101" s="294">
        <f t="shared" si="1188"/>
        <v>0</v>
      </c>
      <c r="BD101" s="294">
        <f t="shared" si="1188"/>
        <v>0</v>
      </c>
      <c r="BE101" s="294">
        <f t="shared" si="1188"/>
        <v>0</v>
      </c>
      <c r="BF101" s="294">
        <f t="shared" si="1188"/>
        <v>0</v>
      </c>
      <c r="BG101" s="295">
        <f t="shared" ref="BG101:BR101" si="1189">(((BF101*(1+($B$38*$B$4)))-BF101)/12)+BF101</f>
        <v>0</v>
      </c>
      <c r="BH101" s="294">
        <f t="shared" si="1189"/>
        <v>0</v>
      </c>
      <c r="BI101" s="294">
        <f t="shared" si="1189"/>
        <v>0</v>
      </c>
      <c r="BJ101" s="294">
        <f t="shared" si="1189"/>
        <v>0</v>
      </c>
      <c r="BK101" s="294">
        <f t="shared" si="1189"/>
        <v>0</v>
      </c>
      <c r="BL101" s="294">
        <f t="shared" si="1189"/>
        <v>0</v>
      </c>
      <c r="BM101" s="294">
        <f t="shared" si="1189"/>
        <v>0</v>
      </c>
      <c r="BN101" s="294">
        <f t="shared" si="1189"/>
        <v>0</v>
      </c>
      <c r="BO101" s="294">
        <f t="shared" si="1189"/>
        <v>0</v>
      </c>
      <c r="BP101" s="294">
        <f t="shared" si="1189"/>
        <v>0</v>
      </c>
      <c r="BQ101" s="294">
        <f t="shared" si="1189"/>
        <v>0</v>
      </c>
      <c r="BR101" s="294">
        <f t="shared" si="1189"/>
        <v>0</v>
      </c>
      <c r="BS101" s="295">
        <f t="shared" ref="BS101:CD101" si="1190">(((BR101*(1+($B$39*$B$4)))-BR101)/12)+BR101</f>
        <v>0</v>
      </c>
      <c r="BT101" s="294">
        <f t="shared" si="1190"/>
        <v>0</v>
      </c>
      <c r="BU101" s="294">
        <f t="shared" si="1190"/>
        <v>0</v>
      </c>
      <c r="BV101" s="294">
        <f t="shared" si="1190"/>
        <v>0</v>
      </c>
      <c r="BW101" s="294">
        <f t="shared" si="1190"/>
        <v>0</v>
      </c>
      <c r="BX101" s="294">
        <f t="shared" si="1190"/>
        <v>0</v>
      </c>
      <c r="BY101" s="294">
        <f t="shared" si="1190"/>
        <v>0</v>
      </c>
      <c r="BZ101" s="294">
        <f t="shared" si="1190"/>
        <v>0</v>
      </c>
      <c r="CA101" s="294">
        <f t="shared" si="1190"/>
        <v>0</v>
      </c>
      <c r="CB101" s="294">
        <f t="shared" si="1190"/>
        <v>0</v>
      </c>
      <c r="CC101" s="294">
        <f t="shared" si="1190"/>
        <v>0</v>
      </c>
      <c r="CD101" s="294">
        <f t="shared" si="1190"/>
        <v>0</v>
      </c>
      <c r="CE101" s="295">
        <f t="shared" ref="CE101:CP101" si="1191">(((CD101*(1+($B$40*$B$4)))-CD101)/12)+CD101</f>
        <v>0</v>
      </c>
      <c r="CF101" s="294">
        <f t="shared" si="1191"/>
        <v>0</v>
      </c>
      <c r="CG101" s="294">
        <f t="shared" si="1191"/>
        <v>0</v>
      </c>
      <c r="CH101" s="294">
        <f t="shared" si="1191"/>
        <v>0</v>
      </c>
      <c r="CI101" s="294">
        <f t="shared" si="1191"/>
        <v>0</v>
      </c>
      <c r="CJ101" s="294">
        <f t="shared" si="1191"/>
        <v>0</v>
      </c>
      <c r="CK101" s="294">
        <f t="shared" si="1191"/>
        <v>0</v>
      </c>
      <c r="CL101" s="294">
        <f t="shared" si="1191"/>
        <v>0</v>
      </c>
      <c r="CM101" s="294">
        <f t="shared" si="1191"/>
        <v>0</v>
      </c>
      <c r="CN101" s="294">
        <f t="shared" si="1191"/>
        <v>0</v>
      </c>
      <c r="CO101" s="294">
        <f t="shared" si="1191"/>
        <v>0</v>
      </c>
      <c r="CP101" s="294">
        <f t="shared" si="1191"/>
        <v>0</v>
      </c>
      <c r="CQ101" s="295">
        <f t="shared" ref="CQ101:DB101" si="1192">(((CP101*(1+($B$41*$B$4)))-CP101)/12)+CP101</f>
        <v>0</v>
      </c>
      <c r="CR101" s="294">
        <f t="shared" si="1192"/>
        <v>0</v>
      </c>
      <c r="CS101" s="294">
        <f t="shared" si="1192"/>
        <v>0</v>
      </c>
      <c r="CT101" s="294">
        <f t="shared" si="1192"/>
        <v>0</v>
      </c>
      <c r="CU101" s="294">
        <f t="shared" si="1192"/>
        <v>0</v>
      </c>
      <c r="CV101" s="294">
        <f t="shared" si="1192"/>
        <v>0</v>
      </c>
      <c r="CW101" s="294">
        <f t="shared" si="1192"/>
        <v>0</v>
      </c>
      <c r="CX101" s="294">
        <f t="shared" si="1192"/>
        <v>0</v>
      </c>
      <c r="CY101" s="294">
        <f t="shared" si="1192"/>
        <v>0</v>
      </c>
      <c r="CZ101" s="294">
        <f t="shared" si="1192"/>
        <v>0</v>
      </c>
      <c r="DA101" s="294">
        <f t="shared" si="1192"/>
        <v>0</v>
      </c>
      <c r="DB101" s="294">
        <f t="shared" si="1192"/>
        <v>0</v>
      </c>
      <c r="DC101" s="295">
        <f t="shared" ref="DC101:DN101" si="1193">(((DB101*(1+($B$42*$B$4)))-DB101)/12)+DB101</f>
        <v>0</v>
      </c>
      <c r="DD101" s="294">
        <f t="shared" si="1193"/>
        <v>0</v>
      </c>
      <c r="DE101" s="294">
        <f t="shared" si="1193"/>
        <v>0</v>
      </c>
      <c r="DF101" s="294">
        <f t="shared" si="1193"/>
        <v>0</v>
      </c>
      <c r="DG101" s="294">
        <f t="shared" si="1193"/>
        <v>0</v>
      </c>
      <c r="DH101" s="294">
        <f t="shared" si="1193"/>
        <v>0</v>
      </c>
      <c r="DI101" s="294">
        <f t="shared" si="1193"/>
        <v>0</v>
      </c>
      <c r="DJ101" s="294">
        <f t="shared" si="1193"/>
        <v>0</v>
      </c>
      <c r="DK101" s="294">
        <f t="shared" si="1193"/>
        <v>0</v>
      </c>
      <c r="DL101" s="294">
        <f t="shared" si="1193"/>
        <v>0</v>
      </c>
      <c r="DM101" s="294">
        <f t="shared" si="1193"/>
        <v>0</v>
      </c>
      <c r="DN101" s="294">
        <f t="shared" si="1193"/>
        <v>0</v>
      </c>
      <c r="DO101" s="295">
        <f t="shared" ref="DO101:DZ101" si="1194">(((DN101*(1+($B$43*$B$4)))-DN101)/12)+DN101</f>
        <v>0</v>
      </c>
      <c r="DP101" s="294">
        <f t="shared" si="1194"/>
        <v>0</v>
      </c>
      <c r="DQ101" s="294">
        <f t="shared" si="1194"/>
        <v>0</v>
      </c>
      <c r="DR101" s="294">
        <f t="shared" si="1194"/>
        <v>0</v>
      </c>
      <c r="DS101" s="294">
        <f t="shared" si="1194"/>
        <v>0</v>
      </c>
      <c r="DT101" s="294">
        <f t="shared" si="1194"/>
        <v>0</v>
      </c>
      <c r="DU101" s="294">
        <f t="shared" si="1194"/>
        <v>0</v>
      </c>
      <c r="DV101" s="294">
        <f t="shared" si="1194"/>
        <v>0</v>
      </c>
      <c r="DW101" s="294">
        <f t="shared" si="1194"/>
        <v>0</v>
      </c>
      <c r="DX101" s="294">
        <f t="shared" si="1194"/>
        <v>0</v>
      </c>
      <c r="DY101" s="294">
        <f t="shared" si="1194"/>
        <v>0</v>
      </c>
      <c r="DZ101" s="294">
        <f t="shared" si="1194"/>
        <v>0</v>
      </c>
      <c r="EA101" s="295">
        <f>(((DZ101*(1+($B$44*$B$4)))-DZ101)/12)+DZ101</f>
        <v>0</v>
      </c>
      <c r="EB101" s="294">
        <f>(((EA101*(1+($B$44*$B$4)))-EA101)/12)+EA101</f>
        <v>0</v>
      </c>
      <c r="EC101" s="294">
        <f>(((EB101*(1+($B$44*$B$4)))-EB101)/12)+EB101</f>
        <v>0</v>
      </c>
      <c r="ED101" s="296">
        <f>(((EC101*(1+($B$44*$B$4)))-EC101)/12)+EC101</f>
        <v>0</v>
      </c>
    </row>
    <row r="102" spans="2:134" outlineLevel="1" x14ac:dyDescent="0.25">
      <c r="C102" s="475"/>
      <c r="D102" s="711"/>
      <c r="E102" s="711"/>
      <c r="F102" s="711"/>
      <c r="G102" s="711"/>
      <c r="H102" s="711"/>
      <c r="I102" s="711"/>
      <c r="J102" s="711"/>
      <c r="K102" s="711"/>
      <c r="L102" s="222"/>
      <c r="M102" s="223"/>
      <c r="N102" s="224"/>
      <c r="O102" s="225"/>
      <c r="P102" s="225"/>
      <c r="Q102" s="225"/>
      <c r="R102" s="226"/>
      <c r="S102" s="227"/>
      <c r="T102" s="227"/>
      <c r="U102" s="223"/>
      <c r="V102" s="277">
        <v>1</v>
      </c>
      <c r="W102" s="290">
        <f>ROUNDUP($V102*(W101/100)/0.8,0)</f>
        <v>0</v>
      </c>
      <c r="X102" s="270">
        <f t="shared" ref="X102:CI102" si="1195">ROUNDUP($V102*(X101/100)/0.8,0)</f>
        <v>0</v>
      </c>
      <c r="Y102" s="270">
        <f t="shared" si="1195"/>
        <v>0</v>
      </c>
      <c r="Z102" s="270">
        <f t="shared" si="1195"/>
        <v>0</v>
      </c>
      <c r="AA102" s="270">
        <f t="shared" si="1195"/>
        <v>0</v>
      </c>
      <c r="AB102" s="270">
        <f t="shared" si="1195"/>
        <v>0</v>
      </c>
      <c r="AC102" s="270">
        <f t="shared" si="1195"/>
        <v>0</v>
      </c>
      <c r="AD102" s="270">
        <f t="shared" si="1195"/>
        <v>0</v>
      </c>
      <c r="AE102" s="270">
        <f t="shared" si="1195"/>
        <v>0</v>
      </c>
      <c r="AF102" s="270">
        <f t="shared" si="1195"/>
        <v>0</v>
      </c>
      <c r="AG102" s="270">
        <f t="shared" si="1195"/>
        <v>0</v>
      </c>
      <c r="AH102" s="270">
        <f t="shared" si="1195"/>
        <v>0</v>
      </c>
      <c r="AI102" s="291">
        <f t="shared" si="1195"/>
        <v>0</v>
      </c>
      <c r="AJ102" s="270">
        <f t="shared" si="1195"/>
        <v>0</v>
      </c>
      <c r="AK102" s="270">
        <f t="shared" si="1195"/>
        <v>0</v>
      </c>
      <c r="AL102" s="270">
        <f t="shared" si="1195"/>
        <v>0</v>
      </c>
      <c r="AM102" s="270">
        <f t="shared" si="1195"/>
        <v>0</v>
      </c>
      <c r="AN102" s="270">
        <f t="shared" si="1195"/>
        <v>0</v>
      </c>
      <c r="AO102" s="270">
        <f t="shared" si="1195"/>
        <v>0</v>
      </c>
      <c r="AP102" s="270">
        <f t="shared" si="1195"/>
        <v>0</v>
      </c>
      <c r="AQ102" s="270">
        <f t="shared" si="1195"/>
        <v>0</v>
      </c>
      <c r="AR102" s="270">
        <f t="shared" si="1195"/>
        <v>0</v>
      </c>
      <c r="AS102" s="270">
        <f t="shared" si="1195"/>
        <v>0</v>
      </c>
      <c r="AT102" s="270">
        <f t="shared" si="1195"/>
        <v>0</v>
      </c>
      <c r="AU102" s="291">
        <f t="shared" si="1195"/>
        <v>0</v>
      </c>
      <c r="AV102" s="270">
        <f t="shared" si="1195"/>
        <v>0</v>
      </c>
      <c r="AW102" s="270">
        <f t="shared" si="1195"/>
        <v>0</v>
      </c>
      <c r="AX102" s="270">
        <f t="shared" si="1195"/>
        <v>0</v>
      </c>
      <c r="AY102" s="270">
        <f t="shared" si="1195"/>
        <v>0</v>
      </c>
      <c r="AZ102" s="270">
        <f t="shared" si="1195"/>
        <v>0</v>
      </c>
      <c r="BA102" s="270">
        <f t="shared" si="1195"/>
        <v>0</v>
      </c>
      <c r="BB102" s="270">
        <f t="shared" si="1195"/>
        <v>0</v>
      </c>
      <c r="BC102" s="270">
        <f t="shared" si="1195"/>
        <v>0</v>
      </c>
      <c r="BD102" s="270">
        <f t="shared" si="1195"/>
        <v>0</v>
      </c>
      <c r="BE102" s="270">
        <f t="shared" si="1195"/>
        <v>0</v>
      </c>
      <c r="BF102" s="270">
        <f t="shared" si="1195"/>
        <v>0</v>
      </c>
      <c r="BG102" s="291">
        <f t="shared" si="1195"/>
        <v>0</v>
      </c>
      <c r="BH102" s="270">
        <f t="shared" si="1195"/>
        <v>0</v>
      </c>
      <c r="BI102" s="270">
        <f t="shared" si="1195"/>
        <v>0</v>
      </c>
      <c r="BJ102" s="270">
        <f t="shared" si="1195"/>
        <v>0</v>
      </c>
      <c r="BK102" s="270">
        <f t="shared" si="1195"/>
        <v>0</v>
      </c>
      <c r="BL102" s="270">
        <f t="shared" si="1195"/>
        <v>0</v>
      </c>
      <c r="BM102" s="270">
        <f t="shared" si="1195"/>
        <v>0</v>
      </c>
      <c r="BN102" s="270">
        <f t="shared" si="1195"/>
        <v>0</v>
      </c>
      <c r="BO102" s="270">
        <f t="shared" si="1195"/>
        <v>0</v>
      </c>
      <c r="BP102" s="270">
        <f t="shared" si="1195"/>
        <v>0</v>
      </c>
      <c r="BQ102" s="270">
        <f t="shared" si="1195"/>
        <v>0</v>
      </c>
      <c r="BR102" s="270">
        <f t="shared" si="1195"/>
        <v>0</v>
      </c>
      <c r="BS102" s="291">
        <f t="shared" si="1195"/>
        <v>0</v>
      </c>
      <c r="BT102" s="270">
        <f t="shared" si="1195"/>
        <v>0</v>
      </c>
      <c r="BU102" s="270">
        <f t="shared" si="1195"/>
        <v>0</v>
      </c>
      <c r="BV102" s="270">
        <f t="shared" si="1195"/>
        <v>0</v>
      </c>
      <c r="BW102" s="270">
        <f t="shared" si="1195"/>
        <v>0</v>
      </c>
      <c r="BX102" s="270">
        <f t="shared" si="1195"/>
        <v>0</v>
      </c>
      <c r="BY102" s="270">
        <f t="shared" si="1195"/>
        <v>0</v>
      </c>
      <c r="BZ102" s="270">
        <f t="shared" si="1195"/>
        <v>0</v>
      </c>
      <c r="CA102" s="270">
        <f t="shared" si="1195"/>
        <v>0</v>
      </c>
      <c r="CB102" s="270">
        <f t="shared" si="1195"/>
        <v>0</v>
      </c>
      <c r="CC102" s="270">
        <f t="shared" si="1195"/>
        <v>0</v>
      </c>
      <c r="CD102" s="270">
        <f t="shared" si="1195"/>
        <v>0</v>
      </c>
      <c r="CE102" s="291">
        <f t="shared" si="1195"/>
        <v>0</v>
      </c>
      <c r="CF102" s="270">
        <f t="shared" si="1195"/>
        <v>0</v>
      </c>
      <c r="CG102" s="270">
        <f t="shared" si="1195"/>
        <v>0</v>
      </c>
      <c r="CH102" s="270">
        <f t="shared" si="1195"/>
        <v>0</v>
      </c>
      <c r="CI102" s="270">
        <f t="shared" si="1195"/>
        <v>0</v>
      </c>
      <c r="CJ102" s="270">
        <f t="shared" ref="CJ102:ED102" si="1196">ROUNDUP($V102*(CJ101/100)/0.8,0)</f>
        <v>0</v>
      </c>
      <c r="CK102" s="270">
        <f t="shared" si="1196"/>
        <v>0</v>
      </c>
      <c r="CL102" s="270">
        <f t="shared" si="1196"/>
        <v>0</v>
      </c>
      <c r="CM102" s="270">
        <f t="shared" si="1196"/>
        <v>0</v>
      </c>
      <c r="CN102" s="270">
        <f t="shared" si="1196"/>
        <v>0</v>
      </c>
      <c r="CO102" s="270">
        <f t="shared" si="1196"/>
        <v>0</v>
      </c>
      <c r="CP102" s="270">
        <f t="shared" si="1196"/>
        <v>0</v>
      </c>
      <c r="CQ102" s="291">
        <f t="shared" si="1196"/>
        <v>0</v>
      </c>
      <c r="CR102" s="270">
        <f t="shared" si="1196"/>
        <v>0</v>
      </c>
      <c r="CS102" s="270">
        <f t="shared" si="1196"/>
        <v>0</v>
      </c>
      <c r="CT102" s="270">
        <f t="shared" si="1196"/>
        <v>0</v>
      </c>
      <c r="CU102" s="270">
        <f t="shared" si="1196"/>
        <v>0</v>
      </c>
      <c r="CV102" s="270">
        <f t="shared" si="1196"/>
        <v>0</v>
      </c>
      <c r="CW102" s="270">
        <f t="shared" si="1196"/>
        <v>0</v>
      </c>
      <c r="CX102" s="270">
        <f t="shared" si="1196"/>
        <v>0</v>
      </c>
      <c r="CY102" s="270">
        <f t="shared" si="1196"/>
        <v>0</v>
      </c>
      <c r="CZ102" s="270">
        <f t="shared" si="1196"/>
        <v>0</v>
      </c>
      <c r="DA102" s="270">
        <f t="shared" si="1196"/>
        <v>0</v>
      </c>
      <c r="DB102" s="270">
        <f t="shared" si="1196"/>
        <v>0</v>
      </c>
      <c r="DC102" s="291">
        <f t="shared" si="1196"/>
        <v>0</v>
      </c>
      <c r="DD102" s="270">
        <f t="shared" si="1196"/>
        <v>0</v>
      </c>
      <c r="DE102" s="270">
        <f t="shared" si="1196"/>
        <v>0</v>
      </c>
      <c r="DF102" s="270">
        <f t="shared" si="1196"/>
        <v>0</v>
      </c>
      <c r="DG102" s="270">
        <f t="shared" si="1196"/>
        <v>0</v>
      </c>
      <c r="DH102" s="270">
        <f t="shared" si="1196"/>
        <v>0</v>
      </c>
      <c r="DI102" s="270">
        <f t="shared" si="1196"/>
        <v>0</v>
      </c>
      <c r="DJ102" s="270">
        <f t="shared" si="1196"/>
        <v>0</v>
      </c>
      <c r="DK102" s="270">
        <f t="shared" si="1196"/>
        <v>0</v>
      </c>
      <c r="DL102" s="270">
        <f t="shared" si="1196"/>
        <v>0</v>
      </c>
      <c r="DM102" s="270">
        <f t="shared" si="1196"/>
        <v>0</v>
      </c>
      <c r="DN102" s="270">
        <f t="shared" si="1196"/>
        <v>0</v>
      </c>
      <c r="DO102" s="291">
        <f t="shared" si="1196"/>
        <v>0</v>
      </c>
      <c r="DP102" s="270">
        <f t="shared" si="1196"/>
        <v>0</v>
      </c>
      <c r="DQ102" s="270">
        <f t="shared" si="1196"/>
        <v>0</v>
      </c>
      <c r="DR102" s="270">
        <f t="shared" si="1196"/>
        <v>0</v>
      </c>
      <c r="DS102" s="270">
        <f t="shared" si="1196"/>
        <v>0</v>
      </c>
      <c r="DT102" s="270">
        <f t="shared" si="1196"/>
        <v>0</v>
      </c>
      <c r="DU102" s="270">
        <f t="shared" si="1196"/>
        <v>0</v>
      </c>
      <c r="DV102" s="270">
        <f t="shared" si="1196"/>
        <v>0</v>
      </c>
      <c r="DW102" s="270">
        <f t="shared" si="1196"/>
        <v>0</v>
      </c>
      <c r="DX102" s="270">
        <f t="shared" si="1196"/>
        <v>0</v>
      </c>
      <c r="DY102" s="270">
        <f t="shared" si="1196"/>
        <v>0</v>
      </c>
      <c r="DZ102" s="270">
        <f t="shared" si="1196"/>
        <v>0</v>
      </c>
      <c r="EA102" s="291">
        <f t="shared" si="1196"/>
        <v>0</v>
      </c>
      <c r="EB102" s="270">
        <f t="shared" si="1196"/>
        <v>0</v>
      </c>
      <c r="EC102" s="270">
        <f t="shared" si="1196"/>
        <v>0</v>
      </c>
      <c r="ED102" s="292">
        <f t="shared" si="1196"/>
        <v>0</v>
      </c>
    </row>
    <row r="103" spans="2:134" outlineLevel="1" x14ac:dyDescent="0.25">
      <c r="C103" s="475"/>
      <c r="D103" s="712" t="s">
        <v>269</v>
      </c>
      <c r="E103" s="712"/>
      <c r="F103" s="712"/>
      <c r="G103" s="712"/>
      <c r="H103" s="712"/>
      <c r="I103" s="712"/>
      <c r="J103" s="712"/>
      <c r="K103" s="712"/>
      <c r="L103" s="228"/>
      <c r="M103" s="493">
        <f>N103*100</f>
        <v>0</v>
      </c>
      <c r="N103" s="229"/>
      <c r="O103" s="230"/>
      <c r="P103" s="230"/>
      <c r="Q103" s="230"/>
      <c r="R103" s="231">
        <f>P103-N103</f>
        <v>0</v>
      </c>
      <c r="S103" s="232">
        <f>Q103*100</f>
        <v>0</v>
      </c>
      <c r="T103" s="232"/>
      <c r="U103" s="125"/>
      <c r="V103" s="278"/>
      <c r="W103" s="286">
        <f>M103</f>
        <v>0</v>
      </c>
      <c r="X103" s="234">
        <f>W103</f>
        <v>0</v>
      </c>
      <c r="Y103" s="234">
        <f>X103</f>
        <v>0</v>
      </c>
      <c r="Z103" s="234">
        <f>O103*100</f>
        <v>0</v>
      </c>
      <c r="AA103" s="234">
        <f>Z103</f>
        <v>0</v>
      </c>
      <c r="AB103" s="234">
        <f>AA103</f>
        <v>0</v>
      </c>
      <c r="AC103" s="234">
        <f>P103*100</f>
        <v>0</v>
      </c>
      <c r="AD103" s="234">
        <f>AC103</f>
        <v>0</v>
      </c>
      <c r="AE103" s="234">
        <f>AD103</f>
        <v>0</v>
      </c>
      <c r="AF103" s="234">
        <f>AE103</f>
        <v>0</v>
      </c>
      <c r="AG103" s="234">
        <f>AF103</f>
        <v>0</v>
      </c>
      <c r="AH103" s="234">
        <f>AG103</f>
        <v>0</v>
      </c>
      <c r="AI103" s="235">
        <f t="shared" ref="AI103:AT103" si="1197">(((AH103*(1+($B$36*$B$4)))-AH103)/12)+AH103</f>
        <v>0</v>
      </c>
      <c r="AJ103" s="234">
        <f t="shared" si="1197"/>
        <v>0</v>
      </c>
      <c r="AK103" s="234">
        <f t="shared" si="1197"/>
        <v>0</v>
      </c>
      <c r="AL103" s="234">
        <f t="shared" si="1197"/>
        <v>0</v>
      </c>
      <c r="AM103" s="234">
        <f t="shared" si="1197"/>
        <v>0</v>
      </c>
      <c r="AN103" s="234">
        <f t="shared" si="1197"/>
        <v>0</v>
      </c>
      <c r="AO103" s="234">
        <f t="shared" si="1197"/>
        <v>0</v>
      </c>
      <c r="AP103" s="234">
        <f t="shared" si="1197"/>
        <v>0</v>
      </c>
      <c r="AQ103" s="234">
        <f t="shared" si="1197"/>
        <v>0</v>
      </c>
      <c r="AR103" s="234">
        <f t="shared" si="1197"/>
        <v>0</v>
      </c>
      <c r="AS103" s="234">
        <f t="shared" si="1197"/>
        <v>0</v>
      </c>
      <c r="AT103" s="234">
        <f t="shared" si="1197"/>
        <v>0</v>
      </c>
      <c r="AU103" s="235">
        <f t="shared" ref="AU103:BF103" si="1198">(((AT103*(1+($B$37*$B$4)))-AT103)/12)+AT103</f>
        <v>0</v>
      </c>
      <c r="AV103" s="234">
        <f t="shared" si="1198"/>
        <v>0</v>
      </c>
      <c r="AW103" s="234">
        <f t="shared" si="1198"/>
        <v>0</v>
      </c>
      <c r="AX103" s="234">
        <f t="shared" si="1198"/>
        <v>0</v>
      </c>
      <c r="AY103" s="234">
        <f t="shared" si="1198"/>
        <v>0</v>
      </c>
      <c r="AZ103" s="234">
        <f t="shared" si="1198"/>
        <v>0</v>
      </c>
      <c r="BA103" s="234">
        <f t="shared" si="1198"/>
        <v>0</v>
      </c>
      <c r="BB103" s="234">
        <f t="shared" si="1198"/>
        <v>0</v>
      </c>
      <c r="BC103" s="234">
        <f t="shared" si="1198"/>
        <v>0</v>
      </c>
      <c r="BD103" s="234">
        <f t="shared" si="1198"/>
        <v>0</v>
      </c>
      <c r="BE103" s="234">
        <f t="shared" si="1198"/>
        <v>0</v>
      </c>
      <c r="BF103" s="234">
        <f t="shared" si="1198"/>
        <v>0</v>
      </c>
      <c r="BG103" s="235">
        <f t="shared" ref="BG103:BR103" si="1199">(((BF103*(1+($B$38*$B$4)))-BF103)/12)+BF103</f>
        <v>0</v>
      </c>
      <c r="BH103" s="234">
        <f t="shared" si="1199"/>
        <v>0</v>
      </c>
      <c r="BI103" s="234">
        <f t="shared" si="1199"/>
        <v>0</v>
      </c>
      <c r="BJ103" s="234">
        <f t="shared" si="1199"/>
        <v>0</v>
      </c>
      <c r="BK103" s="234">
        <f t="shared" si="1199"/>
        <v>0</v>
      </c>
      <c r="BL103" s="234">
        <f t="shared" si="1199"/>
        <v>0</v>
      </c>
      <c r="BM103" s="234">
        <f t="shared" si="1199"/>
        <v>0</v>
      </c>
      <c r="BN103" s="234">
        <f t="shared" si="1199"/>
        <v>0</v>
      </c>
      <c r="BO103" s="234">
        <f t="shared" si="1199"/>
        <v>0</v>
      </c>
      <c r="BP103" s="234">
        <f t="shared" si="1199"/>
        <v>0</v>
      </c>
      <c r="BQ103" s="234">
        <f t="shared" si="1199"/>
        <v>0</v>
      </c>
      <c r="BR103" s="234">
        <f t="shared" si="1199"/>
        <v>0</v>
      </c>
      <c r="BS103" s="235">
        <f t="shared" ref="BS103:CD103" si="1200">(((BR103*(1+($B$39*$B$4)))-BR103)/12)+BR103</f>
        <v>0</v>
      </c>
      <c r="BT103" s="234">
        <f t="shared" si="1200"/>
        <v>0</v>
      </c>
      <c r="BU103" s="234">
        <f t="shared" si="1200"/>
        <v>0</v>
      </c>
      <c r="BV103" s="234">
        <f t="shared" si="1200"/>
        <v>0</v>
      </c>
      <c r="BW103" s="234">
        <f t="shared" si="1200"/>
        <v>0</v>
      </c>
      <c r="BX103" s="234">
        <f t="shared" si="1200"/>
        <v>0</v>
      </c>
      <c r="BY103" s="234">
        <f t="shared" si="1200"/>
        <v>0</v>
      </c>
      <c r="BZ103" s="234">
        <f t="shared" si="1200"/>
        <v>0</v>
      </c>
      <c r="CA103" s="234">
        <f t="shared" si="1200"/>
        <v>0</v>
      </c>
      <c r="CB103" s="234">
        <f t="shared" si="1200"/>
        <v>0</v>
      </c>
      <c r="CC103" s="234">
        <f t="shared" si="1200"/>
        <v>0</v>
      </c>
      <c r="CD103" s="234">
        <f t="shared" si="1200"/>
        <v>0</v>
      </c>
      <c r="CE103" s="235">
        <f t="shared" ref="CE103:CP103" si="1201">(((CD103*(1+($B$40*$B$4)))-CD103)/12)+CD103</f>
        <v>0</v>
      </c>
      <c r="CF103" s="234">
        <f t="shared" si="1201"/>
        <v>0</v>
      </c>
      <c r="CG103" s="234">
        <f t="shared" si="1201"/>
        <v>0</v>
      </c>
      <c r="CH103" s="234">
        <f t="shared" si="1201"/>
        <v>0</v>
      </c>
      <c r="CI103" s="234">
        <f t="shared" si="1201"/>
        <v>0</v>
      </c>
      <c r="CJ103" s="234">
        <f t="shared" si="1201"/>
        <v>0</v>
      </c>
      <c r="CK103" s="234">
        <f t="shared" si="1201"/>
        <v>0</v>
      </c>
      <c r="CL103" s="234">
        <f t="shared" si="1201"/>
        <v>0</v>
      </c>
      <c r="CM103" s="234">
        <f t="shared" si="1201"/>
        <v>0</v>
      </c>
      <c r="CN103" s="234">
        <f t="shared" si="1201"/>
        <v>0</v>
      </c>
      <c r="CO103" s="234">
        <f t="shared" si="1201"/>
        <v>0</v>
      </c>
      <c r="CP103" s="234">
        <f t="shared" si="1201"/>
        <v>0</v>
      </c>
      <c r="CQ103" s="235">
        <f t="shared" ref="CQ103:DB103" si="1202">(((CP103*(1+($B$41*$B$4)))-CP103)/12)+CP103</f>
        <v>0</v>
      </c>
      <c r="CR103" s="234">
        <f t="shared" si="1202"/>
        <v>0</v>
      </c>
      <c r="CS103" s="234">
        <f t="shared" si="1202"/>
        <v>0</v>
      </c>
      <c r="CT103" s="234">
        <f t="shared" si="1202"/>
        <v>0</v>
      </c>
      <c r="CU103" s="234">
        <f t="shared" si="1202"/>
        <v>0</v>
      </c>
      <c r="CV103" s="234">
        <f t="shared" si="1202"/>
        <v>0</v>
      </c>
      <c r="CW103" s="234">
        <f t="shared" si="1202"/>
        <v>0</v>
      </c>
      <c r="CX103" s="234">
        <f t="shared" si="1202"/>
        <v>0</v>
      </c>
      <c r="CY103" s="234">
        <f t="shared" si="1202"/>
        <v>0</v>
      </c>
      <c r="CZ103" s="234">
        <f t="shared" si="1202"/>
        <v>0</v>
      </c>
      <c r="DA103" s="234">
        <f t="shared" si="1202"/>
        <v>0</v>
      </c>
      <c r="DB103" s="234">
        <f t="shared" si="1202"/>
        <v>0</v>
      </c>
      <c r="DC103" s="235">
        <f t="shared" ref="DC103:DN103" si="1203">(((DB103*(1+($B$42*$B$4)))-DB103)/12)+DB103</f>
        <v>0</v>
      </c>
      <c r="DD103" s="234">
        <f t="shared" si="1203"/>
        <v>0</v>
      </c>
      <c r="DE103" s="234">
        <f t="shared" si="1203"/>
        <v>0</v>
      </c>
      <c r="DF103" s="234">
        <f t="shared" si="1203"/>
        <v>0</v>
      </c>
      <c r="DG103" s="234">
        <f t="shared" si="1203"/>
        <v>0</v>
      </c>
      <c r="DH103" s="234">
        <f t="shared" si="1203"/>
        <v>0</v>
      </c>
      <c r="DI103" s="234">
        <f t="shared" si="1203"/>
        <v>0</v>
      </c>
      <c r="DJ103" s="234">
        <f t="shared" si="1203"/>
        <v>0</v>
      </c>
      <c r="DK103" s="234">
        <f t="shared" si="1203"/>
        <v>0</v>
      </c>
      <c r="DL103" s="234">
        <f t="shared" si="1203"/>
        <v>0</v>
      </c>
      <c r="DM103" s="234">
        <f t="shared" si="1203"/>
        <v>0</v>
      </c>
      <c r="DN103" s="234">
        <f t="shared" si="1203"/>
        <v>0</v>
      </c>
      <c r="DO103" s="235">
        <f t="shared" ref="DO103:DZ103" si="1204">(((DN103*(1+($B$43*$B$4)))-DN103)/12)+DN103</f>
        <v>0</v>
      </c>
      <c r="DP103" s="234">
        <f t="shared" si="1204"/>
        <v>0</v>
      </c>
      <c r="DQ103" s="234">
        <f t="shared" si="1204"/>
        <v>0</v>
      </c>
      <c r="DR103" s="234">
        <f t="shared" si="1204"/>
        <v>0</v>
      </c>
      <c r="DS103" s="234">
        <f t="shared" si="1204"/>
        <v>0</v>
      </c>
      <c r="DT103" s="234">
        <f t="shared" si="1204"/>
        <v>0</v>
      </c>
      <c r="DU103" s="234">
        <f t="shared" si="1204"/>
        <v>0</v>
      </c>
      <c r="DV103" s="234">
        <f t="shared" si="1204"/>
        <v>0</v>
      </c>
      <c r="DW103" s="234">
        <f t="shared" si="1204"/>
        <v>0</v>
      </c>
      <c r="DX103" s="234">
        <f t="shared" si="1204"/>
        <v>0</v>
      </c>
      <c r="DY103" s="234">
        <f t="shared" si="1204"/>
        <v>0</v>
      </c>
      <c r="DZ103" s="234">
        <f t="shared" si="1204"/>
        <v>0</v>
      </c>
      <c r="EA103" s="235">
        <f>(((DZ103*(1+($B$44*$B$4)))-DZ103)/12)+DZ103</f>
        <v>0</v>
      </c>
      <c r="EB103" s="234">
        <f>(((EA103*(1+($B$44*$B$4)))-EA103)/12)+EA103</f>
        <v>0</v>
      </c>
      <c r="EC103" s="234">
        <f>(((EB103*(1+($B$44*$B$4)))-EB103)/12)+EB103</f>
        <v>0</v>
      </c>
      <c r="ED103" s="287">
        <f>(((EC103*(1+($B$44*$B$4)))-EC103)/12)+EC103</f>
        <v>0</v>
      </c>
    </row>
    <row r="104" spans="2:134" outlineLevel="1" x14ac:dyDescent="0.25">
      <c r="C104" s="475"/>
      <c r="D104" s="712"/>
      <c r="E104" s="712"/>
      <c r="F104" s="712"/>
      <c r="G104" s="712"/>
      <c r="H104" s="712"/>
      <c r="I104" s="712"/>
      <c r="J104" s="712"/>
      <c r="K104" s="712"/>
      <c r="L104" s="228"/>
      <c r="M104" s="125"/>
      <c r="N104" s="229"/>
      <c r="O104" s="230"/>
      <c r="P104" s="230"/>
      <c r="Q104" s="230"/>
      <c r="R104" s="231"/>
      <c r="S104" s="232"/>
      <c r="T104" s="232"/>
      <c r="U104" s="125"/>
      <c r="V104" s="70">
        <v>1</v>
      </c>
      <c r="W104" s="288">
        <f>ROUNDUP($V104*(W103/100)/0.8,0)</f>
        <v>0</v>
      </c>
      <c r="X104" s="125">
        <f t="shared" ref="X104:CI104" si="1205">ROUNDUP($V104*(X103/100)/0.8,0)</f>
        <v>0</v>
      </c>
      <c r="Y104" s="125">
        <f t="shared" si="1205"/>
        <v>0</v>
      </c>
      <c r="Z104" s="125">
        <f t="shared" si="1205"/>
        <v>0</v>
      </c>
      <c r="AA104" s="125">
        <f t="shared" si="1205"/>
        <v>0</v>
      </c>
      <c r="AB104" s="125">
        <f t="shared" si="1205"/>
        <v>0</v>
      </c>
      <c r="AC104" s="125">
        <f t="shared" si="1205"/>
        <v>0</v>
      </c>
      <c r="AD104" s="125">
        <f t="shared" si="1205"/>
        <v>0</v>
      </c>
      <c r="AE104" s="125">
        <f t="shared" si="1205"/>
        <v>0</v>
      </c>
      <c r="AF104" s="125">
        <f t="shared" si="1205"/>
        <v>0</v>
      </c>
      <c r="AG104" s="125">
        <f t="shared" si="1205"/>
        <v>0</v>
      </c>
      <c r="AH104" s="125">
        <f t="shared" si="1205"/>
        <v>0</v>
      </c>
      <c r="AI104" s="233">
        <f t="shared" si="1205"/>
        <v>0</v>
      </c>
      <c r="AJ104" s="125">
        <f t="shared" si="1205"/>
        <v>0</v>
      </c>
      <c r="AK104" s="125">
        <f t="shared" si="1205"/>
        <v>0</v>
      </c>
      <c r="AL104" s="125">
        <f t="shared" si="1205"/>
        <v>0</v>
      </c>
      <c r="AM104" s="125">
        <f t="shared" si="1205"/>
        <v>0</v>
      </c>
      <c r="AN104" s="125">
        <f t="shared" si="1205"/>
        <v>0</v>
      </c>
      <c r="AO104" s="125">
        <f t="shared" si="1205"/>
        <v>0</v>
      </c>
      <c r="AP104" s="125">
        <f t="shared" si="1205"/>
        <v>0</v>
      </c>
      <c r="AQ104" s="125">
        <f t="shared" si="1205"/>
        <v>0</v>
      </c>
      <c r="AR104" s="125">
        <f t="shared" si="1205"/>
        <v>0</v>
      </c>
      <c r="AS104" s="125">
        <f t="shared" si="1205"/>
        <v>0</v>
      </c>
      <c r="AT104" s="125">
        <f t="shared" si="1205"/>
        <v>0</v>
      </c>
      <c r="AU104" s="233">
        <f t="shared" si="1205"/>
        <v>0</v>
      </c>
      <c r="AV104" s="125">
        <f t="shared" si="1205"/>
        <v>0</v>
      </c>
      <c r="AW104" s="125">
        <f t="shared" si="1205"/>
        <v>0</v>
      </c>
      <c r="AX104" s="125">
        <f t="shared" si="1205"/>
        <v>0</v>
      </c>
      <c r="AY104" s="125">
        <f t="shared" si="1205"/>
        <v>0</v>
      </c>
      <c r="AZ104" s="125">
        <f t="shared" si="1205"/>
        <v>0</v>
      </c>
      <c r="BA104" s="125">
        <f t="shared" si="1205"/>
        <v>0</v>
      </c>
      <c r="BB104" s="125">
        <f t="shared" si="1205"/>
        <v>0</v>
      </c>
      <c r="BC104" s="125">
        <f t="shared" si="1205"/>
        <v>0</v>
      </c>
      <c r="BD104" s="125">
        <f t="shared" si="1205"/>
        <v>0</v>
      </c>
      <c r="BE104" s="125">
        <f t="shared" si="1205"/>
        <v>0</v>
      </c>
      <c r="BF104" s="125">
        <f t="shared" si="1205"/>
        <v>0</v>
      </c>
      <c r="BG104" s="233">
        <f t="shared" si="1205"/>
        <v>0</v>
      </c>
      <c r="BH104" s="125">
        <f t="shared" si="1205"/>
        <v>0</v>
      </c>
      <c r="BI104" s="125">
        <f t="shared" si="1205"/>
        <v>0</v>
      </c>
      <c r="BJ104" s="125">
        <f t="shared" si="1205"/>
        <v>0</v>
      </c>
      <c r="BK104" s="125">
        <f t="shared" si="1205"/>
        <v>0</v>
      </c>
      <c r="BL104" s="125">
        <f t="shared" si="1205"/>
        <v>0</v>
      </c>
      <c r="BM104" s="125">
        <f t="shared" si="1205"/>
        <v>0</v>
      </c>
      <c r="BN104" s="125">
        <f t="shared" si="1205"/>
        <v>0</v>
      </c>
      <c r="BO104" s="125">
        <f t="shared" si="1205"/>
        <v>0</v>
      </c>
      <c r="BP104" s="125">
        <f t="shared" si="1205"/>
        <v>0</v>
      </c>
      <c r="BQ104" s="125">
        <f t="shared" si="1205"/>
        <v>0</v>
      </c>
      <c r="BR104" s="125">
        <f t="shared" si="1205"/>
        <v>0</v>
      </c>
      <c r="BS104" s="233">
        <f t="shared" si="1205"/>
        <v>0</v>
      </c>
      <c r="BT104" s="125">
        <f t="shared" si="1205"/>
        <v>0</v>
      </c>
      <c r="BU104" s="125">
        <f t="shared" si="1205"/>
        <v>0</v>
      </c>
      <c r="BV104" s="125">
        <f t="shared" si="1205"/>
        <v>0</v>
      </c>
      <c r="BW104" s="125">
        <f t="shared" si="1205"/>
        <v>0</v>
      </c>
      <c r="BX104" s="125">
        <f t="shared" si="1205"/>
        <v>0</v>
      </c>
      <c r="BY104" s="125">
        <f t="shared" si="1205"/>
        <v>0</v>
      </c>
      <c r="BZ104" s="125">
        <f t="shared" si="1205"/>
        <v>0</v>
      </c>
      <c r="CA104" s="125">
        <f t="shared" si="1205"/>
        <v>0</v>
      </c>
      <c r="CB104" s="125">
        <f t="shared" si="1205"/>
        <v>0</v>
      </c>
      <c r="CC104" s="125">
        <f t="shared" si="1205"/>
        <v>0</v>
      </c>
      <c r="CD104" s="125">
        <f t="shared" si="1205"/>
        <v>0</v>
      </c>
      <c r="CE104" s="233">
        <f t="shared" si="1205"/>
        <v>0</v>
      </c>
      <c r="CF104" s="125">
        <f t="shared" si="1205"/>
        <v>0</v>
      </c>
      <c r="CG104" s="125">
        <f t="shared" si="1205"/>
        <v>0</v>
      </c>
      <c r="CH104" s="125">
        <f t="shared" si="1205"/>
        <v>0</v>
      </c>
      <c r="CI104" s="125">
        <f t="shared" si="1205"/>
        <v>0</v>
      </c>
      <c r="CJ104" s="125">
        <f t="shared" ref="CJ104:ED104" si="1206">ROUNDUP($V104*(CJ103/100)/0.8,0)</f>
        <v>0</v>
      </c>
      <c r="CK104" s="125">
        <f t="shared" si="1206"/>
        <v>0</v>
      </c>
      <c r="CL104" s="125">
        <f t="shared" si="1206"/>
        <v>0</v>
      </c>
      <c r="CM104" s="125">
        <f t="shared" si="1206"/>
        <v>0</v>
      </c>
      <c r="CN104" s="125">
        <f t="shared" si="1206"/>
        <v>0</v>
      </c>
      <c r="CO104" s="125">
        <f t="shared" si="1206"/>
        <v>0</v>
      </c>
      <c r="CP104" s="125">
        <f t="shared" si="1206"/>
        <v>0</v>
      </c>
      <c r="CQ104" s="233">
        <f t="shared" si="1206"/>
        <v>0</v>
      </c>
      <c r="CR104" s="125">
        <f t="shared" si="1206"/>
        <v>0</v>
      </c>
      <c r="CS104" s="125">
        <f t="shared" si="1206"/>
        <v>0</v>
      </c>
      <c r="CT104" s="125">
        <f t="shared" si="1206"/>
        <v>0</v>
      </c>
      <c r="CU104" s="125">
        <f t="shared" si="1206"/>
        <v>0</v>
      </c>
      <c r="CV104" s="125">
        <f t="shared" si="1206"/>
        <v>0</v>
      </c>
      <c r="CW104" s="125">
        <f t="shared" si="1206"/>
        <v>0</v>
      </c>
      <c r="CX104" s="125">
        <f t="shared" si="1206"/>
        <v>0</v>
      </c>
      <c r="CY104" s="125">
        <f t="shared" si="1206"/>
        <v>0</v>
      </c>
      <c r="CZ104" s="125">
        <f t="shared" si="1206"/>
        <v>0</v>
      </c>
      <c r="DA104" s="125">
        <f t="shared" si="1206"/>
        <v>0</v>
      </c>
      <c r="DB104" s="125">
        <f t="shared" si="1206"/>
        <v>0</v>
      </c>
      <c r="DC104" s="233">
        <f t="shared" si="1206"/>
        <v>0</v>
      </c>
      <c r="DD104" s="125">
        <f t="shared" si="1206"/>
        <v>0</v>
      </c>
      <c r="DE104" s="125">
        <f t="shared" si="1206"/>
        <v>0</v>
      </c>
      <c r="DF104" s="125">
        <f t="shared" si="1206"/>
        <v>0</v>
      </c>
      <c r="DG104" s="125">
        <f t="shared" si="1206"/>
        <v>0</v>
      </c>
      <c r="DH104" s="125">
        <f t="shared" si="1206"/>
        <v>0</v>
      </c>
      <c r="DI104" s="125">
        <f t="shared" si="1206"/>
        <v>0</v>
      </c>
      <c r="DJ104" s="125">
        <f t="shared" si="1206"/>
        <v>0</v>
      </c>
      <c r="DK104" s="125">
        <f t="shared" si="1206"/>
        <v>0</v>
      </c>
      <c r="DL104" s="125">
        <f t="shared" si="1206"/>
        <v>0</v>
      </c>
      <c r="DM104" s="125">
        <f t="shared" si="1206"/>
        <v>0</v>
      </c>
      <c r="DN104" s="125">
        <f t="shared" si="1206"/>
        <v>0</v>
      </c>
      <c r="DO104" s="233">
        <f t="shared" si="1206"/>
        <v>0</v>
      </c>
      <c r="DP104" s="125">
        <f t="shared" si="1206"/>
        <v>0</v>
      </c>
      <c r="DQ104" s="125">
        <f t="shared" si="1206"/>
        <v>0</v>
      </c>
      <c r="DR104" s="125">
        <f t="shared" si="1206"/>
        <v>0</v>
      </c>
      <c r="DS104" s="125">
        <f t="shared" si="1206"/>
        <v>0</v>
      </c>
      <c r="DT104" s="125">
        <f t="shared" si="1206"/>
        <v>0</v>
      </c>
      <c r="DU104" s="125">
        <f t="shared" si="1206"/>
        <v>0</v>
      </c>
      <c r="DV104" s="125">
        <f t="shared" si="1206"/>
        <v>0</v>
      </c>
      <c r="DW104" s="125">
        <f t="shared" si="1206"/>
        <v>0</v>
      </c>
      <c r="DX104" s="125">
        <f t="shared" si="1206"/>
        <v>0</v>
      </c>
      <c r="DY104" s="125">
        <f t="shared" si="1206"/>
        <v>0</v>
      </c>
      <c r="DZ104" s="125">
        <f t="shared" si="1206"/>
        <v>0</v>
      </c>
      <c r="EA104" s="233">
        <f t="shared" si="1206"/>
        <v>0</v>
      </c>
      <c r="EB104" s="125">
        <f t="shared" si="1206"/>
        <v>0</v>
      </c>
      <c r="EC104" s="125">
        <f t="shared" si="1206"/>
        <v>0</v>
      </c>
      <c r="ED104" s="289">
        <f t="shared" si="1206"/>
        <v>0</v>
      </c>
    </row>
    <row r="105" spans="2:134" outlineLevel="1" x14ac:dyDescent="0.25">
      <c r="C105" s="475"/>
      <c r="D105" s="726" t="s">
        <v>270</v>
      </c>
      <c r="E105" s="726"/>
      <c r="F105" s="726"/>
      <c r="G105" s="726"/>
      <c r="H105" s="726"/>
      <c r="I105" s="726"/>
      <c r="J105" s="726"/>
      <c r="K105" s="726"/>
      <c r="L105" s="263"/>
      <c r="M105" s="493">
        <f>N105*100</f>
        <v>0</v>
      </c>
      <c r="N105" s="265"/>
      <c r="O105" s="266"/>
      <c r="P105" s="266"/>
      <c r="Q105" s="266"/>
      <c r="R105" s="267">
        <f>P105-N105</f>
        <v>0</v>
      </c>
      <c r="S105" s="268">
        <f>Q105*100</f>
        <v>0</v>
      </c>
      <c r="T105" s="268"/>
      <c r="U105" s="264"/>
      <c r="V105" s="279"/>
      <c r="W105" s="293">
        <f>M105</f>
        <v>0</v>
      </c>
      <c r="X105" s="294">
        <f>W105</f>
        <v>0</v>
      </c>
      <c r="Y105" s="294">
        <f>X105</f>
        <v>0</v>
      </c>
      <c r="Z105" s="294">
        <f>O105*100</f>
        <v>0</v>
      </c>
      <c r="AA105" s="294">
        <f>Z105</f>
        <v>0</v>
      </c>
      <c r="AB105" s="294">
        <f>AA105</f>
        <v>0</v>
      </c>
      <c r="AC105" s="294">
        <f>P105*100</f>
        <v>0</v>
      </c>
      <c r="AD105" s="294">
        <f>AC105</f>
        <v>0</v>
      </c>
      <c r="AE105" s="294">
        <f>AD105</f>
        <v>0</v>
      </c>
      <c r="AF105" s="294">
        <f>AE105</f>
        <v>0</v>
      </c>
      <c r="AG105" s="294">
        <f>AF105</f>
        <v>0</v>
      </c>
      <c r="AH105" s="294">
        <f>AG105</f>
        <v>0</v>
      </c>
      <c r="AI105" s="295">
        <f t="shared" ref="AI105:AT105" si="1207">(((AH105*(1+($B$36*$B$4)))-AH105)/12)+AH105</f>
        <v>0</v>
      </c>
      <c r="AJ105" s="294">
        <f t="shared" si="1207"/>
        <v>0</v>
      </c>
      <c r="AK105" s="294">
        <f t="shared" si="1207"/>
        <v>0</v>
      </c>
      <c r="AL105" s="294">
        <f t="shared" si="1207"/>
        <v>0</v>
      </c>
      <c r="AM105" s="294">
        <f t="shared" si="1207"/>
        <v>0</v>
      </c>
      <c r="AN105" s="294">
        <f t="shared" si="1207"/>
        <v>0</v>
      </c>
      <c r="AO105" s="294">
        <f t="shared" si="1207"/>
        <v>0</v>
      </c>
      <c r="AP105" s="294">
        <f t="shared" si="1207"/>
        <v>0</v>
      </c>
      <c r="AQ105" s="294">
        <f t="shared" si="1207"/>
        <v>0</v>
      </c>
      <c r="AR105" s="294">
        <f t="shared" si="1207"/>
        <v>0</v>
      </c>
      <c r="AS105" s="294">
        <f t="shared" si="1207"/>
        <v>0</v>
      </c>
      <c r="AT105" s="294">
        <f t="shared" si="1207"/>
        <v>0</v>
      </c>
      <c r="AU105" s="295">
        <f t="shared" ref="AU105:BF105" si="1208">(((AT105*(1+($B$37*$B$4)))-AT105)/12)+AT105</f>
        <v>0</v>
      </c>
      <c r="AV105" s="294">
        <f t="shared" si="1208"/>
        <v>0</v>
      </c>
      <c r="AW105" s="294">
        <f t="shared" si="1208"/>
        <v>0</v>
      </c>
      <c r="AX105" s="294">
        <f t="shared" si="1208"/>
        <v>0</v>
      </c>
      <c r="AY105" s="294">
        <f t="shared" si="1208"/>
        <v>0</v>
      </c>
      <c r="AZ105" s="294">
        <f t="shared" si="1208"/>
        <v>0</v>
      </c>
      <c r="BA105" s="294">
        <f t="shared" si="1208"/>
        <v>0</v>
      </c>
      <c r="BB105" s="294">
        <f t="shared" si="1208"/>
        <v>0</v>
      </c>
      <c r="BC105" s="294">
        <f t="shared" si="1208"/>
        <v>0</v>
      </c>
      <c r="BD105" s="294">
        <f t="shared" si="1208"/>
        <v>0</v>
      </c>
      <c r="BE105" s="294">
        <f t="shared" si="1208"/>
        <v>0</v>
      </c>
      <c r="BF105" s="294">
        <f t="shared" si="1208"/>
        <v>0</v>
      </c>
      <c r="BG105" s="295">
        <f t="shared" ref="BG105:BR105" si="1209">(((BF105*(1+($B$38*$B$4)))-BF105)/12)+BF105</f>
        <v>0</v>
      </c>
      <c r="BH105" s="294">
        <f t="shared" si="1209"/>
        <v>0</v>
      </c>
      <c r="BI105" s="294">
        <f t="shared" si="1209"/>
        <v>0</v>
      </c>
      <c r="BJ105" s="294">
        <f t="shared" si="1209"/>
        <v>0</v>
      </c>
      <c r="BK105" s="294">
        <f t="shared" si="1209"/>
        <v>0</v>
      </c>
      <c r="BL105" s="294">
        <f t="shared" si="1209"/>
        <v>0</v>
      </c>
      <c r="BM105" s="294">
        <f t="shared" si="1209"/>
        <v>0</v>
      </c>
      <c r="BN105" s="294">
        <f t="shared" si="1209"/>
        <v>0</v>
      </c>
      <c r="BO105" s="294">
        <f t="shared" si="1209"/>
        <v>0</v>
      </c>
      <c r="BP105" s="294">
        <f t="shared" si="1209"/>
        <v>0</v>
      </c>
      <c r="BQ105" s="294">
        <f t="shared" si="1209"/>
        <v>0</v>
      </c>
      <c r="BR105" s="294">
        <f t="shared" si="1209"/>
        <v>0</v>
      </c>
      <c r="BS105" s="295">
        <f t="shared" ref="BS105:CD105" si="1210">(((BR105*(1+($B$39*$B$4)))-BR105)/12)+BR105</f>
        <v>0</v>
      </c>
      <c r="BT105" s="294">
        <f t="shared" si="1210"/>
        <v>0</v>
      </c>
      <c r="BU105" s="294">
        <f t="shared" si="1210"/>
        <v>0</v>
      </c>
      <c r="BV105" s="294">
        <f t="shared" si="1210"/>
        <v>0</v>
      </c>
      <c r="BW105" s="294">
        <f t="shared" si="1210"/>
        <v>0</v>
      </c>
      <c r="BX105" s="294">
        <f t="shared" si="1210"/>
        <v>0</v>
      </c>
      <c r="BY105" s="294">
        <f t="shared" si="1210"/>
        <v>0</v>
      </c>
      <c r="BZ105" s="294">
        <f t="shared" si="1210"/>
        <v>0</v>
      </c>
      <c r="CA105" s="294">
        <f t="shared" si="1210"/>
        <v>0</v>
      </c>
      <c r="CB105" s="294">
        <f t="shared" si="1210"/>
        <v>0</v>
      </c>
      <c r="CC105" s="294">
        <f t="shared" si="1210"/>
        <v>0</v>
      </c>
      <c r="CD105" s="294">
        <f t="shared" si="1210"/>
        <v>0</v>
      </c>
      <c r="CE105" s="295">
        <f t="shared" ref="CE105:CP105" si="1211">(((CD105*(1+($B$40*$B$4)))-CD105)/12)+CD105</f>
        <v>0</v>
      </c>
      <c r="CF105" s="294">
        <f t="shared" si="1211"/>
        <v>0</v>
      </c>
      <c r="CG105" s="294">
        <f t="shared" si="1211"/>
        <v>0</v>
      </c>
      <c r="CH105" s="294">
        <f t="shared" si="1211"/>
        <v>0</v>
      </c>
      <c r="CI105" s="294">
        <f t="shared" si="1211"/>
        <v>0</v>
      </c>
      <c r="CJ105" s="294">
        <f t="shared" si="1211"/>
        <v>0</v>
      </c>
      <c r="CK105" s="294">
        <f t="shared" si="1211"/>
        <v>0</v>
      </c>
      <c r="CL105" s="294">
        <f t="shared" si="1211"/>
        <v>0</v>
      </c>
      <c r="CM105" s="294">
        <f t="shared" si="1211"/>
        <v>0</v>
      </c>
      <c r="CN105" s="294">
        <f t="shared" si="1211"/>
        <v>0</v>
      </c>
      <c r="CO105" s="294">
        <f t="shared" si="1211"/>
        <v>0</v>
      </c>
      <c r="CP105" s="294">
        <f t="shared" si="1211"/>
        <v>0</v>
      </c>
      <c r="CQ105" s="295">
        <f t="shared" ref="CQ105:DB105" si="1212">(((CP105*(1+($B$41*$B$4)))-CP105)/12)+CP105</f>
        <v>0</v>
      </c>
      <c r="CR105" s="294">
        <f t="shared" si="1212"/>
        <v>0</v>
      </c>
      <c r="CS105" s="294">
        <f t="shared" si="1212"/>
        <v>0</v>
      </c>
      <c r="CT105" s="294">
        <f t="shared" si="1212"/>
        <v>0</v>
      </c>
      <c r="CU105" s="294">
        <f t="shared" si="1212"/>
        <v>0</v>
      </c>
      <c r="CV105" s="294">
        <f t="shared" si="1212"/>
        <v>0</v>
      </c>
      <c r="CW105" s="294">
        <f t="shared" si="1212"/>
        <v>0</v>
      </c>
      <c r="CX105" s="294">
        <f t="shared" si="1212"/>
        <v>0</v>
      </c>
      <c r="CY105" s="294">
        <f t="shared" si="1212"/>
        <v>0</v>
      </c>
      <c r="CZ105" s="294">
        <f t="shared" si="1212"/>
        <v>0</v>
      </c>
      <c r="DA105" s="294">
        <f t="shared" si="1212"/>
        <v>0</v>
      </c>
      <c r="DB105" s="294">
        <f t="shared" si="1212"/>
        <v>0</v>
      </c>
      <c r="DC105" s="295">
        <f t="shared" ref="DC105:DN105" si="1213">(((DB105*(1+($B$42*$B$4)))-DB105)/12)+DB105</f>
        <v>0</v>
      </c>
      <c r="DD105" s="294">
        <f t="shared" si="1213"/>
        <v>0</v>
      </c>
      <c r="DE105" s="294">
        <f t="shared" si="1213"/>
        <v>0</v>
      </c>
      <c r="DF105" s="294">
        <f t="shared" si="1213"/>
        <v>0</v>
      </c>
      <c r="DG105" s="294">
        <f t="shared" si="1213"/>
        <v>0</v>
      </c>
      <c r="DH105" s="294">
        <f t="shared" si="1213"/>
        <v>0</v>
      </c>
      <c r="DI105" s="294">
        <f t="shared" si="1213"/>
        <v>0</v>
      </c>
      <c r="DJ105" s="294">
        <f t="shared" si="1213"/>
        <v>0</v>
      </c>
      <c r="DK105" s="294">
        <f t="shared" si="1213"/>
        <v>0</v>
      </c>
      <c r="DL105" s="294">
        <f t="shared" si="1213"/>
        <v>0</v>
      </c>
      <c r="DM105" s="294">
        <f t="shared" si="1213"/>
        <v>0</v>
      </c>
      <c r="DN105" s="294">
        <f t="shared" si="1213"/>
        <v>0</v>
      </c>
      <c r="DO105" s="295">
        <f t="shared" ref="DO105:DZ105" si="1214">(((DN105*(1+($B$43*$B$4)))-DN105)/12)+DN105</f>
        <v>0</v>
      </c>
      <c r="DP105" s="294">
        <f t="shared" si="1214"/>
        <v>0</v>
      </c>
      <c r="DQ105" s="294">
        <f t="shared" si="1214"/>
        <v>0</v>
      </c>
      <c r="DR105" s="294">
        <f t="shared" si="1214"/>
        <v>0</v>
      </c>
      <c r="DS105" s="294">
        <f t="shared" si="1214"/>
        <v>0</v>
      </c>
      <c r="DT105" s="294">
        <f t="shared" si="1214"/>
        <v>0</v>
      </c>
      <c r="DU105" s="294">
        <f t="shared" si="1214"/>
        <v>0</v>
      </c>
      <c r="DV105" s="294">
        <f t="shared" si="1214"/>
        <v>0</v>
      </c>
      <c r="DW105" s="294">
        <f t="shared" si="1214"/>
        <v>0</v>
      </c>
      <c r="DX105" s="294">
        <f t="shared" si="1214"/>
        <v>0</v>
      </c>
      <c r="DY105" s="294">
        <f t="shared" si="1214"/>
        <v>0</v>
      </c>
      <c r="DZ105" s="294">
        <f t="shared" si="1214"/>
        <v>0</v>
      </c>
      <c r="EA105" s="295">
        <f>(((DZ105*(1+($B$44*$B$4)))-DZ105)/12)+DZ105</f>
        <v>0</v>
      </c>
      <c r="EB105" s="294">
        <f>(((EA105*(1+($B$44*$B$4)))-EA105)/12)+EA105</f>
        <v>0</v>
      </c>
      <c r="EC105" s="294">
        <f>(((EB105*(1+($B$44*$B$4)))-EB105)/12)+EB105</f>
        <v>0</v>
      </c>
      <c r="ED105" s="296">
        <f>(((EC105*(1+($B$44*$B$4)))-EC105)/12)+EC105</f>
        <v>0</v>
      </c>
    </row>
    <row r="106" spans="2:134" outlineLevel="1" x14ac:dyDescent="0.25">
      <c r="C106" s="475"/>
      <c r="D106" s="727"/>
      <c r="E106" s="727"/>
      <c r="F106" s="727"/>
      <c r="G106" s="727"/>
      <c r="H106" s="727"/>
      <c r="I106" s="727"/>
      <c r="J106" s="727"/>
      <c r="K106" s="727"/>
      <c r="L106" s="269"/>
      <c r="M106" s="270"/>
      <c r="N106" s="271"/>
      <c r="O106" s="272"/>
      <c r="P106" s="272"/>
      <c r="Q106" s="272"/>
      <c r="R106" s="273"/>
      <c r="S106" s="274"/>
      <c r="T106" s="274"/>
      <c r="U106" s="270"/>
      <c r="V106" s="280">
        <v>1</v>
      </c>
      <c r="W106" s="290">
        <f>ROUNDUP($V106*(W105/100)/0.8,0)</f>
        <v>0</v>
      </c>
      <c r="X106" s="270">
        <f t="shared" ref="X106:CI106" si="1215">ROUNDUP($V106*(X105/100)/0.8,0)</f>
        <v>0</v>
      </c>
      <c r="Y106" s="270">
        <f t="shared" si="1215"/>
        <v>0</v>
      </c>
      <c r="Z106" s="270">
        <f t="shared" si="1215"/>
        <v>0</v>
      </c>
      <c r="AA106" s="270">
        <f t="shared" si="1215"/>
        <v>0</v>
      </c>
      <c r="AB106" s="270">
        <f t="shared" si="1215"/>
        <v>0</v>
      </c>
      <c r="AC106" s="270">
        <f t="shared" si="1215"/>
        <v>0</v>
      </c>
      <c r="AD106" s="270">
        <f t="shared" si="1215"/>
        <v>0</v>
      </c>
      <c r="AE106" s="270">
        <f t="shared" si="1215"/>
        <v>0</v>
      </c>
      <c r="AF106" s="270">
        <f t="shared" si="1215"/>
        <v>0</v>
      </c>
      <c r="AG106" s="270">
        <f t="shared" si="1215"/>
        <v>0</v>
      </c>
      <c r="AH106" s="270">
        <f t="shared" si="1215"/>
        <v>0</v>
      </c>
      <c r="AI106" s="291">
        <f t="shared" si="1215"/>
        <v>0</v>
      </c>
      <c r="AJ106" s="270">
        <f t="shared" si="1215"/>
        <v>0</v>
      </c>
      <c r="AK106" s="270">
        <f t="shared" si="1215"/>
        <v>0</v>
      </c>
      <c r="AL106" s="270">
        <f t="shared" si="1215"/>
        <v>0</v>
      </c>
      <c r="AM106" s="270">
        <f t="shared" si="1215"/>
        <v>0</v>
      </c>
      <c r="AN106" s="270">
        <f t="shared" si="1215"/>
        <v>0</v>
      </c>
      <c r="AO106" s="270">
        <f t="shared" si="1215"/>
        <v>0</v>
      </c>
      <c r="AP106" s="270">
        <f t="shared" si="1215"/>
        <v>0</v>
      </c>
      <c r="AQ106" s="270">
        <f t="shared" si="1215"/>
        <v>0</v>
      </c>
      <c r="AR106" s="270">
        <f t="shared" si="1215"/>
        <v>0</v>
      </c>
      <c r="AS106" s="270">
        <f t="shared" si="1215"/>
        <v>0</v>
      </c>
      <c r="AT106" s="270">
        <f t="shared" si="1215"/>
        <v>0</v>
      </c>
      <c r="AU106" s="291">
        <f t="shared" si="1215"/>
        <v>0</v>
      </c>
      <c r="AV106" s="270">
        <f t="shared" si="1215"/>
        <v>0</v>
      </c>
      <c r="AW106" s="270">
        <f t="shared" si="1215"/>
        <v>0</v>
      </c>
      <c r="AX106" s="270">
        <f t="shared" si="1215"/>
        <v>0</v>
      </c>
      <c r="AY106" s="270">
        <f t="shared" si="1215"/>
        <v>0</v>
      </c>
      <c r="AZ106" s="270">
        <f t="shared" si="1215"/>
        <v>0</v>
      </c>
      <c r="BA106" s="270">
        <f t="shared" si="1215"/>
        <v>0</v>
      </c>
      <c r="BB106" s="270">
        <f t="shared" si="1215"/>
        <v>0</v>
      </c>
      <c r="BC106" s="270">
        <f t="shared" si="1215"/>
        <v>0</v>
      </c>
      <c r="BD106" s="270">
        <f t="shared" si="1215"/>
        <v>0</v>
      </c>
      <c r="BE106" s="270">
        <f t="shared" si="1215"/>
        <v>0</v>
      </c>
      <c r="BF106" s="270">
        <f t="shared" si="1215"/>
        <v>0</v>
      </c>
      <c r="BG106" s="291">
        <f t="shared" si="1215"/>
        <v>0</v>
      </c>
      <c r="BH106" s="270">
        <f t="shared" si="1215"/>
        <v>0</v>
      </c>
      <c r="BI106" s="270">
        <f t="shared" si="1215"/>
        <v>0</v>
      </c>
      <c r="BJ106" s="270">
        <f t="shared" si="1215"/>
        <v>0</v>
      </c>
      <c r="BK106" s="270">
        <f t="shared" si="1215"/>
        <v>0</v>
      </c>
      <c r="BL106" s="270">
        <f t="shared" si="1215"/>
        <v>0</v>
      </c>
      <c r="BM106" s="270">
        <f t="shared" si="1215"/>
        <v>0</v>
      </c>
      <c r="BN106" s="270">
        <f t="shared" si="1215"/>
        <v>0</v>
      </c>
      <c r="BO106" s="270">
        <f t="shared" si="1215"/>
        <v>0</v>
      </c>
      <c r="BP106" s="270">
        <f t="shared" si="1215"/>
        <v>0</v>
      </c>
      <c r="BQ106" s="270">
        <f t="shared" si="1215"/>
        <v>0</v>
      </c>
      <c r="BR106" s="270">
        <f t="shared" si="1215"/>
        <v>0</v>
      </c>
      <c r="BS106" s="291">
        <f t="shared" si="1215"/>
        <v>0</v>
      </c>
      <c r="BT106" s="270">
        <f t="shared" si="1215"/>
        <v>0</v>
      </c>
      <c r="BU106" s="270">
        <f t="shared" si="1215"/>
        <v>0</v>
      </c>
      <c r="BV106" s="270">
        <f t="shared" si="1215"/>
        <v>0</v>
      </c>
      <c r="BW106" s="270">
        <f t="shared" si="1215"/>
        <v>0</v>
      </c>
      <c r="BX106" s="270">
        <f t="shared" si="1215"/>
        <v>0</v>
      </c>
      <c r="BY106" s="270">
        <f t="shared" si="1215"/>
        <v>0</v>
      </c>
      <c r="BZ106" s="270">
        <f t="shared" si="1215"/>
        <v>0</v>
      </c>
      <c r="CA106" s="270">
        <f t="shared" si="1215"/>
        <v>0</v>
      </c>
      <c r="CB106" s="270">
        <f t="shared" si="1215"/>
        <v>0</v>
      </c>
      <c r="CC106" s="270">
        <f t="shared" si="1215"/>
        <v>0</v>
      </c>
      <c r="CD106" s="270">
        <f t="shared" si="1215"/>
        <v>0</v>
      </c>
      <c r="CE106" s="291">
        <f t="shared" si="1215"/>
        <v>0</v>
      </c>
      <c r="CF106" s="270">
        <f t="shared" si="1215"/>
        <v>0</v>
      </c>
      <c r="CG106" s="270">
        <f t="shared" si="1215"/>
        <v>0</v>
      </c>
      <c r="CH106" s="270">
        <f t="shared" si="1215"/>
        <v>0</v>
      </c>
      <c r="CI106" s="270">
        <f t="shared" si="1215"/>
        <v>0</v>
      </c>
      <c r="CJ106" s="270">
        <f t="shared" ref="CJ106:ED106" si="1216">ROUNDUP($V106*(CJ105/100)/0.8,0)</f>
        <v>0</v>
      </c>
      <c r="CK106" s="270">
        <f t="shared" si="1216"/>
        <v>0</v>
      </c>
      <c r="CL106" s="270">
        <f t="shared" si="1216"/>
        <v>0</v>
      </c>
      <c r="CM106" s="270">
        <f t="shared" si="1216"/>
        <v>0</v>
      </c>
      <c r="CN106" s="270">
        <f t="shared" si="1216"/>
        <v>0</v>
      </c>
      <c r="CO106" s="270">
        <f t="shared" si="1216"/>
        <v>0</v>
      </c>
      <c r="CP106" s="270">
        <f t="shared" si="1216"/>
        <v>0</v>
      </c>
      <c r="CQ106" s="291">
        <f t="shared" si="1216"/>
        <v>0</v>
      </c>
      <c r="CR106" s="270">
        <f t="shared" si="1216"/>
        <v>0</v>
      </c>
      <c r="CS106" s="270">
        <f t="shared" si="1216"/>
        <v>0</v>
      </c>
      <c r="CT106" s="270">
        <f t="shared" si="1216"/>
        <v>0</v>
      </c>
      <c r="CU106" s="270">
        <f t="shared" si="1216"/>
        <v>0</v>
      </c>
      <c r="CV106" s="270">
        <f t="shared" si="1216"/>
        <v>0</v>
      </c>
      <c r="CW106" s="270">
        <f t="shared" si="1216"/>
        <v>0</v>
      </c>
      <c r="CX106" s="270">
        <f t="shared" si="1216"/>
        <v>0</v>
      </c>
      <c r="CY106" s="270">
        <f t="shared" si="1216"/>
        <v>0</v>
      </c>
      <c r="CZ106" s="270">
        <f t="shared" si="1216"/>
        <v>0</v>
      </c>
      <c r="DA106" s="270">
        <f t="shared" si="1216"/>
        <v>0</v>
      </c>
      <c r="DB106" s="270">
        <f t="shared" si="1216"/>
        <v>0</v>
      </c>
      <c r="DC106" s="291">
        <f t="shared" si="1216"/>
        <v>0</v>
      </c>
      <c r="DD106" s="270">
        <f t="shared" si="1216"/>
        <v>0</v>
      </c>
      <c r="DE106" s="270">
        <f t="shared" si="1216"/>
        <v>0</v>
      </c>
      <c r="DF106" s="270">
        <f t="shared" si="1216"/>
        <v>0</v>
      </c>
      <c r="DG106" s="270">
        <f t="shared" si="1216"/>
        <v>0</v>
      </c>
      <c r="DH106" s="270">
        <f t="shared" si="1216"/>
        <v>0</v>
      </c>
      <c r="DI106" s="270">
        <f t="shared" si="1216"/>
        <v>0</v>
      </c>
      <c r="DJ106" s="270">
        <f t="shared" si="1216"/>
        <v>0</v>
      </c>
      <c r="DK106" s="270">
        <f t="shared" si="1216"/>
        <v>0</v>
      </c>
      <c r="DL106" s="270">
        <f t="shared" si="1216"/>
        <v>0</v>
      </c>
      <c r="DM106" s="270">
        <f t="shared" si="1216"/>
        <v>0</v>
      </c>
      <c r="DN106" s="270">
        <f t="shared" si="1216"/>
        <v>0</v>
      </c>
      <c r="DO106" s="291">
        <f t="shared" si="1216"/>
        <v>0</v>
      </c>
      <c r="DP106" s="270">
        <f t="shared" si="1216"/>
        <v>0</v>
      </c>
      <c r="DQ106" s="270">
        <f t="shared" si="1216"/>
        <v>0</v>
      </c>
      <c r="DR106" s="270">
        <f t="shared" si="1216"/>
        <v>0</v>
      </c>
      <c r="DS106" s="270">
        <f t="shared" si="1216"/>
        <v>0</v>
      </c>
      <c r="DT106" s="270">
        <f t="shared" si="1216"/>
        <v>0</v>
      </c>
      <c r="DU106" s="270">
        <f t="shared" si="1216"/>
        <v>0</v>
      </c>
      <c r="DV106" s="270">
        <f t="shared" si="1216"/>
        <v>0</v>
      </c>
      <c r="DW106" s="270">
        <f t="shared" si="1216"/>
        <v>0</v>
      </c>
      <c r="DX106" s="270">
        <f t="shared" si="1216"/>
        <v>0</v>
      </c>
      <c r="DY106" s="270">
        <f t="shared" si="1216"/>
        <v>0</v>
      </c>
      <c r="DZ106" s="270">
        <f t="shared" si="1216"/>
        <v>0</v>
      </c>
      <c r="EA106" s="291">
        <f t="shared" si="1216"/>
        <v>0</v>
      </c>
      <c r="EB106" s="270">
        <f t="shared" si="1216"/>
        <v>0</v>
      </c>
      <c r="EC106" s="270">
        <f t="shared" si="1216"/>
        <v>0</v>
      </c>
      <c r="ED106" s="292">
        <f t="shared" si="1216"/>
        <v>0</v>
      </c>
    </row>
    <row r="107" spans="2:134" outlineLevel="1" x14ac:dyDescent="0.25">
      <c r="C107" s="475"/>
      <c r="D107" s="712" t="s">
        <v>271</v>
      </c>
      <c r="E107" s="712"/>
      <c r="F107" s="712"/>
      <c r="G107" s="712"/>
      <c r="H107" s="712"/>
      <c r="I107" s="712"/>
      <c r="J107" s="712"/>
      <c r="K107" s="712"/>
      <c r="L107" s="228"/>
      <c r="M107" s="493">
        <f>N107*100</f>
        <v>0</v>
      </c>
      <c r="N107" s="229"/>
      <c r="O107" s="230"/>
      <c r="P107" s="230"/>
      <c r="Q107" s="230"/>
      <c r="R107" s="231">
        <f>P107-N107</f>
        <v>0</v>
      </c>
      <c r="S107" s="232">
        <f>Q107*100</f>
        <v>0</v>
      </c>
      <c r="T107" s="232"/>
      <c r="U107" s="125"/>
      <c r="V107" s="278"/>
      <c r="W107" s="286">
        <f>M107</f>
        <v>0</v>
      </c>
      <c r="X107" s="234">
        <f>W107</f>
        <v>0</v>
      </c>
      <c r="Y107" s="234">
        <f>X107</f>
        <v>0</v>
      </c>
      <c r="Z107" s="234">
        <f>O107*100</f>
        <v>0</v>
      </c>
      <c r="AA107" s="234">
        <f>Z107</f>
        <v>0</v>
      </c>
      <c r="AB107" s="234">
        <f>AA107</f>
        <v>0</v>
      </c>
      <c r="AC107" s="234">
        <f>P107*100</f>
        <v>0</v>
      </c>
      <c r="AD107" s="234">
        <f>AC107</f>
        <v>0</v>
      </c>
      <c r="AE107" s="234">
        <f>AD107</f>
        <v>0</v>
      </c>
      <c r="AF107" s="234">
        <f>AE107</f>
        <v>0</v>
      </c>
      <c r="AG107" s="234">
        <f>AF107</f>
        <v>0</v>
      </c>
      <c r="AH107" s="234">
        <f>AG107</f>
        <v>0</v>
      </c>
      <c r="AI107" s="235">
        <f t="shared" ref="AI107:AT107" si="1217">(((AH107*(1+($B$36*$B$4)))-AH107)/12)+AH107</f>
        <v>0</v>
      </c>
      <c r="AJ107" s="234">
        <f t="shared" si="1217"/>
        <v>0</v>
      </c>
      <c r="AK107" s="234">
        <f t="shared" si="1217"/>
        <v>0</v>
      </c>
      <c r="AL107" s="234">
        <f t="shared" si="1217"/>
        <v>0</v>
      </c>
      <c r="AM107" s="234">
        <f t="shared" si="1217"/>
        <v>0</v>
      </c>
      <c r="AN107" s="234">
        <f t="shared" si="1217"/>
        <v>0</v>
      </c>
      <c r="AO107" s="234">
        <f t="shared" si="1217"/>
        <v>0</v>
      </c>
      <c r="AP107" s="234">
        <f t="shared" si="1217"/>
        <v>0</v>
      </c>
      <c r="AQ107" s="234">
        <f t="shared" si="1217"/>
        <v>0</v>
      </c>
      <c r="AR107" s="234">
        <f t="shared" si="1217"/>
        <v>0</v>
      </c>
      <c r="AS107" s="234">
        <f t="shared" si="1217"/>
        <v>0</v>
      </c>
      <c r="AT107" s="234">
        <f t="shared" si="1217"/>
        <v>0</v>
      </c>
      <c r="AU107" s="235">
        <f t="shared" ref="AU107:BF107" si="1218">(((AT107*(1+($B$37*$B$4)))-AT107)/12)+AT107</f>
        <v>0</v>
      </c>
      <c r="AV107" s="234">
        <f t="shared" si="1218"/>
        <v>0</v>
      </c>
      <c r="AW107" s="234">
        <f t="shared" si="1218"/>
        <v>0</v>
      </c>
      <c r="AX107" s="234">
        <f t="shared" si="1218"/>
        <v>0</v>
      </c>
      <c r="AY107" s="234">
        <f t="shared" si="1218"/>
        <v>0</v>
      </c>
      <c r="AZ107" s="234">
        <f t="shared" si="1218"/>
        <v>0</v>
      </c>
      <c r="BA107" s="234">
        <f t="shared" si="1218"/>
        <v>0</v>
      </c>
      <c r="BB107" s="234">
        <f t="shared" si="1218"/>
        <v>0</v>
      </c>
      <c r="BC107" s="234">
        <f t="shared" si="1218"/>
        <v>0</v>
      </c>
      <c r="BD107" s="234">
        <f t="shared" si="1218"/>
        <v>0</v>
      </c>
      <c r="BE107" s="234">
        <f t="shared" si="1218"/>
        <v>0</v>
      </c>
      <c r="BF107" s="234">
        <f t="shared" si="1218"/>
        <v>0</v>
      </c>
      <c r="BG107" s="235">
        <f t="shared" ref="BG107:BR107" si="1219">(((BF107*(1+($B$38*$B$4)))-BF107)/12)+BF107</f>
        <v>0</v>
      </c>
      <c r="BH107" s="234">
        <f t="shared" si="1219"/>
        <v>0</v>
      </c>
      <c r="BI107" s="234">
        <f t="shared" si="1219"/>
        <v>0</v>
      </c>
      <c r="BJ107" s="234">
        <f t="shared" si="1219"/>
        <v>0</v>
      </c>
      <c r="BK107" s="234">
        <f t="shared" si="1219"/>
        <v>0</v>
      </c>
      <c r="BL107" s="234">
        <f t="shared" si="1219"/>
        <v>0</v>
      </c>
      <c r="BM107" s="234">
        <f t="shared" si="1219"/>
        <v>0</v>
      </c>
      <c r="BN107" s="234">
        <f t="shared" si="1219"/>
        <v>0</v>
      </c>
      <c r="BO107" s="234">
        <f t="shared" si="1219"/>
        <v>0</v>
      </c>
      <c r="BP107" s="234">
        <f t="shared" si="1219"/>
        <v>0</v>
      </c>
      <c r="BQ107" s="234">
        <f t="shared" si="1219"/>
        <v>0</v>
      </c>
      <c r="BR107" s="234">
        <f t="shared" si="1219"/>
        <v>0</v>
      </c>
      <c r="BS107" s="235">
        <f t="shared" ref="BS107:CD107" si="1220">(((BR107*(1+($B$39*$B$4)))-BR107)/12)+BR107</f>
        <v>0</v>
      </c>
      <c r="BT107" s="234">
        <f t="shared" si="1220"/>
        <v>0</v>
      </c>
      <c r="BU107" s="234">
        <f t="shared" si="1220"/>
        <v>0</v>
      </c>
      <c r="BV107" s="234">
        <f t="shared" si="1220"/>
        <v>0</v>
      </c>
      <c r="BW107" s="234">
        <f t="shared" si="1220"/>
        <v>0</v>
      </c>
      <c r="BX107" s="234">
        <f t="shared" si="1220"/>
        <v>0</v>
      </c>
      <c r="BY107" s="234">
        <f t="shared" si="1220"/>
        <v>0</v>
      </c>
      <c r="BZ107" s="234">
        <f t="shared" si="1220"/>
        <v>0</v>
      </c>
      <c r="CA107" s="234">
        <f t="shared" si="1220"/>
        <v>0</v>
      </c>
      <c r="CB107" s="234">
        <f t="shared" si="1220"/>
        <v>0</v>
      </c>
      <c r="CC107" s="234">
        <f t="shared" si="1220"/>
        <v>0</v>
      </c>
      <c r="CD107" s="234">
        <f t="shared" si="1220"/>
        <v>0</v>
      </c>
      <c r="CE107" s="235">
        <f t="shared" ref="CE107:CP107" si="1221">(((CD107*(1+($B$40*$B$4)))-CD107)/12)+CD107</f>
        <v>0</v>
      </c>
      <c r="CF107" s="234">
        <f t="shared" si="1221"/>
        <v>0</v>
      </c>
      <c r="CG107" s="234">
        <f t="shared" si="1221"/>
        <v>0</v>
      </c>
      <c r="CH107" s="234">
        <f t="shared" si="1221"/>
        <v>0</v>
      </c>
      <c r="CI107" s="234">
        <f t="shared" si="1221"/>
        <v>0</v>
      </c>
      <c r="CJ107" s="234">
        <f t="shared" si="1221"/>
        <v>0</v>
      </c>
      <c r="CK107" s="234">
        <f t="shared" si="1221"/>
        <v>0</v>
      </c>
      <c r="CL107" s="234">
        <f t="shared" si="1221"/>
        <v>0</v>
      </c>
      <c r="CM107" s="234">
        <f t="shared" si="1221"/>
        <v>0</v>
      </c>
      <c r="CN107" s="234">
        <f t="shared" si="1221"/>
        <v>0</v>
      </c>
      <c r="CO107" s="234">
        <f t="shared" si="1221"/>
        <v>0</v>
      </c>
      <c r="CP107" s="234">
        <f t="shared" si="1221"/>
        <v>0</v>
      </c>
      <c r="CQ107" s="235">
        <f t="shared" ref="CQ107:DB107" si="1222">(((CP107*(1+($B$41*$B$4)))-CP107)/12)+CP107</f>
        <v>0</v>
      </c>
      <c r="CR107" s="234">
        <f t="shared" si="1222"/>
        <v>0</v>
      </c>
      <c r="CS107" s="234">
        <f t="shared" si="1222"/>
        <v>0</v>
      </c>
      <c r="CT107" s="234">
        <f t="shared" si="1222"/>
        <v>0</v>
      </c>
      <c r="CU107" s="234">
        <f t="shared" si="1222"/>
        <v>0</v>
      </c>
      <c r="CV107" s="234">
        <f t="shared" si="1222"/>
        <v>0</v>
      </c>
      <c r="CW107" s="234">
        <f t="shared" si="1222"/>
        <v>0</v>
      </c>
      <c r="CX107" s="234">
        <f t="shared" si="1222"/>
        <v>0</v>
      </c>
      <c r="CY107" s="234">
        <f t="shared" si="1222"/>
        <v>0</v>
      </c>
      <c r="CZ107" s="234">
        <f t="shared" si="1222"/>
        <v>0</v>
      </c>
      <c r="DA107" s="234">
        <f t="shared" si="1222"/>
        <v>0</v>
      </c>
      <c r="DB107" s="234">
        <f t="shared" si="1222"/>
        <v>0</v>
      </c>
      <c r="DC107" s="235">
        <f t="shared" ref="DC107:DN107" si="1223">(((DB107*(1+($B$42*$B$4)))-DB107)/12)+DB107</f>
        <v>0</v>
      </c>
      <c r="DD107" s="234">
        <f t="shared" si="1223"/>
        <v>0</v>
      </c>
      <c r="DE107" s="234">
        <f t="shared" si="1223"/>
        <v>0</v>
      </c>
      <c r="DF107" s="234">
        <f t="shared" si="1223"/>
        <v>0</v>
      </c>
      <c r="DG107" s="234">
        <f t="shared" si="1223"/>
        <v>0</v>
      </c>
      <c r="DH107" s="234">
        <f t="shared" si="1223"/>
        <v>0</v>
      </c>
      <c r="DI107" s="234">
        <f t="shared" si="1223"/>
        <v>0</v>
      </c>
      <c r="DJ107" s="234">
        <f t="shared" si="1223"/>
        <v>0</v>
      </c>
      <c r="DK107" s="234">
        <f t="shared" si="1223"/>
        <v>0</v>
      </c>
      <c r="DL107" s="234">
        <f t="shared" si="1223"/>
        <v>0</v>
      </c>
      <c r="DM107" s="234">
        <f t="shared" si="1223"/>
        <v>0</v>
      </c>
      <c r="DN107" s="234">
        <f t="shared" si="1223"/>
        <v>0</v>
      </c>
      <c r="DO107" s="235">
        <f t="shared" ref="DO107:DZ107" si="1224">(((DN107*(1+($B$43*$B$4)))-DN107)/12)+DN107</f>
        <v>0</v>
      </c>
      <c r="DP107" s="234">
        <f t="shared" si="1224"/>
        <v>0</v>
      </c>
      <c r="DQ107" s="234">
        <f t="shared" si="1224"/>
        <v>0</v>
      </c>
      <c r="DR107" s="234">
        <f t="shared" si="1224"/>
        <v>0</v>
      </c>
      <c r="DS107" s="234">
        <f t="shared" si="1224"/>
        <v>0</v>
      </c>
      <c r="DT107" s="234">
        <f t="shared" si="1224"/>
        <v>0</v>
      </c>
      <c r="DU107" s="234">
        <f t="shared" si="1224"/>
        <v>0</v>
      </c>
      <c r="DV107" s="234">
        <f t="shared" si="1224"/>
        <v>0</v>
      </c>
      <c r="DW107" s="234">
        <f t="shared" si="1224"/>
        <v>0</v>
      </c>
      <c r="DX107" s="234">
        <f t="shared" si="1224"/>
        <v>0</v>
      </c>
      <c r="DY107" s="234">
        <f t="shared" si="1224"/>
        <v>0</v>
      </c>
      <c r="DZ107" s="234">
        <f t="shared" si="1224"/>
        <v>0</v>
      </c>
      <c r="EA107" s="235">
        <f>(((DZ107*(1+($B$44*$B$4)))-DZ107)/12)+DZ107</f>
        <v>0</v>
      </c>
      <c r="EB107" s="234">
        <f>(((EA107*(1+($B$44*$B$4)))-EA107)/12)+EA107</f>
        <v>0</v>
      </c>
      <c r="EC107" s="234">
        <f>(((EB107*(1+($B$44*$B$4)))-EB107)/12)+EB107</f>
        <v>0</v>
      </c>
      <c r="ED107" s="287">
        <f>(((EC107*(1+($B$44*$B$4)))-EC107)/12)+EC107</f>
        <v>0</v>
      </c>
    </row>
    <row r="108" spans="2:134" outlineLevel="1" x14ac:dyDescent="0.25">
      <c r="C108" s="475"/>
      <c r="D108" s="711"/>
      <c r="E108" s="711"/>
      <c r="F108" s="711"/>
      <c r="G108" s="711"/>
      <c r="H108" s="711"/>
      <c r="I108" s="711"/>
      <c r="J108" s="711"/>
      <c r="K108" s="711"/>
      <c r="L108" s="222"/>
      <c r="M108" s="223"/>
      <c r="N108" s="224"/>
      <c r="O108" s="225"/>
      <c r="P108" s="225"/>
      <c r="Q108" s="225"/>
      <c r="R108" s="226"/>
      <c r="S108" s="227"/>
      <c r="T108" s="227"/>
      <c r="U108" s="223"/>
      <c r="V108" s="277">
        <v>1</v>
      </c>
      <c r="W108" s="288">
        <f>ROUNDUP($V108*(W107/100)/0.8,0)</f>
        <v>0</v>
      </c>
      <c r="X108" s="125">
        <f t="shared" ref="X108:CI108" si="1225">ROUNDUP($V108*(X107/100)/0.8,0)</f>
        <v>0</v>
      </c>
      <c r="Y108" s="125">
        <f t="shared" si="1225"/>
        <v>0</v>
      </c>
      <c r="Z108" s="125">
        <f t="shared" si="1225"/>
        <v>0</v>
      </c>
      <c r="AA108" s="125">
        <f t="shared" si="1225"/>
        <v>0</v>
      </c>
      <c r="AB108" s="125">
        <f t="shared" si="1225"/>
        <v>0</v>
      </c>
      <c r="AC108" s="125">
        <f t="shared" si="1225"/>
        <v>0</v>
      </c>
      <c r="AD108" s="125">
        <f t="shared" si="1225"/>
        <v>0</v>
      </c>
      <c r="AE108" s="125">
        <f t="shared" si="1225"/>
        <v>0</v>
      </c>
      <c r="AF108" s="125">
        <f t="shared" si="1225"/>
        <v>0</v>
      </c>
      <c r="AG108" s="125">
        <f t="shared" si="1225"/>
        <v>0</v>
      </c>
      <c r="AH108" s="125">
        <f t="shared" si="1225"/>
        <v>0</v>
      </c>
      <c r="AI108" s="233">
        <f t="shared" si="1225"/>
        <v>0</v>
      </c>
      <c r="AJ108" s="125">
        <f t="shared" si="1225"/>
        <v>0</v>
      </c>
      <c r="AK108" s="125">
        <f t="shared" si="1225"/>
        <v>0</v>
      </c>
      <c r="AL108" s="125">
        <f t="shared" si="1225"/>
        <v>0</v>
      </c>
      <c r="AM108" s="125">
        <f t="shared" si="1225"/>
        <v>0</v>
      </c>
      <c r="AN108" s="125">
        <f t="shared" si="1225"/>
        <v>0</v>
      </c>
      <c r="AO108" s="125">
        <f t="shared" si="1225"/>
        <v>0</v>
      </c>
      <c r="AP108" s="125">
        <f t="shared" si="1225"/>
        <v>0</v>
      </c>
      <c r="AQ108" s="125">
        <f t="shared" si="1225"/>
        <v>0</v>
      </c>
      <c r="AR108" s="125">
        <f t="shared" si="1225"/>
        <v>0</v>
      </c>
      <c r="AS108" s="125">
        <f t="shared" si="1225"/>
        <v>0</v>
      </c>
      <c r="AT108" s="125">
        <f t="shared" si="1225"/>
        <v>0</v>
      </c>
      <c r="AU108" s="233">
        <f t="shared" si="1225"/>
        <v>0</v>
      </c>
      <c r="AV108" s="125">
        <f t="shared" si="1225"/>
        <v>0</v>
      </c>
      <c r="AW108" s="125">
        <f t="shared" si="1225"/>
        <v>0</v>
      </c>
      <c r="AX108" s="125">
        <f t="shared" si="1225"/>
        <v>0</v>
      </c>
      <c r="AY108" s="125">
        <f t="shared" si="1225"/>
        <v>0</v>
      </c>
      <c r="AZ108" s="125">
        <f t="shared" si="1225"/>
        <v>0</v>
      </c>
      <c r="BA108" s="125">
        <f t="shared" si="1225"/>
        <v>0</v>
      </c>
      <c r="BB108" s="125">
        <f t="shared" si="1225"/>
        <v>0</v>
      </c>
      <c r="BC108" s="125">
        <f t="shared" si="1225"/>
        <v>0</v>
      </c>
      <c r="BD108" s="125">
        <f t="shared" si="1225"/>
        <v>0</v>
      </c>
      <c r="BE108" s="125">
        <f t="shared" si="1225"/>
        <v>0</v>
      </c>
      <c r="BF108" s="125">
        <f t="shared" si="1225"/>
        <v>0</v>
      </c>
      <c r="BG108" s="233">
        <f t="shared" si="1225"/>
        <v>0</v>
      </c>
      <c r="BH108" s="125">
        <f t="shared" si="1225"/>
        <v>0</v>
      </c>
      <c r="BI108" s="125">
        <f t="shared" si="1225"/>
        <v>0</v>
      </c>
      <c r="BJ108" s="125">
        <f t="shared" si="1225"/>
        <v>0</v>
      </c>
      <c r="BK108" s="125">
        <f t="shared" si="1225"/>
        <v>0</v>
      </c>
      <c r="BL108" s="125">
        <f t="shared" si="1225"/>
        <v>0</v>
      </c>
      <c r="BM108" s="125">
        <f t="shared" si="1225"/>
        <v>0</v>
      </c>
      <c r="BN108" s="125">
        <f t="shared" si="1225"/>
        <v>0</v>
      </c>
      <c r="BO108" s="125">
        <f t="shared" si="1225"/>
        <v>0</v>
      </c>
      <c r="BP108" s="125">
        <f t="shared" si="1225"/>
        <v>0</v>
      </c>
      <c r="BQ108" s="125">
        <f t="shared" si="1225"/>
        <v>0</v>
      </c>
      <c r="BR108" s="125">
        <f t="shared" si="1225"/>
        <v>0</v>
      </c>
      <c r="BS108" s="233">
        <f t="shared" si="1225"/>
        <v>0</v>
      </c>
      <c r="BT108" s="125">
        <f t="shared" si="1225"/>
        <v>0</v>
      </c>
      <c r="BU108" s="125">
        <f t="shared" si="1225"/>
        <v>0</v>
      </c>
      <c r="BV108" s="125">
        <f t="shared" si="1225"/>
        <v>0</v>
      </c>
      <c r="BW108" s="125">
        <f t="shared" si="1225"/>
        <v>0</v>
      </c>
      <c r="BX108" s="125">
        <f t="shared" si="1225"/>
        <v>0</v>
      </c>
      <c r="BY108" s="125">
        <f t="shared" si="1225"/>
        <v>0</v>
      </c>
      <c r="BZ108" s="125">
        <f t="shared" si="1225"/>
        <v>0</v>
      </c>
      <c r="CA108" s="125">
        <f t="shared" si="1225"/>
        <v>0</v>
      </c>
      <c r="CB108" s="125">
        <f t="shared" si="1225"/>
        <v>0</v>
      </c>
      <c r="CC108" s="125">
        <f t="shared" si="1225"/>
        <v>0</v>
      </c>
      <c r="CD108" s="125">
        <f t="shared" si="1225"/>
        <v>0</v>
      </c>
      <c r="CE108" s="233">
        <f t="shared" si="1225"/>
        <v>0</v>
      </c>
      <c r="CF108" s="125">
        <f t="shared" si="1225"/>
        <v>0</v>
      </c>
      <c r="CG108" s="125">
        <f t="shared" si="1225"/>
        <v>0</v>
      </c>
      <c r="CH108" s="125">
        <f t="shared" si="1225"/>
        <v>0</v>
      </c>
      <c r="CI108" s="125">
        <f t="shared" si="1225"/>
        <v>0</v>
      </c>
      <c r="CJ108" s="125">
        <f t="shared" ref="CJ108:ED108" si="1226">ROUNDUP($V108*(CJ107/100)/0.8,0)</f>
        <v>0</v>
      </c>
      <c r="CK108" s="125">
        <f t="shared" si="1226"/>
        <v>0</v>
      </c>
      <c r="CL108" s="125">
        <f t="shared" si="1226"/>
        <v>0</v>
      </c>
      <c r="CM108" s="125">
        <f t="shared" si="1226"/>
        <v>0</v>
      </c>
      <c r="CN108" s="125">
        <f t="shared" si="1226"/>
        <v>0</v>
      </c>
      <c r="CO108" s="125">
        <f t="shared" si="1226"/>
        <v>0</v>
      </c>
      <c r="CP108" s="125">
        <f t="shared" si="1226"/>
        <v>0</v>
      </c>
      <c r="CQ108" s="233">
        <f t="shared" si="1226"/>
        <v>0</v>
      </c>
      <c r="CR108" s="125">
        <f t="shared" si="1226"/>
        <v>0</v>
      </c>
      <c r="CS108" s="125">
        <f t="shared" si="1226"/>
        <v>0</v>
      </c>
      <c r="CT108" s="125">
        <f t="shared" si="1226"/>
        <v>0</v>
      </c>
      <c r="CU108" s="125">
        <f t="shared" si="1226"/>
        <v>0</v>
      </c>
      <c r="CV108" s="125">
        <f t="shared" si="1226"/>
        <v>0</v>
      </c>
      <c r="CW108" s="125">
        <f t="shared" si="1226"/>
        <v>0</v>
      </c>
      <c r="CX108" s="125">
        <f t="shared" si="1226"/>
        <v>0</v>
      </c>
      <c r="CY108" s="125">
        <f t="shared" si="1226"/>
        <v>0</v>
      </c>
      <c r="CZ108" s="125">
        <f t="shared" si="1226"/>
        <v>0</v>
      </c>
      <c r="DA108" s="125">
        <f t="shared" si="1226"/>
        <v>0</v>
      </c>
      <c r="DB108" s="125">
        <f t="shared" si="1226"/>
        <v>0</v>
      </c>
      <c r="DC108" s="233">
        <f t="shared" si="1226"/>
        <v>0</v>
      </c>
      <c r="DD108" s="125">
        <f t="shared" si="1226"/>
        <v>0</v>
      </c>
      <c r="DE108" s="125">
        <f t="shared" si="1226"/>
        <v>0</v>
      </c>
      <c r="DF108" s="125">
        <f t="shared" si="1226"/>
        <v>0</v>
      </c>
      <c r="DG108" s="125">
        <f t="shared" si="1226"/>
        <v>0</v>
      </c>
      <c r="DH108" s="125">
        <f t="shared" si="1226"/>
        <v>0</v>
      </c>
      <c r="DI108" s="125">
        <f t="shared" si="1226"/>
        <v>0</v>
      </c>
      <c r="DJ108" s="125">
        <f t="shared" si="1226"/>
        <v>0</v>
      </c>
      <c r="DK108" s="125">
        <f t="shared" si="1226"/>
        <v>0</v>
      </c>
      <c r="DL108" s="125">
        <f t="shared" si="1226"/>
        <v>0</v>
      </c>
      <c r="DM108" s="125">
        <f t="shared" si="1226"/>
        <v>0</v>
      </c>
      <c r="DN108" s="125">
        <f t="shared" si="1226"/>
        <v>0</v>
      </c>
      <c r="DO108" s="233">
        <f t="shared" si="1226"/>
        <v>0</v>
      </c>
      <c r="DP108" s="125">
        <f t="shared" si="1226"/>
        <v>0</v>
      </c>
      <c r="DQ108" s="125">
        <f t="shared" si="1226"/>
        <v>0</v>
      </c>
      <c r="DR108" s="125">
        <f t="shared" si="1226"/>
        <v>0</v>
      </c>
      <c r="DS108" s="125">
        <f t="shared" si="1226"/>
        <v>0</v>
      </c>
      <c r="DT108" s="125">
        <f t="shared" si="1226"/>
        <v>0</v>
      </c>
      <c r="DU108" s="125">
        <f t="shared" si="1226"/>
        <v>0</v>
      </c>
      <c r="DV108" s="125">
        <f t="shared" si="1226"/>
        <v>0</v>
      </c>
      <c r="DW108" s="125">
        <f t="shared" si="1226"/>
        <v>0</v>
      </c>
      <c r="DX108" s="125">
        <f t="shared" si="1226"/>
        <v>0</v>
      </c>
      <c r="DY108" s="125">
        <f t="shared" si="1226"/>
        <v>0</v>
      </c>
      <c r="DZ108" s="125">
        <f t="shared" si="1226"/>
        <v>0</v>
      </c>
      <c r="EA108" s="233">
        <f t="shared" si="1226"/>
        <v>0</v>
      </c>
      <c r="EB108" s="125">
        <f t="shared" si="1226"/>
        <v>0</v>
      </c>
      <c r="EC108" s="125">
        <f t="shared" si="1226"/>
        <v>0</v>
      </c>
      <c r="ED108" s="289">
        <f t="shared" si="1226"/>
        <v>0</v>
      </c>
    </row>
    <row r="109" spans="2:134" outlineLevel="1" x14ac:dyDescent="0.25">
      <c r="C109" s="475"/>
      <c r="D109" s="712" t="s">
        <v>272</v>
      </c>
      <c r="E109" s="712"/>
      <c r="F109" s="712"/>
      <c r="G109" s="712"/>
      <c r="H109" s="712"/>
      <c r="I109" s="712"/>
      <c r="J109" s="712"/>
      <c r="K109" s="712"/>
      <c r="L109" s="228"/>
      <c r="M109" s="493">
        <f>N109*100</f>
        <v>0</v>
      </c>
      <c r="N109" s="229"/>
      <c r="O109" s="230"/>
      <c r="P109" s="230"/>
      <c r="Q109" s="230"/>
      <c r="R109" s="231">
        <f>P109-N109</f>
        <v>0</v>
      </c>
      <c r="S109" s="232">
        <f>Q109*100</f>
        <v>0</v>
      </c>
      <c r="T109" s="232"/>
      <c r="U109" s="125"/>
      <c r="V109" s="278"/>
      <c r="W109" s="293">
        <f>M109</f>
        <v>0</v>
      </c>
      <c r="X109" s="294">
        <f>W109</f>
        <v>0</v>
      </c>
      <c r="Y109" s="294">
        <f>X109</f>
        <v>0</v>
      </c>
      <c r="Z109" s="294">
        <f>O109*100</f>
        <v>0</v>
      </c>
      <c r="AA109" s="294">
        <f>Z109</f>
        <v>0</v>
      </c>
      <c r="AB109" s="294">
        <f>AA109</f>
        <v>0</v>
      </c>
      <c r="AC109" s="294">
        <f>P109*100</f>
        <v>0</v>
      </c>
      <c r="AD109" s="294">
        <f>AC109</f>
        <v>0</v>
      </c>
      <c r="AE109" s="294">
        <f>AD109</f>
        <v>0</v>
      </c>
      <c r="AF109" s="294">
        <f>AE109</f>
        <v>0</v>
      </c>
      <c r="AG109" s="294">
        <f>AF109</f>
        <v>0</v>
      </c>
      <c r="AH109" s="294">
        <f>AG109</f>
        <v>0</v>
      </c>
      <c r="AI109" s="295">
        <f t="shared" ref="AI109:AT109" si="1227">(((AH109*(1+($B$36*$B$4)))-AH109)/12)+AH109</f>
        <v>0</v>
      </c>
      <c r="AJ109" s="294">
        <f t="shared" si="1227"/>
        <v>0</v>
      </c>
      <c r="AK109" s="294">
        <f t="shared" si="1227"/>
        <v>0</v>
      </c>
      <c r="AL109" s="294">
        <f t="shared" si="1227"/>
        <v>0</v>
      </c>
      <c r="AM109" s="294">
        <f t="shared" si="1227"/>
        <v>0</v>
      </c>
      <c r="AN109" s="294">
        <f t="shared" si="1227"/>
        <v>0</v>
      </c>
      <c r="AO109" s="294">
        <f t="shared" si="1227"/>
        <v>0</v>
      </c>
      <c r="AP109" s="294">
        <f t="shared" si="1227"/>
        <v>0</v>
      </c>
      <c r="AQ109" s="294">
        <f t="shared" si="1227"/>
        <v>0</v>
      </c>
      <c r="AR109" s="294">
        <f t="shared" si="1227"/>
        <v>0</v>
      </c>
      <c r="AS109" s="294">
        <f t="shared" si="1227"/>
        <v>0</v>
      </c>
      <c r="AT109" s="294">
        <f t="shared" si="1227"/>
        <v>0</v>
      </c>
      <c r="AU109" s="295">
        <f t="shared" ref="AU109:BF109" si="1228">(((AT109*(1+($B$37*$B$4)))-AT109)/12)+AT109</f>
        <v>0</v>
      </c>
      <c r="AV109" s="294">
        <f t="shared" si="1228"/>
        <v>0</v>
      </c>
      <c r="AW109" s="294">
        <f t="shared" si="1228"/>
        <v>0</v>
      </c>
      <c r="AX109" s="294">
        <f t="shared" si="1228"/>
        <v>0</v>
      </c>
      <c r="AY109" s="294">
        <f t="shared" si="1228"/>
        <v>0</v>
      </c>
      <c r="AZ109" s="294">
        <f t="shared" si="1228"/>
        <v>0</v>
      </c>
      <c r="BA109" s="294">
        <f t="shared" si="1228"/>
        <v>0</v>
      </c>
      <c r="BB109" s="294">
        <f t="shared" si="1228"/>
        <v>0</v>
      </c>
      <c r="BC109" s="294">
        <f t="shared" si="1228"/>
        <v>0</v>
      </c>
      <c r="BD109" s="294">
        <f t="shared" si="1228"/>
        <v>0</v>
      </c>
      <c r="BE109" s="294">
        <f t="shared" si="1228"/>
        <v>0</v>
      </c>
      <c r="BF109" s="294">
        <f t="shared" si="1228"/>
        <v>0</v>
      </c>
      <c r="BG109" s="295">
        <f t="shared" ref="BG109:BR109" si="1229">(((BF109*(1+($B$38*$B$4)))-BF109)/12)+BF109</f>
        <v>0</v>
      </c>
      <c r="BH109" s="294">
        <f t="shared" si="1229"/>
        <v>0</v>
      </c>
      <c r="BI109" s="294">
        <f t="shared" si="1229"/>
        <v>0</v>
      </c>
      <c r="BJ109" s="294">
        <f t="shared" si="1229"/>
        <v>0</v>
      </c>
      <c r="BK109" s="294">
        <f t="shared" si="1229"/>
        <v>0</v>
      </c>
      <c r="BL109" s="294">
        <f t="shared" si="1229"/>
        <v>0</v>
      </c>
      <c r="BM109" s="294">
        <f t="shared" si="1229"/>
        <v>0</v>
      </c>
      <c r="BN109" s="294">
        <f t="shared" si="1229"/>
        <v>0</v>
      </c>
      <c r="BO109" s="294">
        <f t="shared" si="1229"/>
        <v>0</v>
      </c>
      <c r="BP109" s="294">
        <f t="shared" si="1229"/>
        <v>0</v>
      </c>
      <c r="BQ109" s="294">
        <f t="shared" si="1229"/>
        <v>0</v>
      </c>
      <c r="BR109" s="294">
        <f t="shared" si="1229"/>
        <v>0</v>
      </c>
      <c r="BS109" s="295">
        <f t="shared" ref="BS109:CD109" si="1230">(((BR109*(1+($B$39*$B$4)))-BR109)/12)+BR109</f>
        <v>0</v>
      </c>
      <c r="BT109" s="294">
        <f t="shared" si="1230"/>
        <v>0</v>
      </c>
      <c r="BU109" s="294">
        <f t="shared" si="1230"/>
        <v>0</v>
      </c>
      <c r="BV109" s="294">
        <f t="shared" si="1230"/>
        <v>0</v>
      </c>
      <c r="BW109" s="294">
        <f t="shared" si="1230"/>
        <v>0</v>
      </c>
      <c r="BX109" s="294">
        <f t="shared" si="1230"/>
        <v>0</v>
      </c>
      <c r="BY109" s="294">
        <f t="shared" si="1230"/>
        <v>0</v>
      </c>
      <c r="BZ109" s="294">
        <f t="shared" si="1230"/>
        <v>0</v>
      </c>
      <c r="CA109" s="294">
        <f t="shared" si="1230"/>
        <v>0</v>
      </c>
      <c r="CB109" s="294">
        <f t="shared" si="1230"/>
        <v>0</v>
      </c>
      <c r="CC109" s="294">
        <f t="shared" si="1230"/>
        <v>0</v>
      </c>
      <c r="CD109" s="294">
        <f t="shared" si="1230"/>
        <v>0</v>
      </c>
      <c r="CE109" s="295">
        <f t="shared" ref="CE109:CP109" si="1231">(((CD109*(1+($B$40*$B$4)))-CD109)/12)+CD109</f>
        <v>0</v>
      </c>
      <c r="CF109" s="294">
        <f t="shared" si="1231"/>
        <v>0</v>
      </c>
      <c r="CG109" s="294">
        <f t="shared" si="1231"/>
        <v>0</v>
      </c>
      <c r="CH109" s="294">
        <f t="shared" si="1231"/>
        <v>0</v>
      </c>
      <c r="CI109" s="294">
        <f t="shared" si="1231"/>
        <v>0</v>
      </c>
      <c r="CJ109" s="294">
        <f t="shared" si="1231"/>
        <v>0</v>
      </c>
      <c r="CK109" s="294">
        <f t="shared" si="1231"/>
        <v>0</v>
      </c>
      <c r="CL109" s="294">
        <f t="shared" si="1231"/>
        <v>0</v>
      </c>
      <c r="CM109" s="294">
        <f t="shared" si="1231"/>
        <v>0</v>
      </c>
      <c r="CN109" s="294">
        <f t="shared" si="1231"/>
        <v>0</v>
      </c>
      <c r="CO109" s="294">
        <f t="shared" si="1231"/>
        <v>0</v>
      </c>
      <c r="CP109" s="294">
        <f t="shared" si="1231"/>
        <v>0</v>
      </c>
      <c r="CQ109" s="295">
        <f t="shared" ref="CQ109:DB109" si="1232">(((CP109*(1+($B$41*$B$4)))-CP109)/12)+CP109</f>
        <v>0</v>
      </c>
      <c r="CR109" s="294">
        <f t="shared" si="1232"/>
        <v>0</v>
      </c>
      <c r="CS109" s="294">
        <f t="shared" si="1232"/>
        <v>0</v>
      </c>
      <c r="CT109" s="294">
        <f t="shared" si="1232"/>
        <v>0</v>
      </c>
      <c r="CU109" s="294">
        <f t="shared" si="1232"/>
        <v>0</v>
      </c>
      <c r="CV109" s="294">
        <f t="shared" si="1232"/>
        <v>0</v>
      </c>
      <c r="CW109" s="294">
        <f t="shared" si="1232"/>
        <v>0</v>
      </c>
      <c r="CX109" s="294">
        <f t="shared" si="1232"/>
        <v>0</v>
      </c>
      <c r="CY109" s="294">
        <f t="shared" si="1232"/>
        <v>0</v>
      </c>
      <c r="CZ109" s="294">
        <f t="shared" si="1232"/>
        <v>0</v>
      </c>
      <c r="DA109" s="294">
        <f t="shared" si="1232"/>
        <v>0</v>
      </c>
      <c r="DB109" s="294">
        <f t="shared" si="1232"/>
        <v>0</v>
      </c>
      <c r="DC109" s="295">
        <f t="shared" ref="DC109:DN109" si="1233">(((DB109*(1+($B$42*$B$4)))-DB109)/12)+DB109</f>
        <v>0</v>
      </c>
      <c r="DD109" s="294">
        <f t="shared" si="1233"/>
        <v>0</v>
      </c>
      <c r="DE109" s="294">
        <f t="shared" si="1233"/>
        <v>0</v>
      </c>
      <c r="DF109" s="294">
        <f t="shared" si="1233"/>
        <v>0</v>
      </c>
      <c r="DG109" s="294">
        <f t="shared" si="1233"/>
        <v>0</v>
      </c>
      <c r="DH109" s="294">
        <f t="shared" si="1233"/>
        <v>0</v>
      </c>
      <c r="DI109" s="294">
        <f t="shared" si="1233"/>
        <v>0</v>
      </c>
      <c r="DJ109" s="294">
        <f t="shared" si="1233"/>
        <v>0</v>
      </c>
      <c r="DK109" s="294">
        <f t="shared" si="1233"/>
        <v>0</v>
      </c>
      <c r="DL109" s="294">
        <f t="shared" si="1233"/>
        <v>0</v>
      </c>
      <c r="DM109" s="294">
        <f t="shared" si="1233"/>
        <v>0</v>
      </c>
      <c r="DN109" s="294">
        <f t="shared" si="1233"/>
        <v>0</v>
      </c>
      <c r="DO109" s="295">
        <f t="shared" ref="DO109:DZ109" si="1234">(((DN109*(1+($B$43*$B$4)))-DN109)/12)+DN109</f>
        <v>0</v>
      </c>
      <c r="DP109" s="294">
        <f t="shared" si="1234"/>
        <v>0</v>
      </c>
      <c r="DQ109" s="294">
        <f t="shared" si="1234"/>
        <v>0</v>
      </c>
      <c r="DR109" s="294">
        <f t="shared" si="1234"/>
        <v>0</v>
      </c>
      <c r="DS109" s="294">
        <f t="shared" si="1234"/>
        <v>0</v>
      </c>
      <c r="DT109" s="294">
        <f t="shared" si="1234"/>
        <v>0</v>
      </c>
      <c r="DU109" s="294">
        <f t="shared" si="1234"/>
        <v>0</v>
      </c>
      <c r="DV109" s="294">
        <f t="shared" si="1234"/>
        <v>0</v>
      </c>
      <c r="DW109" s="294">
        <f t="shared" si="1234"/>
        <v>0</v>
      </c>
      <c r="DX109" s="294">
        <f t="shared" si="1234"/>
        <v>0</v>
      </c>
      <c r="DY109" s="294">
        <f t="shared" si="1234"/>
        <v>0</v>
      </c>
      <c r="DZ109" s="294">
        <f t="shared" si="1234"/>
        <v>0</v>
      </c>
      <c r="EA109" s="295">
        <f>(((DZ109*(1+($B$44*$B$4)))-DZ109)/12)+DZ109</f>
        <v>0</v>
      </c>
      <c r="EB109" s="294">
        <f>(((EA109*(1+($B$44*$B$4)))-EA109)/12)+EA109</f>
        <v>0</v>
      </c>
      <c r="EC109" s="294">
        <f>(((EB109*(1+($B$44*$B$4)))-EB109)/12)+EB109</f>
        <v>0</v>
      </c>
      <c r="ED109" s="296">
        <f>(((EC109*(1+($B$44*$B$4)))-EC109)/12)+EC109</f>
        <v>0</v>
      </c>
    </row>
    <row r="110" spans="2:134" outlineLevel="1" x14ac:dyDescent="0.25">
      <c r="C110" s="475"/>
      <c r="D110" s="712"/>
      <c r="E110" s="712"/>
      <c r="F110" s="712"/>
      <c r="G110" s="712"/>
      <c r="H110" s="712"/>
      <c r="I110" s="712"/>
      <c r="J110" s="712"/>
      <c r="K110" s="712"/>
      <c r="L110" s="228"/>
      <c r="M110" s="125"/>
      <c r="N110" s="229"/>
      <c r="O110" s="230"/>
      <c r="P110" s="230"/>
      <c r="Q110" s="230"/>
      <c r="R110" s="231"/>
      <c r="S110" s="232"/>
      <c r="T110" s="232"/>
      <c r="U110" s="125"/>
      <c r="V110" s="70">
        <v>1</v>
      </c>
      <c r="W110" s="290">
        <f>ROUNDUP($V110*(W109/100)/0.8,0)</f>
        <v>0</v>
      </c>
      <c r="X110" s="270">
        <f t="shared" ref="X110:CI110" si="1235">ROUNDUP($V110*(X109/100)/0.8,0)</f>
        <v>0</v>
      </c>
      <c r="Y110" s="270">
        <f t="shared" si="1235"/>
        <v>0</v>
      </c>
      <c r="Z110" s="270">
        <f t="shared" si="1235"/>
        <v>0</v>
      </c>
      <c r="AA110" s="270">
        <f t="shared" si="1235"/>
        <v>0</v>
      </c>
      <c r="AB110" s="270">
        <f t="shared" si="1235"/>
        <v>0</v>
      </c>
      <c r="AC110" s="270">
        <f t="shared" si="1235"/>
        <v>0</v>
      </c>
      <c r="AD110" s="270">
        <f t="shared" si="1235"/>
        <v>0</v>
      </c>
      <c r="AE110" s="270">
        <f t="shared" si="1235"/>
        <v>0</v>
      </c>
      <c r="AF110" s="270">
        <f t="shared" si="1235"/>
        <v>0</v>
      </c>
      <c r="AG110" s="270">
        <f t="shared" si="1235"/>
        <v>0</v>
      </c>
      <c r="AH110" s="270">
        <f t="shared" si="1235"/>
        <v>0</v>
      </c>
      <c r="AI110" s="291">
        <f t="shared" si="1235"/>
        <v>0</v>
      </c>
      <c r="AJ110" s="270">
        <f t="shared" si="1235"/>
        <v>0</v>
      </c>
      <c r="AK110" s="270">
        <f t="shared" si="1235"/>
        <v>0</v>
      </c>
      <c r="AL110" s="270">
        <f t="shared" si="1235"/>
        <v>0</v>
      </c>
      <c r="AM110" s="270">
        <f t="shared" si="1235"/>
        <v>0</v>
      </c>
      <c r="AN110" s="270">
        <f t="shared" si="1235"/>
        <v>0</v>
      </c>
      <c r="AO110" s="270">
        <f t="shared" si="1235"/>
        <v>0</v>
      </c>
      <c r="AP110" s="270">
        <f t="shared" si="1235"/>
        <v>0</v>
      </c>
      <c r="AQ110" s="270">
        <f t="shared" si="1235"/>
        <v>0</v>
      </c>
      <c r="AR110" s="270">
        <f t="shared" si="1235"/>
        <v>0</v>
      </c>
      <c r="AS110" s="270">
        <f t="shared" si="1235"/>
        <v>0</v>
      </c>
      <c r="AT110" s="270">
        <f t="shared" si="1235"/>
        <v>0</v>
      </c>
      <c r="AU110" s="291">
        <f t="shared" si="1235"/>
        <v>0</v>
      </c>
      <c r="AV110" s="270">
        <f t="shared" si="1235"/>
        <v>0</v>
      </c>
      <c r="AW110" s="270">
        <f t="shared" si="1235"/>
        <v>0</v>
      </c>
      <c r="AX110" s="270">
        <f t="shared" si="1235"/>
        <v>0</v>
      </c>
      <c r="AY110" s="270">
        <f t="shared" si="1235"/>
        <v>0</v>
      </c>
      <c r="AZ110" s="270">
        <f t="shared" si="1235"/>
        <v>0</v>
      </c>
      <c r="BA110" s="270">
        <f t="shared" si="1235"/>
        <v>0</v>
      </c>
      <c r="BB110" s="270">
        <f t="shared" si="1235"/>
        <v>0</v>
      </c>
      <c r="BC110" s="270">
        <f t="shared" si="1235"/>
        <v>0</v>
      </c>
      <c r="BD110" s="270">
        <f t="shared" si="1235"/>
        <v>0</v>
      </c>
      <c r="BE110" s="270">
        <f t="shared" si="1235"/>
        <v>0</v>
      </c>
      <c r="BF110" s="270">
        <f t="shared" si="1235"/>
        <v>0</v>
      </c>
      <c r="BG110" s="291">
        <f t="shared" si="1235"/>
        <v>0</v>
      </c>
      <c r="BH110" s="270">
        <f t="shared" si="1235"/>
        <v>0</v>
      </c>
      <c r="BI110" s="270">
        <f t="shared" si="1235"/>
        <v>0</v>
      </c>
      <c r="BJ110" s="270">
        <f t="shared" si="1235"/>
        <v>0</v>
      </c>
      <c r="BK110" s="270">
        <f t="shared" si="1235"/>
        <v>0</v>
      </c>
      <c r="BL110" s="270">
        <f t="shared" si="1235"/>
        <v>0</v>
      </c>
      <c r="BM110" s="270">
        <f t="shared" si="1235"/>
        <v>0</v>
      </c>
      <c r="BN110" s="270">
        <f t="shared" si="1235"/>
        <v>0</v>
      </c>
      <c r="BO110" s="270">
        <f t="shared" si="1235"/>
        <v>0</v>
      </c>
      <c r="BP110" s="270">
        <f t="shared" si="1235"/>
        <v>0</v>
      </c>
      <c r="BQ110" s="270">
        <f t="shared" si="1235"/>
        <v>0</v>
      </c>
      <c r="BR110" s="270">
        <f t="shared" si="1235"/>
        <v>0</v>
      </c>
      <c r="BS110" s="291">
        <f t="shared" si="1235"/>
        <v>0</v>
      </c>
      <c r="BT110" s="270">
        <f t="shared" si="1235"/>
        <v>0</v>
      </c>
      <c r="BU110" s="270">
        <f t="shared" si="1235"/>
        <v>0</v>
      </c>
      <c r="BV110" s="270">
        <f t="shared" si="1235"/>
        <v>0</v>
      </c>
      <c r="BW110" s="270">
        <f t="shared" si="1235"/>
        <v>0</v>
      </c>
      <c r="BX110" s="270">
        <f t="shared" si="1235"/>
        <v>0</v>
      </c>
      <c r="BY110" s="270">
        <f t="shared" si="1235"/>
        <v>0</v>
      </c>
      <c r="BZ110" s="270">
        <f t="shared" si="1235"/>
        <v>0</v>
      </c>
      <c r="CA110" s="270">
        <f t="shared" si="1235"/>
        <v>0</v>
      </c>
      <c r="CB110" s="270">
        <f t="shared" si="1235"/>
        <v>0</v>
      </c>
      <c r="CC110" s="270">
        <f t="shared" si="1235"/>
        <v>0</v>
      </c>
      <c r="CD110" s="270">
        <f t="shared" si="1235"/>
        <v>0</v>
      </c>
      <c r="CE110" s="291">
        <f t="shared" si="1235"/>
        <v>0</v>
      </c>
      <c r="CF110" s="270">
        <f t="shared" si="1235"/>
        <v>0</v>
      </c>
      <c r="CG110" s="270">
        <f t="shared" si="1235"/>
        <v>0</v>
      </c>
      <c r="CH110" s="270">
        <f t="shared" si="1235"/>
        <v>0</v>
      </c>
      <c r="CI110" s="270">
        <f t="shared" si="1235"/>
        <v>0</v>
      </c>
      <c r="CJ110" s="270">
        <f t="shared" ref="CJ110:ED110" si="1236">ROUNDUP($V110*(CJ109/100)/0.8,0)</f>
        <v>0</v>
      </c>
      <c r="CK110" s="270">
        <f t="shared" si="1236"/>
        <v>0</v>
      </c>
      <c r="CL110" s="270">
        <f t="shared" si="1236"/>
        <v>0</v>
      </c>
      <c r="CM110" s="270">
        <f t="shared" si="1236"/>
        <v>0</v>
      </c>
      <c r="CN110" s="270">
        <f t="shared" si="1236"/>
        <v>0</v>
      </c>
      <c r="CO110" s="270">
        <f t="shared" si="1236"/>
        <v>0</v>
      </c>
      <c r="CP110" s="270">
        <f t="shared" si="1236"/>
        <v>0</v>
      </c>
      <c r="CQ110" s="291">
        <f t="shared" si="1236"/>
        <v>0</v>
      </c>
      <c r="CR110" s="270">
        <f t="shared" si="1236"/>
        <v>0</v>
      </c>
      <c r="CS110" s="270">
        <f t="shared" si="1236"/>
        <v>0</v>
      </c>
      <c r="CT110" s="270">
        <f t="shared" si="1236"/>
        <v>0</v>
      </c>
      <c r="CU110" s="270">
        <f t="shared" si="1236"/>
        <v>0</v>
      </c>
      <c r="CV110" s="270">
        <f t="shared" si="1236"/>
        <v>0</v>
      </c>
      <c r="CW110" s="270">
        <f t="shared" si="1236"/>
        <v>0</v>
      </c>
      <c r="CX110" s="270">
        <f t="shared" si="1236"/>
        <v>0</v>
      </c>
      <c r="CY110" s="270">
        <f t="shared" si="1236"/>
        <v>0</v>
      </c>
      <c r="CZ110" s="270">
        <f t="shared" si="1236"/>
        <v>0</v>
      </c>
      <c r="DA110" s="270">
        <f t="shared" si="1236"/>
        <v>0</v>
      </c>
      <c r="DB110" s="270">
        <f t="shared" si="1236"/>
        <v>0</v>
      </c>
      <c r="DC110" s="291">
        <f t="shared" si="1236"/>
        <v>0</v>
      </c>
      <c r="DD110" s="270">
        <f t="shared" si="1236"/>
        <v>0</v>
      </c>
      <c r="DE110" s="270">
        <f t="shared" si="1236"/>
        <v>0</v>
      </c>
      <c r="DF110" s="270">
        <f t="shared" si="1236"/>
        <v>0</v>
      </c>
      <c r="DG110" s="270">
        <f t="shared" si="1236"/>
        <v>0</v>
      </c>
      <c r="DH110" s="270">
        <f t="shared" si="1236"/>
        <v>0</v>
      </c>
      <c r="DI110" s="270">
        <f t="shared" si="1236"/>
        <v>0</v>
      </c>
      <c r="DJ110" s="270">
        <f t="shared" si="1236"/>
        <v>0</v>
      </c>
      <c r="DK110" s="270">
        <f t="shared" si="1236"/>
        <v>0</v>
      </c>
      <c r="DL110" s="270">
        <f t="shared" si="1236"/>
        <v>0</v>
      </c>
      <c r="DM110" s="270">
        <f t="shared" si="1236"/>
        <v>0</v>
      </c>
      <c r="DN110" s="270">
        <f t="shared" si="1236"/>
        <v>0</v>
      </c>
      <c r="DO110" s="291">
        <f t="shared" si="1236"/>
        <v>0</v>
      </c>
      <c r="DP110" s="270">
        <f t="shared" si="1236"/>
        <v>0</v>
      </c>
      <c r="DQ110" s="270">
        <f t="shared" si="1236"/>
        <v>0</v>
      </c>
      <c r="DR110" s="270">
        <f t="shared" si="1236"/>
        <v>0</v>
      </c>
      <c r="DS110" s="270">
        <f t="shared" si="1236"/>
        <v>0</v>
      </c>
      <c r="DT110" s="270">
        <f t="shared" si="1236"/>
        <v>0</v>
      </c>
      <c r="DU110" s="270">
        <f t="shared" si="1236"/>
        <v>0</v>
      </c>
      <c r="DV110" s="270">
        <f t="shared" si="1236"/>
        <v>0</v>
      </c>
      <c r="DW110" s="270">
        <f t="shared" si="1236"/>
        <v>0</v>
      </c>
      <c r="DX110" s="270">
        <f t="shared" si="1236"/>
        <v>0</v>
      </c>
      <c r="DY110" s="270">
        <f t="shared" si="1236"/>
        <v>0</v>
      </c>
      <c r="DZ110" s="270">
        <f t="shared" si="1236"/>
        <v>0</v>
      </c>
      <c r="EA110" s="291">
        <f t="shared" si="1236"/>
        <v>0</v>
      </c>
      <c r="EB110" s="270">
        <f t="shared" si="1236"/>
        <v>0</v>
      </c>
      <c r="EC110" s="270">
        <f t="shared" si="1236"/>
        <v>0</v>
      </c>
      <c r="ED110" s="292">
        <f t="shared" si="1236"/>
        <v>0</v>
      </c>
    </row>
    <row r="111" spans="2:134" outlineLevel="1" x14ac:dyDescent="0.25">
      <c r="C111" s="475"/>
      <c r="D111" s="710" t="s">
        <v>273</v>
      </c>
      <c r="E111" s="710"/>
      <c r="F111" s="710"/>
      <c r="G111" s="710"/>
      <c r="H111" s="710"/>
      <c r="I111" s="710"/>
      <c r="J111" s="710"/>
      <c r="K111" s="710"/>
      <c r="L111" s="216"/>
      <c r="M111" s="493">
        <f>N111*100</f>
        <v>0</v>
      </c>
      <c r="N111" s="218"/>
      <c r="O111" s="219"/>
      <c r="P111" s="219"/>
      <c r="Q111" s="219"/>
      <c r="R111" s="220">
        <f>P111-N111</f>
        <v>0</v>
      </c>
      <c r="S111" s="221">
        <f>Q111*100</f>
        <v>0</v>
      </c>
      <c r="T111" s="221"/>
      <c r="U111" s="127"/>
      <c r="V111" s="276"/>
      <c r="W111" s="286">
        <f>M111</f>
        <v>0</v>
      </c>
      <c r="X111" s="234">
        <f>W111</f>
        <v>0</v>
      </c>
      <c r="Y111" s="234">
        <f>X111</f>
        <v>0</v>
      </c>
      <c r="Z111" s="234">
        <f>O111*100</f>
        <v>0</v>
      </c>
      <c r="AA111" s="234">
        <f>Z111</f>
        <v>0</v>
      </c>
      <c r="AB111" s="234">
        <f>AA111</f>
        <v>0</v>
      </c>
      <c r="AC111" s="234">
        <f>P111*100</f>
        <v>0</v>
      </c>
      <c r="AD111" s="234">
        <f>AC111</f>
        <v>0</v>
      </c>
      <c r="AE111" s="234">
        <f>AD111</f>
        <v>0</v>
      </c>
      <c r="AF111" s="234">
        <f>AE111</f>
        <v>0</v>
      </c>
      <c r="AG111" s="234">
        <f>AF111</f>
        <v>0</v>
      </c>
      <c r="AH111" s="234">
        <f>AG111</f>
        <v>0</v>
      </c>
      <c r="AI111" s="235">
        <f t="shared" ref="AI111:AT111" si="1237">(((AH111*(1+($B$36*$B$4)))-AH111)/12)+AH111</f>
        <v>0</v>
      </c>
      <c r="AJ111" s="234">
        <f t="shared" si="1237"/>
        <v>0</v>
      </c>
      <c r="AK111" s="234">
        <f t="shared" si="1237"/>
        <v>0</v>
      </c>
      <c r="AL111" s="234">
        <f t="shared" si="1237"/>
        <v>0</v>
      </c>
      <c r="AM111" s="234">
        <f t="shared" si="1237"/>
        <v>0</v>
      </c>
      <c r="AN111" s="234">
        <f t="shared" si="1237"/>
        <v>0</v>
      </c>
      <c r="AO111" s="234">
        <f t="shared" si="1237"/>
        <v>0</v>
      </c>
      <c r="AP111" s="234">
        <f t="shared" si="1237"/>
        <v>0</v>
      </c>
      <c r="AQ111" s="234">
        <f t="shared" si="1237"/>
        <v>0</v>
      </c>
      <c r="AR111" s="234">
        <f t="shared" si="1237"/>
        <v>0</v>
      </c>
      <c r="AS111" s="234">
        <f t="shared" si="1237"/>
        <v>0</v>
      </c>
      <c r="AT111" s="234">
        <f t="shared" si="1237"/>
        <v>0</v>
      </c>
      <c r="AU111" s="235">
        <f t="shared" ref="AU111:BF111" si="1238">(((AT111*(1+($B$37*$B$4)))-AT111)/12)+AT111</f>
        <v>0</v>
      </c>
      <c r="AV111" s="234">
        <f t="shared" si="1238"/>
        <v>0</v>
      </c>
      <c r="AW111" s="234">
        <f t="shared" si="1238"/>
        <v>0</v>
      </c>
      <c r="AX111" s="234">
        <f t="shared" si="1238"/>
        <v>0</v>
      </c>
      <c r="AY111" s="234">
        <f t="shared" si="1238"/>
        <v>0</v>
      </c>
      <c r="AZ111" s="234">
        <f t="shared" si="1238"/>
        <v>0</v>
      </c>
      <c r="BA111" s="234">
        <f t="shared" si="1238"/>
        <v>0</v>
      </c>
      <c r="BB111" s="234">
        <f t="shared" si="1238"/>
        <v>0</v>
      </c>
      <c r="BC111" s="234">
        <f t="shared" si="1238"/>
        <v>0</v>
      </c>
      <c r="BD111" s="234">
        <f t="shared" si="1238"/>
        <v>0</v>
      </c>
      <c r="BE111" s="234">
        <f t="shared" si="1238"/>
        <v>0</v>
      </c>
      <c r="BF111" s="234">
        <f t="shared" si="1238"/>
        <v>0</v>
      </c>
      <c r="BG111" s="235">
        <f t="shared" ref="BG111:BR111" si="1239">(((BF111*(1+($B$38*$B$4)))-BF111)/12)+BF111</f>
        <v>0</v>
      </c>
      <c r="BH111" s="234">
        <f t="shared" si="1239"/>
        <v>0</v>
      </c>
      <c r="BI111" s="234">
        <f t="shared" si="1239"/>
        <v>0</v>
      </c>
      <c r="BJ111" s="234">
        <f t="shared" si="1239"/>
        <v>0</v>
      </c>
      <c r="BK111" s="234">
        <f t="shared" si="1239"/>
        <v>0</v>
      </c>
      <c r="BL111" s="234">
        <f t="shared" si="1239"/>
        <v>0</v>
      </c>
      <c r="BM111" s="234">
        <f t="shared" si="1239"/>
        <v>0</v>
      </c>
      <c r="BN111" s="234">
        <f t="shared" si="1239"/>
        <v>0</v>
      </c>
      <c r="BO111" s="234">
        <f t="shared" si="1239"/>
        <v>0</v>
      </c>
      <c r="BP111" s="234">
        <f t="shared" si="1239"/>
        <v>0</v>
      </c>
      <c r="BQ111" s="234">
        <f t="shared" si="1239"/>
        <v>0</v>
      </c>
      <c r="BR111" s="234">
        <f t="shared" si="1239"/>
        <v>0</v>
      </c>
      <c r="BS111" s="235">
        <f t="shared" ref="BS111:CD111" si="1240">(((BR111*(1+($B$39*$B$4)))-BR111)/12)+BR111</f>
        <v>0</v>
      </c>
      <c r="BT111" s="234">
        <f t="shared" si="1240"/>
        <v>0</v>
      </c>
      <c r="BU111" s="234">
        <f t="shared" si="1240"/>
        <v>0</v>
      </c>
      <c r="BV111" s="234">
        <f t="shared" si="1240"/>
        <v>0</v>
      </c>
      <c r="BW111" s="234">
        <f t="shared" si="1240"/>
        <v>0</v>
      </c>
      <c r="BX111" s="234">
        <f t="shared" si="1240"/>
        <v>0</v>
      </c>
      <c r="BY111" s="234">
        <f t="shared" si="1240"/>
        <v>0</v>
      </c>
      <c r="BZ111" s="234">
        <f t="shared" si="1240"/>
        <v>0</v>
      </c>
      <c r="CA111" s="234">
        <f t="shared" si="1240"/>
        <v>0</v>
      </c>
      <c r="CB111" s="234">
        <f t="shared" si="1240"/>
        <v>0</v>
      </c>
      <c r="CC111" s="234">
        <f t="shared" si="1240"/>
        <v>0</v>
      </c>
      <c r="CD111" s="234">
        <f t="shared" si="1240"/>
        <v>0</v>
      </c>
      <c r="CE111" s="235">
        <f t="shared" ref="CE111:CP111" si="1241">(((CD111*(1+($B$40*$B$4)))-CD111)/12)+CD111</f>
        <v>0</v>
      </c>
      <c r="CF111" s="234">
        <f t="shared" si="1241"/>
        <v>0</v>
      </c>
      <c r="CG111" s="234">
        <f t="shared" si="1241"/>
        <v>0</v>
      </c>
      <c r="CH111" s="234">
        <f t="shared" si="1241"/>
        <v>0</v>
      </c>
      <c r="CI111" s="234">
        <f t="shared" si="1241"/>
        <v>0</v>
      </c>
      <c r="CJ111" s="234">
        <f t="shared" si="1241"/>
        <v>0</v>
      </c>
      <c r="CK111" s="234">
        <f t="shared" si="1241"/>
        <v>0</v>
      </c>
      <c r="CL111" s="234">
        <f t="shared" si="1241"/>
        <v>0</v>
      </c>
      <c r="CM111" s="234">
        <f t="shared" si="1241"/>
        <v>0</v>
      </c>
      <c r="CN111" s="234">
        <f t="shared" si="1241"/>
        <v>0</v>
      </c>
      <c r="CO111" s="234">
        <f t="shared" si="1241"/>
        <v>0</v>
      </c>
      <c r="CP111" s="234">
        <f t="shared" si="1241"/>
        <v>0</v>
      </c>
      <c r="CQ111" s="235">
        <f t="shared" ref="CQ111:DB111" si="1242">(((CP111*(1+($B$41*$B$4)))-CP111)/12)+CP111</f>
        <v>0</v>
      </c>
      <c r="CR111" s="234">
        <f t="shared" si="1242"/>
        <v>0</v>
      </c>
      <c r="CS111" s="234">
        <f t="shared" si="1242"/>
        <v>0</v>
      </c>
      <c r="CT111" s="234">
        <f t="shared" si="1242"/>
        <v>0</v>
      </c>
      <c r="CU111" s="234">
        <f t="shared" si="1242"/>
        <v>0</v>
      </c>
      <c r="CV111" s="234">
        <f t="shared" si="1242"/>
        <v>0</v>
      </c>
      <c r="CW111" s="234">
        <f t="shared" si="1242"/>
        <v>0</v>
      </c>
      <c r="CX111" s="234">
        <f t="shared" si="1242"/>
        <v>0</v>
      </c>
      <c r="CY111" s="234">
        <f t="shared" si="1242"/>
        <v>0</v>
      </c>
      <c r="CZ111" s="234">
        <f t="shared" si="1242"/>
        <v>0</v>
      </c>
      <c r="DA111" s="234">
        <f t="shared" si="1242"/>
        <v>0</v>
      </c>
      <c r="DB111" s="234">
        <f t="shared" si="1242"/>
        <v>0</v>
      </c>
      <c r="DC111" s="235">
        <f t="shared" ref="DC111:DN111" si="1243">(((DB111*(1+($B$42*$B$4)))-DB111)/12)+DB111</f>
        <v>0</v>
      </c>
      <c r="DD111" s="234">
        <f t="shared" si="1243"/>
        <v>0</v>
      </c>
      <c r="DE111" s="234">
        <f t="shared" si="1243"/>
        <v>0</v>
      </c>
      <c r="DF111" s="234">
        <f t="shared" si="1243"/>
        <v>0</v>
      </c>
      <c r="DG111" s="234">
        <f t="shared" si="1243"/>
        <v>0</v>
      </c>
      <c r="DH111" s="234">
        <f t="shared" si="1243"/>
        <v>0</v>
      </c>
      <c r="DI111" s="234">
        <f t="shared" si="1243"/>
        <v>0</v>
      </c>
      <c r="DJ111" s="234">
        <f t="shared" si="1243"/>
        <v>0</v>
      </c>
      <c r="DK111" s="234">
        <f t="shared" si="1243"/>
        <v>0</v>
      </c>
      <c r="DL111" s="234">
        <f t="shared" si="1243"/>
        <v>0</v>
      </c>
      <c r="DM111" s="234">
        <f t="shared" si="1243"/>
        <v>0</v>
      </c>
      <c r="DN111" s="234">
        <f t="shared" si="1243"/>
        <v>0</v>
      </c>
      <c r="DO111" s="235">
        <f t="shared" ref="DO111:DZ111" si="1244">(((DN111*(1+($B$43*$B$4)))-DN111)/12)+DN111</f>
        <v>0</v>
      </c>
      <c r="DP111" s="234">
        <f t="shared" si="1244"/>
        <v>0</v>
      </c>
      <c r="DQ111" s="234">
        <f t="shared" si="1244"/>
        <v>0</v>
      </c>
      <c r="DR111" s="234">
        <f t="shared" si="1244"/>
        <v>0</v>
      </c>
      <c r="DS111" s="234">
        <f t="shared" si="1244"/>
        <v>0</v>
      </c>
      <c r="DT111" s="234">
        <f t="shared" si="1244"/>
        <v>0</v>
      </c>
      <c r="DU111" s="234">
        <f t="shared" si="1244"/>
        <v>0</v>
      </c>
      <c r="DV111" s="234">
        <f t="shared" si="1244"/>
        <v>0</v>
      </c>
      <c r="DW111" s="234">
        <f t="shared" si="1244"/>
        <v>0</v>
      </c>
      <c r="DX111" s="234">
        <f t="shared" si="1244"/>
        <v>0</v>
      </c>
      <c r="DY111" s="234">
        <f t="shared" si="1244"/>
        <v>0</v>
      </c>
      <c r="DZ111" s="234">
        <f t="shared" si="1244"/>
        <v>0</v>
      </c>
      <c r="EA111" s="235">
        <f>(((DZ111*(1+($B$44*$B$4)))-DZ111)/12)+DZ111</f>
        <v>0</v>
      </c>
      <c r="EB111" s="234">
        <f>(((EA111*(1+($B$44*$B$4)))-EA111)/12)+EA111</f>
        <v>0</v>
      </c>
      <c r="EC111" s="234">
        <f>(((EB111*(1+($B$44*$B$4)))-EB111)/12)+EB111</f>
        <v>0</v>
      </c>
      <c r="ED111" s="287">
        <f>(((EC111*(1+($B$44*$B$4)))-EC111)/12)+EC111</f>
        <v>0</v>
      </c>
    </row>
    <row r="112" spans="2:134" outlineLevel="1" x14ac:dyDescent="0.25">
      <c r="C112" s="475"/>
      <c r="D112" s="711"/>
      <c r="E112" s="711"/>
      <c r="F112" s="711"/>
      <c r="G112" s="711"/>
      <c r="H112" s="711"/>
      <c r="I112" s="711"/>
      <c r="J112" s="711"/>
      <c r="K112" s="711"/>
      <c r="L112" s="222"/>
      <c r="M112" s="223"/>
      <c r="N112" s="224"/>
      <c r="O112" s="225"/>
      <c r="P112" s="225"/>
      <c r="Q112" s="225"/>
      <c r="R112" s="226"/>
      <c r="S112" s="227"/>
      <c r="T112" s="227"/>
      <c r="U112" s="223"/>
      <c r="V112" s="277">
        <v>0.5</v>
      </c>
      <c r="W112" s="288">
        <f>ROUNDUP($V112*(W111/100)/0.8,0)</f>
        <v>0</v>
      </c>
      <c r="X112" s="125">
        <f t="shared" ref="X112:CI112" si="1245">ROUNDUP($V112*(X111/100)/0.8,0)</f>
        <v>0</v>
      </c>
      <c r="Y112" s="125">
        <f t="shared" si="1245"/>
        <v>0</v>
      </c>
      <c r="Z112" s="125">
        <f t="shared" si="1245"/>
        <v>0</v>
      </c>
      <c r="AA112" s="125">
        <f t="shared" si="1245"/>
        <v>0</v>
      </c>
      <c r="AB112" s="125">
        <f t="shared" si="1245"/>
        <v>0</v>
      </c>
      <c r="AC112" s="125">
        <f t="shared" si="1245"/>
        <v>0</v>
      </c>
      <c r="AD112" s="125">
        <f t="shared" si="1245"/>
        <v>0</v>
      </c>
      <c r="AE112" s="125">
        <f t="shared" si="1245"/>
        <v>0</v>
      </c>
      <c r="AF112" s="125">
        <f t="shared" si="1245"/>
        <v>0</v>
      </c>
      <c r="AG112" s="125">
        <f t="shared" si="1245"/>
        <v>0</v>
      </c>
      <c r="AH112" s="125">
        <f t="shared" si="1245"/>
        <v>0</v>
      </c>
      <c r="AI112" s="233">
        <f t="shared" si="1245"/>
        <v>0</v>
      </c>
      <c r="AJ112" s="125">
        <f t="shared" si="1245"/>
        <v>0</v>
      </c>
      <c r="AK112" s="125">
        <f t="shared" si="1245"/>
        <v>0</v>
      </c>
      <c r="AL112" s="125">
        <f t="shared" si="1245"/>
        <v>0</v>
      </c>
      <c r="AM112" s="125">
        <f t="shared" si="1245"/>
        <v>0</v>
      </c>
      <c r="AN112" s="125">
        <f t="shared" si="1245"/>
        <v>0</v>
      </c>
      <c r="AO112" s="125">
        <f t="shared" si="1245"/>
        <v>0</v>
      </c>
      <c r="AP112" s="125">
        <f t="shared" si="1245"/>
        <v>0</v>
      </c>
      <c r="AQ112" s="125">
        <f t="shared" si="1245"/>
        <v>0</v>
      </c>
      <c r="AR112" s="125">
        <f t="shared" si="1245"/>
        <v>0</v>
      </c>
      <c r="AS112" s="125">
        <f t="shared" si="1245"/>
        <v>0</v>
      </c>
      <c r="AT112" s="125">
        <f t="shared" si="1245"/>
        <v>0</v>
      </c>
      <c r="AU112" s="233">
        <f t="shared" si="1245"/>
        <v>0</v>
      </c>
      <c r="AV112" s="125">
        <f t="shared" si="1245"/>
        <v>0</v>
      </c>
      <c r="AW112" s="125">
        <f t="shared" si="1245"/>
        <v>0</v>
      </c>
      <c r="AX112" s="125">
        <f t="shared" si="1245"/>
        <v>0</v>
      </c>
      <c r="AY112" s="125">
        <f t="shared" si="1245"/>
        <v>0</v>
      </c>
      <c r="AZ112" s="125">
        <f t="shared" si="1245"/>
        <v>0</v>
      </c>
      <c r="BA112" s="125">
        <f t="shared" si="1245"/>
        <v>0</v>
      </c>
      <c r="BB112" s="125">
        <f t="shared" si="1245"/>
        <v>0</v>
      </c>
      <c r="BC112" s="125">
        <f t="shared" si="1245"/>
        <v>0</v>
      </c>
      <c r="BD112" s="125">
        <f t="shared" si="1245"/>
        <v>0</v>
      </c>
      <c r="BE112" s="125">
        <f t="shared" si="1245"/>
        <v>0</v>
      </c>
      <c r="BF112" s="125">
        <f t="shared" si="1245"/>
        <v>0</v>
      </c>
      <c r="BG112" s="233">
        <f t="shared" si="1245"/>
        <v>0</v>
      </c>
      <c r="BH112" s="125">
        <f t="shared" si="1245"/>
        <v>0</v>
      </c>
      <c r="BI112" s="125">
        <f t="shared" si="1245"/>
        <v>0</v>
      </c>
      <c r="BJ112" s="125">
        <f t="shared" si="1245"/>
        <v>0</v>
      </c>
      <c r="BK112" s="125">
        <f t="shared" si="1245"/>
        <v>0</v>
      </c>
      <c r="BL112" s="125">
        <f t="shared" si="1245"/>
        <v>0</v>
      </c>
      <c r="BM112" s="125">
        <f t="shared" si="1245"/>
        <v>0</v>
      </c>
      <c r="BN112" s="125">
        <f t="shared" si="1245"/>
        <v>0</v>
      </c>
      <c r="BO112" s="125">
        <f t="shared" si="1245"/>
        <v>0</v>
      </c>
      <c r="BP112" s="125">
        <f t="shared" si="1245"/>
        <v>0</v>
      </c>
      <c r="BQ112" s="125">
        <f t="shared" si="1245"/>
        <v>0</v>
      </c>
      <c r="BR112" s="125">
        <f t="shared" si="1245"/>
        <v>0</v>
      </c>
      <c r="BS112" s="233">
        <f t="shared" si="1245"/>
        <v>0</v>
      </c>
      <c r="BT112" s="125">
        <f t="shared" si="1245"/>
        <v>0</v>
      </c>
      <c r="BU112" s="125">
        <f t="shared" si="1245"/>
        <v>0</v>
      </c>
      <c r="BV112" s="125">
        <f t="shared" si="1245"/>
        <v>0</v>
      </c>
      <c r="BW112" s="125">
        <f t="shared" si="1245"/>
        <v>0</v>
      </c>
      <c r="BX112" s="125">
        <f t="shared" si="1245"/>
        <v>0</v>
      </c>
      <c r="BY112" s="125">
        <f t="shared" si="1245"/>
        <v>0</v>
      </c>
      <c r="BZ112" s="125">
        <f t="shared" si="1245"/>
        <v>0</v>
      </c>
      <c r="CA112" s="125">
        <f t="shared" si="1245"/>
        <v>0</v>
      </c>
      <c r="CB112" s="125">
        <f t="shared" si="1245"/>
        <v>0</v>
      </c>
      <c r="CC112" s="125">
        <f t="shared" si="1245"/>
        <v>0</v>
      </c>
      <c r="CD112" s="125">
        <f t="shared" si="1245"/>
        <v>0</v>
      </c>
      <c r="CE112" s="233">
        <f t="shared" si="1245"/>
        <v>0</v>
      </c>
      <c r="CF112" s="125">
        <f t="shared" si="1245"/>
        <v>0</v>
      </c>
      <c r="CG112" s="125">
        <f t="shared" si="1245"/>
        <v>0</v>
      </c>
      <c r="CH112" s="125">
        <f t="shared" si="1245"/>
        <v>0</v>
      </c>
      <c r="CI112" s="125">
        <f t="shared" si="1245"/>
        <v>0</v>
      </c>
      <c r="CJ112" s="125">
        <f t="shared" ref="CJ112:ED112" si="1246">ROUNDUP($V112*(CJ111/100)/0.8,0)</f>
        <v>0</v>
      </c>
      <c r="CK112" s="125">
        <f t="shared" si="1246"/>
        <v>0</v>
      </c>
      <c r="CL112" s="125">
        <f t="shared" si="1246"/>
        <v>0</v>
      </c>
      <c r="CM112" s="125">
        <f t="shared" si="1246"/>
        <v>0</v>
      </c>
      <c r="CN112" s="125">
        <f t="shared" si="1246"/>
        <v>0</v>
      </c>
      <c r="CO112" s="125">
        <f t="shared" si="1246"/>
        <v>0</v>
      </c>
      <c r="CP112" s="125">
        <f t="shared" si="1246"/>
        <v>0</v>
      </c>
      <c r="CQ112" s="233">
        <f t="shared" si="1246"/>
        <v>0</v>
      </c>
      <c r="CR112" s="125">
        <f t="shared" si="1246"/>
        <v>0</v>
      </c>
      <c r="CS112" s="125">
        <f t="shared" si="1246"/>
        <v>0</v>
      </c>
      <c r="CT112" s="125">
        <f t="shared" si="1246"/>
        <v>0</v>
      </c>
      <c r="CU112" s="125">
        <f t="shared" si="1246"/>
        <v>0</v>
      </c>
      <c r="CV112" s="125">
        <f t="shared" si="1246"/>
        <v>0</v>
      </c>
      <c r="CW112" s="125">
        <f t="shared" si="1246"/>
        <v>0</v>
      </c>
      <c r="CX112" s="125">
        <f t="shared" si="1246"/>
        <v>0</v>
      </c>
      <c r="CY112" s="125">
        <f t="shared" si="1246"/>
        <v>0</v>
      </c>
      <c r="CZ112" s="125">
        <f t="shared" si="1246"/>
        <v>0</v>
      </c>
      <c r="DA112" s="125">
        <f t="shared" si="1246"/>
        <v>0</v>
      </c>
      <c r="DB112" s="125">
        <f t="shared" si="1246"/>
        <v>0</v>
      </c>
      <c r="DC112" s="233">
        <f t="shared" si="1246"/>
        <v>0</v>
      </c>
      <c r="DD112" s="125">
        <f t="shared" si="1246"/>
        <v>0</v>
      </c>
      <c r="DE112" s="125">
        <f t="shared" si="1246"/>
        <v>0</v>
      </c>
      <c r="DF112" s="125">
        <f t="shared" si="1246"/>
        <v>0</v>
      </c>
      <c r="DG112" s="125">
        <f t="shared" si="1246"/>
        <v>0</v>
      </c>
      <c r="DH112" s="125">
        <f t="shared" si="1246"/>
        <v>0</v>
      </c>
      <c r="DI112" s="125">
        <f t="shared" si="1246"/>
        <v>0</v>
      </c>
      <c r="DJ112" s="125">
        <f t="shared" si="1246"/>
        <v>0</v>
      </c>
      <c r="DK112" s="125">
        <f t="shared" si="1246"/>
        <v>0</v>
      </c>
      <c r="DL112" s="125">
        <f t="shared" si="1246"/>
        <v>0</v>
      </c>
      <c r="DM112" s="125">
        <f t="shared" si="1246"/>
        <v>0</v>
      </c>
      <c r="DN112" s="125">
        <f t="shared" si="1246"/>
        <v>0</v>
      </c>
      <c r="DO112" s="233">
        <f t="shared" si="1246"/>
        <v>0</v>
      </c>
      <c r="DP112" s="125">
        <f t="shared" si="1246"/>
        <v>0</v>
      </c>
      <c r="DQ112" s="125">
        <f t="shared" si="1246"/>
        <v>0</v>
      </c>
      <c r="DR112" s="125">
        <f t="shared" si="1246"/>
        <v>0</v>
      </c>
      <c r="DS112" s="125">
        <f t="shared" si="1246"/>
        <v>0</v>
      </c>
      <c r="DT112" s="125">
        <f t="shared" si="1246"/>
        <v>0</v>
      </c>
      <c r="DU112" s="125">
        <f t="shared" si="1246"/>
        <v>0</v>
      </c>
      <c r="DV112" s="125">
        <f t="shared" si="1246"/>
        <v>0</v>
      </c>
      <c r="DW112" s="125">
        <f t="shared" si="1246"/>
        <v>0</v>
      </c>
      <c r="DX112" s="125">
        <f t="shared" si="1246"/>
        <v>0</v>
      </c>
      <c r="DY112" s="125">
        <f t="shared" si="1246"/>
        <v>0</v>
      </c>
      <c r="DZ112" s="125">
        <f t="shared" si="1246"/>
        <v>0</v>
      </c>
      <c r="EA112" s="233">
        <f t="shared" si="1246"/>
        <v>0</v>
      </c>
      <c r="EB112" s="125">
        <f t="shared" si="1246"/>
        <v>0</v>
      </c>
      <c r="EC112" s="125">
        <f t="shared" si="1246"/>
        <v>0</v>
      </c>
      <c r="ED112" s="289">
        <f t="shared" si="1246"/>
        <v>0</v>
      </c>
    </row>
    <row r="113" spans="1:134" outlineLevel="1" x14ac:dyDescent="0.25">
      <c r="C113" s="475"/>
      <c r="D113" s="712" t="s">
        <v>274</v>
      </c>
      <c r="E113" s="712"/>
      <c r="F113" s="712"/>
      <c r="G113" s="712"/>
      <c r="H113" s="712"/>
      <c r="I113" s="712"/>
      <c r="J113" s="712"/>
      <c r="K113" s="712"/>
      <c r="L113" s="228"/>
      <c r="M113" s="493">
        <f>N113*100</f>
        <v>0</v>
      </c>
      <c r="N113" s="229"/>
      <c r="O113" s="230"/>
      <c r="P113" s="230"/>
      <c r="Q113" s="230"/>
      <c r="R113" s="231">
        <f>P113-N113</f>
        <v>0</v>
      </c>
      <c r="S113" s="232">
        <f>Q113*100</f>
        <v>0</v>
      </c>
      <c r="T113" s="232"/>
      <c r="U113" s="125"/>
      <c r="V113" s="278"/>
      <c r="W113" s="293">
        <f>M113</f>
        <v>0</v>
      </c>
      <c r="X113" s="294">
        <f>W113</f>
        <v>0</v>
      </c>
      <c r="Y113" s="294">
        <f>X113</f>
        <v>0</v>
      </c>
      <c r="Z113" s="294">
        <f>O113*100</f>
        <v>0</v>
      </c>
      <c r="AA113" s="294">
        <f>Z113</f>
        <v>0</v>
      </c>
      <c r="AB113" s="294">
        <f>AA113</f>
        <v>0</v>
      </c>
      <c r="AC113" s="294">
        <f>P113*100</f>
        <v>0</v>
      </c>
      <c r="AD113" s="294">
        <f>AC113</f>
        <v>0</v>
      </c>
      <c r="AE113" s="294">
        <f>AD113</f>
        <v>0</v>
      </c>
      <c r="AF113" s="294">
        <f>AE113</f>
        <v>0</v>
      </c>
      <c r="AG113" s="294">
        <f>AF113</f>
        <v>0</v>
      </c>
      <c r="AH113" s="294">
        <f>AG113</f>
        <v>0</v>
      </c>
      <c r="AI113" s="295">
        <f t="shared" ref="AI113:AT113" si="1247">(((AH113*(1+($B$36*$B$4)))-AH113)/12)+AH113</f>
        <v>0</v>
      </c>
      <c r="AJ113" s="294">
        <f t="shared" si="1247"/>
        <v>0</v>
      </c>
      <c r="AK113" s="294">
        <f t="shared" si="1247"/>
        <v>0</v>
      </c>
      <c r="AL113" s="294">
        <f t="shared" si="1247"/>
        <v>0</v>
      </c>
      <c r="AM113" s="294">
        <f t="shared" si="1247"/>
        <v>0</v>
      </c>
      <c r="AN113" s="294">
        <f t="shared" si="1247"/>
        <v>0</v>
      </c>
      <c r="AO113" s="294">
        <f t="shared" si="1247"/>
        <v>0</v>
      </c>
      <c r="AP113" s="294">
        <f t="shared" si="1247"/>
        <v>0</v>
      </c>
      <c r="AQ113" s="294">
        <f t="shared" si="1247"/>
        <v>0</v>
      </c>
      <c r="AR113" s="294">
        <f t="shared" si="1247"/>
        <v>0</v>
      </c>
      <c r="AS113" s="294">
        <f t="shared" si="1247"/>
        <v>0</v>
      </c>
      <c r="AT113" s="294">
        <f t="shared" si="1247"/>
        <v>0</v>
      </c>
      <c r="AU113" s="295">
        <f t="shared" ref="AU113:BF113" si="1248">(((AT113*(1+($B$37*$B$4)))-AT113)/12)+AT113</f>
        <v>0</v>
      </c>
      <c r="AV113" s="294">
        <f t="shared" si="1248"/>
        <v>0</v>
      </c>
      <c r="AW113" s="294">
        <f t="shared" si="1248"/>
        <v>0</v>
      </c>
      <c r="AX113" s="294">
        <f t="shared" si="1248"/>
        <v>0</v>
      </c>
      <c r="AY113" s="294">
        <f t="shared" si="1248"/>
        <v>0</v>
      </c>
      <c r="AZ113" s="294">
        <f t="shared" si="1248"/>
        <v>0</v>
      </c>
      <c r="BA113" s="294">
        <f t="shared" si="1248"/>
        <v>0</v>
      </c>
      <c r="BB113" s="294">
        <f t="shared" si="1248"/>
        <v>0</v>
      </c>
      <c r="BC113" s="294">
        <f t="shared" si="1248"/>
        <v>0</v>
      </c>
      <c r="BD113" s="294">
        <f t="shared" si="1248"/>
        <v>0</v>
      </c>
      <c r="BE113" s="294">
        <f t="shared" si="1248"/>
        <v>0</v>
      </c>
      <c r="BF113" s="294">
        <f t="shared" si="1248"/>
        <v>0</v>
      </c>
      <c r="BG113" s="295">
        <f t="shared" ref="BG113:BR113" si="1249">(((BF113*(1+($B$38*$B$4)))-BF113)/12)+BF113</f>
        <v>0</v>
      </c>
      <c r="BH113" s="294">
        <f t="shared" si="1249"/>
        <v>0</v>
      </c>
      <c r="BI113" s="294">
        <f t="shared" si="1249"/>
        <v>0</v>
      </c>
      <c r="BJ113" s="294">
        <f t="shared" si="1249"/>
        <v>0</v>
      </c>
      <c r="BK113" s="294">
        <f t="shared" si="1249"/>
        <v>0</v>
      </c>
      <c r="BL113" s="294">
        <f t="shared" si="1249"/>
        <v>0</v>
      </c>
      <c r="BM113" s="294">
        <f t="shared" si="1249"/>
        <v>0</v>
      </c>
      <c r="BN113" s="294">
        <f t="shared" si="1249"/>
        <v>0</v>
      </c>
      <c r="BO113" s="294">
        <f t="shared" si="1249"/>
        <v>0</v>
      </c>
      <c r="BP113" s="294">
        <f t="shared" si="1249"/>
        <v>0</v>
      </c>
      <c r="BQ113" s="294">
        <f t="shared" si="1249"/>
        <v>0</v>
      </c>
      <c r="BR113" s="294">
        <f t="shared" si="1249"/>
        <v>0</v>
      </c>
      <c r="BS113" s="295">
        <f t="shared" ref="BS113:CD113" si="1250">(((BR113*(1+($B$39*$B$4)))-BR113)/12)+BR113</f>
        <v>0</v>
      </c>
      <c r="BT113" s="294">
        <f t="shared" si="1250"/>
        <v>0</v>
      </c>
      <c r="BU113" s="294">
        <f t="shared" si="1250"/>
        <v>0</v>
      </c>
      <c r="BV113" s="294">
        <f t="shared" si="1250"/>
        <v>0</v>
      </c>
      <c r="BW113" s="294">
        <f t="shared" si="1250"/>
        <v>0</v>
      </c>
      <c r="BX113" s="294">
        <f t="shared" si="1250"/>
        <v>0</v>
      </c>
      <c r="BY113" s="294">
        <f t="shared" si="1250"/>
        <v>0</v>
      </c>
      <c r="BZ113" s="294">
        <f t="shared" si="1250"/>
        <v>0</v>
      </c>
      <c r="CA113" s="294">
        <f t="shared" si="1250"/>
        <v>0</v>
      </c>
      <c r="CB113" s="294">
        <f t="shared" si="1250"/>
        <v>0</v>
      </c>
      <c r="CC113" s="294">
        <f t="shared" si="1250"/>
        <v>0</v>
      </c>
      <c r="CD113" s="294">
        <f t="shared" si="1250"/>
        <v>0</v>
      </c>
      <c r="CE113" s="295">
        <f t="shared" ref="CE113:CP113" si="1251">(((CD113*(1+($B$40*$B$4)))-CD113)/12)+CD113</f>
        <v>0</v>
      </c>
      <c r="CF113" s="294">
        <f t="shared" si="1251"/>
        <v>0</v>
      </c>
      <c r="CG113" s="294">
        <f t="shared" si="1251"/>
        <v>0</v>
      </c>
      <c r="CH113" s="294">
        <f t="shared" si="1251"/>
        <v>0</v>
      </c>
      <c r="CI113" s="294">
        <f t="shared" si="1251"/>
        <v>0</v>
      </c>
      <c r="CJ113" s="294">
        <f t="shared" si="1251"/>
        <v>0</v>
      </c>
      <c r="CK113" s="294">
        <f t="shared" si="1251"/>
        <v>0</v>
      </c>
      <c r="CL113" s="294">
        <f t="shared" si="1251"/>
        <v>0</v>
      </c>
      <c r="CM113" s="294">
        <f t="shared" si="1251"/>
        <v>0</v>
      </c>
      <c r="CN113" s="294">
        <f t="shared" si="1251"/>
        <v>0</v>
      </c>
      <c r="CO113" s="294">
        <f t="shared" si="1251"/>
        <v>0</v>
      </c>
      <c r="CP113" s="294">
        <f t="shared" si="1251"/>
        <v>0</v>
      </c>
      <c r="CQ113" s="295">
        <f t="shared" ref="CQ113:DB113" si="1252">(((CP113*(1+($B$41*$B$4)))-CP113)/12)+CP113</f>
        <v>0</v>
      </c>
      <c r="CR113" s="294">
        <f t="shared" si="1252"/>
        <v>0</v>
      </c>
      <c r="CS113" s="294">
        <f t="shared" si="1252"/>
        <v>0</v>
      </c>
      <c r="CT113" s="294">
        <f t="shared" si="1252"/>
        <v>0</v>
      </c>
      <c r="CU113" s="294">
        <f t="shared" si="1252"/>
        <v>0</v>
      </c>
      <c r="CV113" s="294">
        <f t="shared" si="1252"/>
        <v>0</v>
      </c>
      <c r="CW113" s="294">
        <f t="shared" si="1252"/>
        <v>0</v>
      </c>
      <c r="CX113" s="294">
        <f t="shared" si="1252"/>
        <v>0</v>
      </c>
      <c r="CY113" s="294">
        <f t="shared" si="1252"/>
        <v>0</v>
      </c>
      <c r="CZ113" s="294">
        <f t="shared" si="1252"/>
        <v>0</v>
      </c>
      <c r="DA113" s="294">
        <f t="shared" si="1252"/>
        <v>0</v>
      </c>
      <c r="DB113" s="294">
        <f t="shared" si="1252"/>
        <v>0</v>
      </c>
      <c r="DC113" s="295">
        <f t="shared" ref="DC113:DN113" si="1253">(((DB113*(1+($B$42*$B$4)))-DB113)/12)+DB113</f>
        <v>0</v>
      </c>
      <c r="DD113" s="294">
        <f t="shared" si="1253"/>
        <v>0</v>
      </c>
      <c r="DE113" s="294">
        <f t="shared" si="1253"/>
        <v>0</v>
      </c>
      <c r="DF113" s="294">
        <f t="shared" si="1253"/>
        <v>0</v>
      </c>
      <c r="DG113" s="294">
        <f t="shared" si="1253"/>
        <v>0</v>
      </c>
      <c r="DH113" s="294">
        <f t="shared" si="1253"/>
        <v>0</v>
      </c>
      <c r="DI113" s="294">
        <f t="shared" si="1253"/>
        <v>0</v>
      </c>
      <c r="DJ113" s="294">
        <f t="shared" si="1253"/>
        <v>0</v>
      </c>
      <c r="DK113" s="294">
        <f t="shared" si="1253"/>
        <v>0</v>
      </c>
      <c r="DL113" s="294">
        <f t="shared" si="1253"/>
        <v>0</v>
      </c>
      <c r="DM113" s="294">
        <f t="shared" si="1253"/>
        <v>0</v>
      </c>
      <c r="DN113" s="294">
        <f t="shared" si="1253"/>
        <v>0</v>
      </c>
      <c r="DO113" s="295">
        <f t="shared" ref="DO113:DZ113" si="1254">(((DN113*(1+($B$43*$B$4)))-DN113)/12)+DN113</f>
        <v>0</v>
      </c>
      <c r="DP113" s="294">
        <f t="shared" si="1254"/>
        <v>0</v>
      </c>
      <c r="DQ113" s="294">
        <f t="shared" si="1254"/>
        <v>0</v>
      </c>
      <c r="DR113" s="294">
        <f t="shared" si="1254"/>
        <v>0</v>
      </c>
      <c r="DS113" s="294">
        <f t="shared" si="1254"/>
        <v>0</v>
      </c>
      <c r="DT113" s="294">
        <f t="shared" si="1254"/>
        <v>0</v>
      </c>
      <c r="DU113" s="294">
        <f t="shared" si="1254"/>
        <v>0</v>
      </c>
      <c r="DV113" s="294">
        <f t="shared" si="1254"/>
        <v>0</v>
      </c>
      <c r="DW113" s="294">
        <f t="shared" si="1254"/>
        <v>0</v>
      </c>
      <c r="DX113" s="294">
        <f t="shared" si="1254"/>
        <v>0</v>
      </c>
      <c r="DY113" s="294">
        <f t="shared" si="1254"/>
        <v>0</v>
      </c>
      <c r="DZ113" s="294">
        <f t="shared" si="1254"/>
        <v>0</v>
      </c>
      <c r="EA113" s="295">
        <f>(((DZ113*(1+($B$44*$B$4)))-DZ113)/12)+DZ113</f>
        <v>0</v>
      </c>
      <c r="EB113" s="294">
        <f>(((EA113*(1+($B$44*$B$4)))-EA113)/12)+EA113</f>
        <v>0</v>
      </c>
      <c r="EC113" s="294">
        <f>(((EB113*(1+($B$44*$B$4)))-EB113)/12)+EB113</f>
        <v>0</v>
      </c>
      <c r="ED113" s="296">
        <f>(((EC113*(1+($B$44*$B$4)))-EC113)/12)+EC113</f>
        <v>0</v>
      </c>
    </row>
    <row r="114" spans="1:134" outlineLevel="1" x14ac:dyDescent="0.25">
      <c r="C114" s="475"/>
      <c r="D114" s="712"/>
      <c r="E114" s="712"/>
      <c r="F114" s="712"/>
      <c r="G114" s="712"/>
      <c r="H114" s="712"/>
      <c r="I114" s="712"/>
      <c r="J114" s="712"/>
      <c r="K114" s="712"/>
      <c r="L114" s="228"/>
      <c r="M114" s="125"/>
      <c r="N114" s="229"/>
      <c r="O114" s="230"/>
      <c r="P114" s="230"/>
      <c r="Q114" s="230"/>
      <c r="R114" s="231"/>
      <c r="S114" s="232"/>
      <c r="T114" s="232"/>
      <c r="U114" s="125"/>
      <c r="V114" s="70">
        <v>1</v>
      </c>
      <c r="W114" s="290">
        <f>ROUNDUP($V114*(W113/100)/0.8,0)</f>
        <v>0</v>
      </c>
      <c r="X114" s="270">
        <f t="shared" ref="X114:CI114" si="1255">ROUNDUP($V114*(X113/100)/0.8,0)</f>
        <v>0</v>
      </c>
      <c r="Y114" s="270">
        <f t="shared" si="1255"/>
        <v>0</v>
      </c>
      <c r="Z114" s="270">
        <f t="shared" si="1255"/>
        <v>0</v>
      </c>
      <c r="AA114" s="270">
        <f t="shared" si="1255"/>
        <v>0</v>
      </c>
      <c r="AB114" s="270">
        <f t="shared" si="1255"/>
        <v>0</v>
      </c>
      <c r="AC114" s="270">
        <f t="shared" si="1255"/>
        <v>0</v>
      </c>
      <c r="AD114" s="270">
        <f t="shared" si="1255"/>
        <v>0</v>
      </c>
      <c r="AE114" s="270">
        <f t="shared" si="1255"/>
        <v>0</v>
      </c>
      <c r="AF114" s="270">
        <f t="shared" si="1255"/>
        <v>0</v>
      </c>
      <c r="AG114" s="270">
        <f t="shared" si="1255"/>
        <v>0</v>
      </c>
      <c r="AH114" s="270">
        <f t="shared" si="1255"/>
        <v>0</v>
      </c>
      <c r="AI114" s="291">
        <f t="shared" si="1255"/>
        <v>0</v>
      </c>
      <c r="AJ114" s="270">
        <f t="shared" si="1255"/>
        <v>0</v>
      </c>
      <c r="AK114" s="270">
        <f t="shared" si="1255"/>
        <v>0</v>
      </c>
      <c r="AL114" s="270">
        <f t="shared" si="1255"/>
        <v>0</v>
      </c>
      <c r="AM114" s="270">
        <f t="shared" si="1255"/>
        <v>0</v>
      </c>
      <c r="AN114" s="270">
        <f t="shared" si="1255"/>
        <v>0</v>
      </c>
      <c r="AO114" s="270">
        <f t="shared" si="1255"/>
        <v>0</v>
      </c>
      <c r="AP114" s="270">
        <f t="shared" si="1255"/>
        <v>0</v>
      </c>
      <c r="AQ114" s="270">
        <f t="shared" si="1255"/>
        <v>0</v>
      </c>
      <c r="AR114" s="270">
        <f t="shared" si="1255"/>
        <v>0</v>
      </c>
      <c r="AS114" s="270">
        <f t="shared" si="1255"/>
        <v>0</v>
      </c>
      <c r="AT114" s="270">
        <f t="shared" si="1255"/>
        <v>0</v>
      </c>
      <c r="AU114" s="291">
        <f t="shared" si="1255"/>
        <v>0</v>
      </c>
      <c r="AV114" s="270">
        <f t="shared" si="1255"/>
        <v>0</v>
      </c>
      <c r="AW114" s="270">
        <f t="shared" si="1255"/>
        <v>0</v>
      </c>
      <c r="AX114" s="270">
        <f t="shared" si="1255"/>
        <v>0</v>
      </c>
      <c r="AY114" s="270">
        <f t="shared" si="1255"/>
        <v>0</v>
      </c>
      <c r="AZ114" s="270">
        <f t="shared" si="1255"/>
        <v>0</v>
      </c>
      <c r="BA114" s="270">
        <f t="shared" si="1255"/>
        <v>0</v>
      </c>
      <c r="BB114" s="270">
        <f t="shared" si="1255"/>
        <v>0</v>
      </c>
      <c r="BC114" s="270">
        <f t="shared" si="1255"/>
        <v>0</v>
      </c>
      <c r="BD114" s="270">
        <f t="shared" si="1255"/>
        <v>0</v>
      </c>
      <c r="BE114" s="270">
        <f t="shared" si="1255"/>
        <v>0</v>
      </c>
      <c r="BF114" s="270">
        <f t="shared" si="1255"/>
        <v>0</v>
      </c>
      <c r="BG114" s="291">
        <f t="shared" si="1255"/>
        <v>0</v>
      </c>
      <c r="BH114" s="270">
        <f t="shared" si="1255"/>
        <v>0</v>
      </c>
      <c r="BI114" s="270">
        <f t="shared" si="1255"/>
        <v>0</v>
      </c>
      <c r="BJ114" s="270">
        <f t="shared" si="1255"/>
        <v>0</v>
      </c>
      <c r="BK114" s="270">
        <f t="shared" si="1255"/>
        <v>0</v>
      </c>
      <c r="BL114" s="270">
        <f t="shared" si="1255"/>
        <v>0</v>
      </c>
      <c r="BM114" s="270">
        <f t="shared" si="1255"/>
        <v>0</v>
      </c>
      <c r="BN114" s="270">
        <f t="shared" si="1255"/>
        <v>0</v>
      </c>
      <c r="BO114" s="270">
        <f t="shared" si="1255"/>
        <v>0</v>
      </c>
      <c r="BP114" s="270">
        <f t="shared" si="1255"/>
        <v>0</v>
      </c>
      <c r="BQ114" s="270">
        <f t="shared" si="1255"/>
        <v>0</v>
      </c>
      <c r="BR114" s="270">
        <f t="shared" si="1255"/>
        <v>0</v>
      </c>
      <c r="BS114" s="291">
        <f t="shared" si="1255"/>
        <v>0</v>
      </c>
      <c r="BT114" s="270">
        <f t="shared" si="1255"/>
        <v>0</v>
      </c>
      <c r="BU114" s="270">
        <f t="shared" si="1255"/>
        <v>0</v>
      </c>
      <c r="BV114" s="270">
        <f t="shared" si="1255"/>
        <v>0</v>
      </c>
      <c r="BW114" s="270">
        <f t="shared" si="1255"/>
        <v>0</v>
      </c>
      <c r="BX114" s="270">
        <f t="shared" si="1255"/>
        <v>0</v>
      </c>
      <c r="BY114" s="270">
        <f t="shared" si="1255"/>
        <v>0</v>
      </c>
      <c r="BZ114" s="270">
        <f t="shared" si="1255"/>
        <v>0</v>
      </c>
      <c r="CA114" s="270">
        <f t="shared" si="1255"/>
        <v>0</v>
      </c>
      <c r="CB114" s="270">
        <f t="shared" si="1255"/>
        <v>0</v>
      </c>
      <c r="CC114" s="270">
        <f t="shared" si="1255"/>
        <v>0</v>
      </c>
      <c r="CD114" s="270">
        <f t="shared" si="1255"/>
        <v>0</v>
      </c>
      <c r="CE114" s="291">
        <f t="shared" si="1255"/>
        <v>0</v>
      </c>
      <c r="CF114" s="270">
        <f t="shared" si="1255"/>
        <v>0</v>
      </c>
      <c r="CG114" s="270">
        <f t="shared" si="1255"/>
        <v>0</v>
      </c>
      <c r="CH114" s="270">
        <f t="shared" si="1255"/>
        <v>0</v>
      </c>
      <c r="CI114" s="270">
        <f t="shared" si="1255"/>
        <v>0</v>
      </c>
      <c r="CJ114" s="270">
        <f t="shared" ref="CJ114:ED114" si="1256">ROUNDUP($V114*(CJ113/100)/0.8,0)</f>
        <v>0</v>
      </c>
      <c r="CK114" s="270">
        <f t="shared" si="1256"/>
        <v>0</v>
      </c>
      <c r="CL114" s="270">
        <f t="shared" si="1256"/>
        <v>0</v>
      </c>
      <c r="CM114" s="270">
        <f t="shared" si="1256"/>
        <v>0</v>
      </c>
      <c r="CN114" s="270">
        <f t="shared" si="1256"/>
        <v>0</v>
      </c>
      <c r="CO114" s="270">
        <f t="shared" si="1256"/>
        <v>0</v>
      </c>
      <c r="CP114" s="270">
        <f t="shared" si="1256"/>
        <v>0</v>
      </c>
      <c r="CQ114" s="291">
        <f t="shared" si="1256"/>
        <v>0</v>
      </c>
      <c r="CR114" s="270">
        <f t="shared" si="1256"/>
        <v>0</v>
      </c>
      <c r="CS114" s="270">
        <f t="shared" si="1256"/>
        <v>0</v>
      </c>
      <c r="CT114" s="270">
        <f t="shared" si="1256"/>
        <v>0</v>
      </c>
      <c r="CU114" s="270">
        <f t="shared" si="1256"/>
        <v>0</v>
      </c>
      <c r="CV114" s="270">
        <f t="shared" si="1256"/>
        <v>0</v>
      </c>
      <c r="CW114" s="270">
        <f t="shared" si="1256"/>
        <v>0</v>
      </c>
      <c r="CX114" s="270">
        <f t="shared" si="1256"/>
        <v>0</v>
      </c>
      <c r="CY114" s="270">
        <f t="shared" si="1256"/>
        <v>0</v>
      </c>
      <c r="CZ114" s="270">
        <f t="shared" si="1256"/>
        <v>0</v>
      </c>
      <c r="DA114" s="270">
        <f t="shared" si="1256"/>
        <v>0</v>
      </c>
      <c r="DB114" s="270">
        <f t="shared" si="1256"/>
        <v>0</v>
      </c>
      <c r="DC114" s="291">
        <f t="shared" si="1256"/>
        <v>0</v>
      </c>
      <c r="DD114" s="270">
        <f t="shared" si="1256"/>
        <v>0</v>
      </c>
      <c r="DE114" s="270">
        <f t="shared" si="1256"/>
        <v>0</v>
      </c>
      <c r="DF114" s="270">
        <f t="shared" si="1256"/>
        <v>0</v>
      </c>
      <c r="DG114" s="270">
        <f t="shared" si="1256"/>
        <v>0</v>
      </c>
      <c r="DH114" s="270">
        <f t="shared" si="1256"/>
        <v>0</v>
      </c>
      <c r="DI114" s="270">
        <f t="shared" si="1256"/>
        <v>0</v>
      </c>
      <c r="DJ114" s="270">
        <f t="shared" si="1256"/>
        <v>0</v>
      </c>
      <c r="DK114" s="270">
        <f t="shared" si="1256"/>
        <v>0</v>
      </c>
      <c r="DL114" s="270">
        <f t="shared" si="1256"/>
        <v>0</v>
      </c>
      <c r="DM114" s="270">
        <f t="shared" si="1256"/>
        <v>0</v>
      </c>
      <c r="DN114" s="270">
        <f t="shared" si="1256"/>
        <v>0</v>
      </c>
      <c r="DO114" s="291">
        <f t="shared" si="1256"/>
        <v>0</v>
      </c>
      <c r="DP114" s="270">
        <f t="shared" si="1256"/>
        <v>0</v>
      </c>
      <c r="DQ114" s="270">
        <f t="shared" si="1256"/>
        <v>0</v>
      </c>
      <c r="DR114" s="270">
        <f t="shared" si="1256"/>
        <v>0</v>
      </c>
      <c r="DS114" s="270">
        <f t="shared" si="1256"/>
        <v>0</v>
      </c>
      <c r="DT114" s="270">
        <f t="shared" si="1256"/>
        <v>0</v>
      </c>
      <c r="DU114" s="270">
        <f t="shared" si="1256"/>
        <v>0</v>
      </c>
      <c r="DV114" s="270">
        <f t="shared" si="1256"/>
        <v>0</v>
      </c>
      <c r="DW114" s="270">
        <f t="shared" si="1256"/>
        <v>0</v>
      </c>
      <c r="DX114" s="270">
        <f t="shared" si="1256"/>
        <v>0</v>
      </c>
      <c r="DY114" s="270">
        <f t="shared" si="1256"/>
        <v>0</v>
      </c>
      <c r="DZ114" s="270">
        <f t="shared" si="1256"/>
        <v>0</v>
      </c>
      <c r="EA114" s="291">
        <f t="shared" si="1256"/>
        <v>0</v>
      </c>
      <c r="EB114" s="270">
        <f t="shared" si="1256"/>
        <v>0</v>
      </c>
      <c r="EC114" s="270">
        <f t="shared" si="1256"/>
        <v>0</v>
      </c>
      <c r="ED114" s="292">
        <f t="shared" si="1256"/>
        <v>0</v>
      </c>
    </row>
    <row r="115" spans="1:134" outlineLevel="1" x14ac:dyDescent="0.25">
      <c r="C115" s="475"/>
      <c r="D115" s="710" t="s">
        <v>275</v>
      </c>
      <c r="E115" s="710"/>
      <c r="F115" s="710"/>
      <c r="G115" s="710"/>
      <c r="H115" s="710"/>
      <c r="I115" s="710"/>
      <c r="J115" s="710"/>
      <c r="K115" s="710"/>
      <c r="L115" s="216"/>
      <c r="M115" s="493">
        <f>N115*100</f>
        <v>0</v>
      </c>
      <c r="N115" s="218"/>
      <c r="O115" s="219"/>
      <c r="P115" s="219"/>
      <c r="Q115" s="219"/>
      <c r="R115" s="220">
        <f>P115-N115</f>
        <v>0</v>
      </c>
      <c r="S115" s="221">
        <f>Q115*100</f>
        <v>0</v>
      </c>
      <c r="T115" s="221"/>
      <c r="U115" s="127"/>
      <c r="V115" s="382"/>
      <c r="W115" s="293">
        <f>M115</f>
        <v>0</v>
      </c>
      <c r="X115" s="294">
        <f>W115</f>
        <v>0</v>
      </c>
      <c r="Y115" s="294">
        <f>X115</f>
        <v>0</v>
      </c>
      <c r="Z115" s="294">
        <f>O115*100</f>
        <v>0</v>
      </c>
      <c r="AA115" s="294">
        <f>Z115</f>
        <v>0</v>
      </c>
      <c r="AB115" s="294">
        <f>AA115</f>
        <v>0</v>
      </c>
      <c r="AC115" s="294">
        <f>P115*100</f>
        <v>0</v>
      </c>
      <c r="AD115" s="294">
        <f>AC115</f>
        <v>0</v>
      </c>
      <c r="AE115" s="294">
        <f>AD115</f>
        <v>0</v>
      </c>
      <c r="AF115" s="294">
        <f>AE115</f>
        <v>0</v>
      </c>
      <c r="AG115" s="294">
        <f>AF115</f>
        <v>0</v>
      </c>
      <c r="AH115" s="294">
        <f>AG115</f>
        <v>0</v>
      </c>
      <c r="AI115" s="295">
        <f t="shared" ref="AI115:AT115" si="1257">(((AH115*(1+($B$36*$B$4)))-AH115)/12)+AH115</f>
        <v>0</v>
      </c>
      <c r="AJ115" s="294">
        <f t="shared" si="1257"/>
        <v>0</v>
      </c>
      <c r="AK115" s="294">
        <f t="shared" si="1257"/>
        <v>0</v>
      </c>
      <c r="AL115" s="294">
        <f t="shared" si="1257"/>
        <v>0</v>
      </c>
      <c r="AM115" s="294">
        <f t="shared" si="1257"/>
        <v>0</v>
      </c>
      <c r="AN115" s="294">
        <f t="shared" si="1257"/>
        <v>0</v>
      </c>
      <c r="AO115" s="294">
        <f t="shared" si="1257"/>
        <v>0</v>
      </c>
      <c r="AP115" s="294">
        <f t="shared" si="1257"/>
        <v>0</v>
      </c>
      <c r="AQ115" s="294">
        <f t="shared" si="1257"/>
        <v>0</v>
      </c>
      <c r="AR115" s="294">
        <f t="shared" si="1257"/>
        <v>0</v>
      </c>
      <c r="AS115" s="294">
        <f t="shared" si="1257"/>
        <v>0</v>
      </c>
      <c r="AT115" s="294">
        <f t="shared" si="1257"/>
        <v>0</v>
      </c>
      <c r="AU115" s="295">
        <f t="shared" ref="AU115:BF115" si="1258">(((AT115*(1+($B$37*$B$4)))-AT115)/12)+AT115</f>
        <v>0</v>
      </c>
      <c r="AV115" s="294">
        <f t="shared" si="1258"/>
        <v>0</v>
      </c>
      <c r="AW115" s="294">
        <f t="shared" si="1258"/>
        <v>0</v>
      </c>
      <c r="AX115" s="294">
        <f t="shared" si="1258"/>
        <v>0</v>
      </c>
      <c r="AY115" s="294">
        <f t="shared" si="1258"/>
        <v>0</v>
      </c>
      <c r="AZ115" s="294">
        <f t="shared" si="1258"/>
        <v>0</v>
      </c>
      <c r="BA115" s="294">
        <f t="shared" si="1258"/>
        <v>0</v>
      </c>
      <c r="BB115" s="294">
        <f t="shared" si="1258"/>
        <v>0</v>
      </c>
      <c r="BC115" s="294">
        <f t="shared" si="1258"/>
        <v>0</v>
      </c>
      <c r="BD115" s="294">
        <f t="shared" si="1258"/>
        <v>0</v>
      </c>
      <c r="BE115" s="294">
        <f t="shared" si="1258"/>
        <v>0</v>
      </c>
      <c r="BF115" s="294">
        <f t="shared" si="1258"/>
        <v>0</v>
      </c>
      <c r="BG115" s="295">
        <f t="shared" ref="BG115:BR115" si="1259">(((BF115*(1+($B$38*$B$4)))-BF115)/12)+BF115</f>
        <v>0</v>
      </c>
      <c r="BH115" s="294">
        <f t="shared" si="1259"/>
        <v>0</v>
      </c>
      <c r="BI115" s="294">
        <f t="shared" si="1259"/>
        <v>0</v>
      </c>
      <c r="BJ115" s="294">
        <f t="shared" si="1259"/>
        <v>0</v>
      </c>
      <c r="BK115" s="294">
        <f t="shared" si="1259"/>
        <v>0</v>
      </c>
      <c r="BL115" s="294">
        <f t="shared" si="1259"/>
        <v>0</v>
      </c>
      <c r="BM115" s="294">
        <f t="shared" si="1259"/>
        <v>0</v>
      </c>
      <c r="BN115" s="294">
        <f t="shared" si="1259"/>
        <v>0</v>
      </c>
      <c r="BO115" s="294">
        <f t="shared" si="1259"/>
        <v>0</v>
      </c>
      <c r="BP115" s="294">
        <f t="shared" si="1259"/>
        <v>0</v>
      </c>
      <c r="BQ115" s="294">
        <f t="shared" si="1259"/>
        <v>0</v>
      </c>
      <c r="BR115" s="294">
        <f t="shared" si="1259"/>
        <v>0</v>
      </c>
      <c r="BS115" s="295">
        <f t="shared" ref="BS115:CD115" si="1260">(((BR115*(1+($B$39*$B$4)))-BR115)/12)+BR115</f>
        <v>0</v>
      </c>
      <c r="BT115" s="294">
        <f t="shared" si="1260"/>
        <v>0</v>
      </c>
      <c r="BU115" s="294">
        <f t="shared" si="1260"/>
        <v>0</v>
      </c>
      <c r="BV115" s="294">
        <f t="shared" si="1260"/>
        <v>0</v>
      </c>
      <c r="BW115" s="294">
        <f t="shared" si="1260"/>
        <v>0</v>
      </c>
      <c r="BX115" s="294">
        <f t="shared" si="1260"/>
        <v>0</v>
      </c>
      <c r="BY115" s="294">
        <f t="shared" si="1260"/>
        <v>0</v>
      </c>
      <c r="BZ115" s="294">
        <f t="shared" si="1260"/>
        <v>0</v>
      </c>
      <c r="CA115" s="294">
        <f t="shared" si="1260"/>
        <v>0</v>
      </c>
      <c r="CB115" s="294">
        <f t="shared" si="1260"/>
        <v>0</v>
      </c>
      <c r="CC115" s="294">
        <f t="shared" si="1260"/>
        <v>0</v>
      </c>
      <c r="CD115" s="294">
        <f t="shared" si="1260"/>
        <v>0</v>
      </c>
      <c r="CE115" s="295">
        <f t="shared" ref="CE115:CP115" si="1261">(((CD115*(1+($B$40*$B$4)))-CD115)/12)+CD115</f>
        <v>0</v>
      </c>
      <c r="CF115" s="294">
        <f t="shared" si="1261"/>
        <v>0</v>
      </c>
      <c r="CG115" s="294">
        <f t="shared" si="1261"/>
        <v>0</v>
      </c>
      <c r="CH115" s="294">
        <f t="shared" si="1261"/>
        <v>0</v>
      </c>
      <c r="CI115" s="294">
        <f t="shared" si="1261"/>
        <v>0</v>
      </c>
      <c r="CJ115" s="294">
        <f t="shared" si="1261"/>
        <v>0</v>
      </c>
      <c r="CK115" s="294">
        <f t="shared" si="1261"/>
        <v>0</v>
      </c>
      <c r="CL115" s="294">
        <f t="shared" si="1261"/>
        <v>0</v>
      </c>
      <c r="CM115" s="294">
        <f t="shared" si="1261"/>
        <v>0</v>
      </c>
      <c r="CN115" s="294">
        <f t="shared" si="1261"/>
        <v>0</v>
      </c>
      <c r="CO115" s="294">
        <f t="shared" si="1261"/>
        <v>0</v>
      </c>
      <c r="CP115" s="294">
        <f t="shared" si="1261"/>
        <v>0</v>
      </c>
      <c r="CQ115" s="295">
        <f t="shared" ref="CQ115:DB115" si="1262">(((CP115*(1+($B$41*$B$4)))-CP115)/12)+CP115</f>
        <v>0</v>
      </c>
      <c r="CR115" s="294">
        <f t="shared" si="1262"/>
        <v>0</v>
      </c>
      <c r="CS115" s="294">
        <f t="shared" si="1262"/>
        <v>0</v>
      </c>
      <c r="CT115" s="294">
        <f t="shared" si="1262"/>
        <v>0</v>
      </c>
      <c r="CU115" s="294">
        <f t="shared" si="1262"/>
        <v>0</v>
      </c>
      <c r="CV115" s="294">
        <f t="shared" si="1262"/>
        <v>0</v>
      </c>
      <c r="CW115" s="294">
        <f t="shared" si="1262"/>
        <v>0</v>
      </c>
      <c r="CX115" s="294">
        <f t="shared" si="1262"/>
        <v>0</v>
      </c>
      <c r="CY115" s="294">
        <f t="shared" si="1262"/>
        <v>0</v>
      </c>
      <c r="CZ115" s="294">
        <f t="shared" si="1262"/>
        <v>0</v>
      </c>
      <c r="DA115" s="294">
        <f t="shared" si="1262"/>
        <v>0</v>
      </c>
      <c r="DB115" s="294">
        <f t="shared" si="1262"/>
        <v>0</v>
      </c>
      <c r="DC115" s="295">
        <f t="shared" ref="DC115:DN115" si="1263">(((DB115*(1+($B$42*$B$4)))-DB115)/12)+DB115</f>
        <v>0</v>
      </c>
      <c r="DD115" s="294">
        <f t="shared" si="1263"/>
        <v>0</v>
      </c>
      <c r="DE115" s="294">
        <f t="shared" si="1263"/>
        <v>0</v>
      </c>
      <c r="DF115" s="294">
        <f t="shared" si="1263"/>
        <v>0</v>
      </c>
      <c r="DG115" s="294">
        <f t="shared" si="1263"/>
        <v>0</v>
      </c>
      <c r="DH115" s="294">
        <f t="shared" si="1263"/>
        <v>0</v>
      </c>
      <c r="DI115" s="294">
        <f t="shared" si="1263"/>
        <v>0</v>
      </c>
      <c r="DJ115" s="294">
        <f t="shared" si="1263"/>
        <v>0</v>
      </c>
      <c r="DK115" s="294">
        <f t="shared" si="1263"/>
        <v>0</v>
      </c>
      <c r="DL115" s="294">
        <f t="shared" si="1263"/>
        <v>0</v>
      </c>
      <c r="DM115" s="294">
        <f t="shared" si="1263"/>
        <v>0</v>
      </c>
      <c r="DN115" s="294">
        <f t="shared" si="1263"/>
        <v>0</v>
      </c>
      <c r="DO115" s="295">
        <f t="shared" ref="DO115:DZ115" si="1264">(((DN115*(1+($B$43*$B$4)))-DN115)/12)+DN115</f>
        <v>0</v>
      </c>
      <c r="DP115" s="294">
        <f t="shared" si="1264"/>
        <v>0</v>
      </c>
      <c r="DQ115" s="294">
        <f t="shared" si="1264"/>
        <v>0</v>
      </c>
      <c r="DR115" s="294">
        <f t="shared" si="1264"/>
        <v>0</v>
      </c>
      <c r="DS115" s="294">
        <f t="shared" si="1264"/>
        <v>0</v>
      </c>
      <c r="DT115" s="294">
        <f t="shared" si="1264"/>
        <v>0</v>
      </c>
      <c r="DU115" s="294">
        <f t="shared" si="1264"/>
        <v>0</v>
      </c>
      <c r="DV115" s="294">
        <f t="shared" si="1264"/>
        <v>0</v>
      </c>
      <c r="DW115" s="294">
        <f t="shared" si="1264"/>
        <v>0</v>
      </c>
      <c r="DX115" s="294">
        <f t="shared" si="1264"/>
        <v>0</v>
      </c>
      <c r="DY115" s="294">
        <f t="shared" si="1264"/>
        <v>0</v>
      </c>
      <c r="DZ115" s="294">
        <f t="shared" si="1264"/>
        <v>0</v>
      </c>
      <c r="EA115" s="295">
        <f>(((DZ115*(1+($B$44*$B$4)))-DZ115)/12)+DZ115</f>
        <v>0</v>
      </c>
      <c r="EB115" s="294">
        <f>(((EA115*(1+($B$44*$B$4)))-EA115)/12)+EA115</f>
        <v>0</v>
      </c>
      <c r="EC115" s="294">
        <f>(((EB115*(1+($B$44*$B$4)))-EB115)/12)+EB115</f>
        <v>0</v>
      </c>
      <c r="ED115" s="296">
        <f>(((EC115*(1+($B$44*$B$4)))-EC115)/12)+EC115</f>
        <v>0</v>
      </c>
    </row>
    <row r="116" spans="1:134" outlineLevel="1" x14ac:dyDescent="0.25">
      <c r="C116" s="475"/>
      <c r="D116" s="711"/>
      <c r="E116" s="711"/>
      <c r="F116" s="711"/>
      <c r="G116" s="711"/>
      <c r="H116" s="711"/>
      <c r="I116" s="711"/>
      <c r="J116" s="711"/>
      <c r="K116" s="711"/>
      <c r="L116" s="222"/>
      <c r="M116" s="223"/>
      <c r="N116" s="224"/>
      <c r="O116" s="225"/>
      <c r="P116" s="225"/>
      <c r="Q116" s="225"/>
      <c r="R116" s="226"/>
      <c r="S116" s="227"/>
      <c r="T116" s="227"/>
      <c r="U116" s="223"/>
      <c r="V116" s="383">
        <v>1</v>
      </c>
      <c r="W116" s="290">
        <f>ROUNDUP($V116*(W115/100)/0.8,0)</f>
        <v>0</v>
      </c>
      <c r="X116" s="270">
        <f t="shared" ref="X116:CI116" si="1265">ROUNDUP($V116*(X115/100)/0.8,0)</f>
        <v>0</v>
      </c>
      <c r="Y116" s="270">
        <f t="shared" si="1265"/>
        <v>0</v>
      </c>
      <c r="Z116" s="270">
        <f t="shared" si="1265"/>
        <v>0</v>
      </c>
      <c r="AA116" s="270">
        <f t="shared" si="1265"/>
        <v>0</v>
      </c>
      <c r="AB116" s="270">
        <f t="shared" si="1265"/>
        <v>0</v>
      </c>
      <c r="AC116" s="270">
        <f t="shared" si="1265"/>
        <v>0</v>
      </c>
      <c r="AD116" s="270">
        <f t="shared" si="1265"/>
        <v>0</v>
      </c>
      <c r="AE116" s="270">
        <f t="shared" si="1265"/>
        <v>0</v>
      </c>
      <c r="AF116" s="270">
        <f t="shared" si="1265"/>
        <v>0</v>
      </c>
      <c r="AG116" s="270">
        <f t="shared" si="1265"/>
        <v>0</v>
      </c>
      <c r="AH116" s="270">
        <f t="shared" si="1265"/>
        <v>0</v>
      </c>
      <c r="AI116" s="291">
        <f t="shared" si="1265"/>
        <v>0</v>
      </c>
      <c r="AJ116" s="270">
        <f t="shared" si="1265"/>
        <v>0</v>
      </c>
      <c r="AK116" s="270">
        <f t="shared" si="1265"/>
        <v>0</v>
      </c>
      <c r="AL116" s="270">
        <f t="shared" si="1265"/>
        <v>0</v>
      </c>
      <c r="AM116" s="270">
        <f t="shared" si="1265"/>
        <v>0</v>
      </c>
      <c r="AN116" s="270">
        <f t="shared" si="1265"/>
        <v>0</v>
      </c>
      <c r="AO116" s="270">
        <f t="shared" si="1265"/>
        <v>0</v>
      </c>
      <c r="AP116" s="270">
        <f t="shared" si="1265"/>
        <v>0</v>
      </c>
      <c r="AQ116" s="270">
        <f t="shared" si="1265"/>
        <v>0</v>
      </c>
      <c r="AR116" s="270">
        <f t="shared" si="1265"/>
        <v>0</v>
      </c>
      <c r="AS116" s="270">
        <f t="shared" si="1265"/>
        <v>0</v>
      </c>
      <c r="AT116" s="270">
        <f t="shared" si="1265"/>
        <v>0</v>
      </c>
      <c r="AU116" s="291">
        <f t="shared" si="1265"/>
        <v>0</v>
      </c>
      <c r="AV116" s="270">
        <f t="shared" si="1265"/>
        <v>0</v>
      </c>
      <c r="AW116" s="270">
        <f t="shared" si="1265"/>
        <v>0</v>
      </c>
      <c r="AX116" s="270">
        <f t="shared" si="1265"/>
        <v>0</v>
      </c>
      <c r="AY116" s="270">
        <f t="shared" si="1265"/>
        <v>0</v>
      </c>
      <c r="AZ116" s="270">
        <f t="shared" si="1265"/>
        <v>0</v>
      </c>
      <c r="BA116" s="270">
        <f t="shared" si="1265"/>
        <v>0</v>
      </c>
      <c r="BB116" s="270">
        <f t="shared" si="1265"/>
        <v>0</v>
      </c>
      <c r="BC116" s="270">
        <f t="shared" si="1265"/>
        <v>0</v>
      </c>
      <c r="BD116" s="270">
        <f t="shared" si="1265"/>
        <v>0</v>
      </c>
      <c r="BE116" s="270">
        <f t="shared" si="1265"/>
        <v>0</v>
      </c>
      <c r="BF116" s="270">
        <f t="shared" si="1265"/>
        <v>0</v>
      </c>
      <c r="BG116" s="291">
        <f t="shared" si="1265"/>
        <v>0</v>
      </c>
      <c r="BH116" s="270">
        <f t="shared" si="1265"/>
        <v>0</v>
      </c>
      <c r="BI116" s="270">
        <f t="shared" si="1265"/>
        <v>0</v>
      </c>
      <c r="BJ116" s="270">
        <f t="shared" si="1265"/>
        <v>0</v>
      </c>
      <c r="BK116" s="270">
        <f t="shared" si="1265"/>
        <v>0</v>
      </c>
      <c r="BL116" s="270">
        <f t="shared" si="1265"/>
        <v>0</v>
      </c>
      <c r="BM116" s="270">
        <f t="shared" si="1265"/>
        <v>0</v>
      </c>
      <c r="BN116" s="270">
        <f t="shared" si="1265"/>
        <v>0</v>
      </c>
      <c r="BO116" s="270">
        <f t="shared" si="1265"/>
        <v>0</v>
      </c>
      <c r="BP116" s="270">
        <f t="shared" si="1265"/>
        <v>0</v>
      </c>
      <c r="BQ116" s="270">
        <f t="shared" si="1265"/>
        <v>0</v>
      </c>
      <c r="BR116" s="270">
        <f t="shared" si="1265"/>
        <v>0</v>
      </c>
      <c r="BS116" s="291">
        <f t="shared" si="1265"/>
        <v>0</v>
      </c>
      <c r="BT116" s="270">
        <f t="shared" si="1265"/>
        <v>0</v>
      </c>
      <c r="BU116" s="270">
        <f t="shared" si="1265"/>
        <v>0</v>
      </c>
      <c r="BV116" s="270">
        <f t="shared" si="1265"/>
        <v>0</v>
      </c>
      <c r="BW116" s="270">
        <f t="shared" si="1265"/>
        <v>0</v>
      </c>
      <c r="BX116" s="270">
        <f t="shared" si="1265"/>
        <v>0</v>
      </c>
      <c r="BY116" s="270">
        <f t="shared" si="1265"/>
        <v>0</v>
      </c>
      <c r="BZ116" s="270">
        <f t="shared" si="1265"/>
        <v>0</v>
      </c>
      <c r="CA116" s="270">
        <f t="shared" si="1265"/>
        <v>0</v>
      </c>
      <c r="CB116" s="270">
        <f t="shared" si="1265"/>
        <v>0</v>
      </c>
      <c r="CC116" s="270">
        <f t="shared" si="1265"/>
        <v>0</v>
      </c>
      <c r="CD116" s="270">
        <f t="shared" si="1265"/>
        <v>0</v>
      </c>
      <c r="CE116" s="291">
        <f t="shared" si="1265"/>
        <v>0</v>
      </c>
      <c r="CF116" s="270">
        <f t="shared" si="1265"/>
        <v>0</v>
      </c>
      <c r="CG116" s="270">
        <f t="shared" si="1265"/>
        <v>0</v>
      </c>
      <c r="CH116" s="270">
        <f t="shared" si="1265"/>
        <v>0</v>
      </c>
      <c r="CI116" s="270">
        <f t="shared" si="1265"/>
        <v>0</v>
      </c>
      <c r="CJ116" s="270">
        <f t="shared" ref="CJ116:ED116" si="1266">ROUNDUP($V116*(CJ115/100)/0.8,0)</f>
        <v>0</v>
      </c>
      <c r="CK116" s="270">
        <f t="shared" si="1266"/>
        <v>0</v>
      </c>
      <c r="CL116" s="270">
        <f t="shared" si="1266"/>
        <v>0</v>
      </c>
      <c r="CM116" s="270">
        <f t="shared" si="1266"/>
        <v>0</v>
      </c>
      <c r="CN116" s="270">
        <f t="shared" si="1266"/>
        <v>0</v>
      </c>
      <c r="CO116" s="270">
        <f t="shared" si="1266"/>
        <v>0</v>
      </c>
      <c r="CP116" s="270">
        <f t="shared" si="1266"/>
        <v>0</v>
      </c>
      <c r="CQ116" s="291">
        <f t="shared" si="1266"/>
        <v>0</v>
      </c>
      <c r="CR116" s="270">
        <f t="shared" si="1266"/>
        <v>0</v>
      </c>
      <c r="CS116" s="270">
        <f t="shared" si="1266"/>
        <v>0</v>
      </c>
      <c r="CT116" s="270">
        <f t="shared" si="1266"/>
        <v>0</v>
      </c>
      <c r="CU116" s="270">
        <f t="shared" si="1266"/>
        <v>0</v>
      </c>
      <c r="CV116" s="270">
        <f t="shared" si="1266"/>
        <v>0</v>
      </c>
      <c r="CW116" s="270">
        <f t="shared" si="1266"/>
        <v>0</v>
      </c>
      <c r="CX116" s="270">
        <f t="shared" si="1266"/>
        <v>0</v>
      </c>
      <c r="CY116" s="270">
        <f t="shared" si="1266"/>
        <v>0</v>
      </c>
      <c r="CZ116" s="270">
        <f t="shared" si="1266"/>
        <v>0</v>
      </c>
      <c r="DA116" s="270">
        <f t="shared" si="1266"/>
        <v>0</v>
      </c>
      <c r="DB116" s="270">
        <f t="shared" si="1266"/>
        <v>0</v>
      </c>
      <c r="DC116" s="291">
        <f t="shared" si="1266"/>
        <v>0</v>
      </c>
      <c r="DD116" s="270">
        <f t="shared" si="1266"/>
        <v>0</v>
      </c>
      <c r="DE116" s="270">
        <f t="shared" si="1266"/>
        <v>0</v>
      </c>
      <c r="DF116" s="270">
        <f t="shared" si="1266"/>
        <v>0</v>
      </c>
      <c r="DG116" s="270">
        <f t="shared" si="1266"/>
        <v>0</v>
      </c>
      <c r="DH116" s="270">
        <f t="shared" si="1266"/>
        <v>0</v>
      </c>
      <c r="DI116" s="270">
        <f t="shared" si="1266"/>
        <v>0</v>
      </c>
      <c r="DJ116" s="270">
        <f t="shared" si="1266"/>
        <v>0</v>
      </c>
      <c r="DK116" s="270">
        <f t="shared" si="1266"/>
        <v>0</v>
      </c>
      <c r="DL116" s="270">
        <f t="shared" si="1266"/>
        <v>0</v>
      </c>
      <c r="DM116" s="270">
        <f t="shared" si="1266"/>
        <v>0</v>
      </c>
      <c r="DN116" s="270">
        <f t="shared" si="1266"/>
        <v>0</v>
      </c>
      <c r="DO116" s="291">
        <f t="shared" si="1266"/>
        <v>0</v>
      </c>
      <c r="DP116" s="270">
        <f t="shared" si="1266"/>
        <v>0</v>
      </c>
      <c r="DQ116" s="270">
        <f t="shared" si="1266"/>
        <v>0</v>
      </c>
      <c r="DR116" s="270">
        <f t="shared" si="1266"/>
        <v>0</v>
      </c>
      <c r="DS116" s="270">
        <f t="shared" si="1266"/>
        <v>0</v>
      </c>
      <c r="DT116" s="270">
        <f t="shared" si="1266"/>
        <v>0</v>
      </c>
      <c r="DU116" s="270">
        <f t="shared" si="1266"/>
        <v>0</v>
      </c>
      <c r="DV116" s="270">
        <f t="shared" si="1266"/>
        <v>0</v>
      </c>
      <c r="DW116" s="270">
        <f t="shared" si="1266"/>
        <v>0</v>
      </c>
      <c r="DX116" s="270">
        <f t="shared" si="1266"/>
        <v>0</v>
      </c>
      <c r="DY116" s="270">
        <f t="shared" si="1266"/>
        <v>0</v>
      </c>
      <c r="DZ116" s="270">
        <f t="shared" si="1266"/>
        <v>0</v>
      </c>
      <c r="EA116" s="291">
        <f t="shared" si="1266"/>
        <v>0</v>
      </c>
      <c r="EB116" s="270">
        <f t="shared" si="1266"/>
        <v>0</v>
      </c>
      <c r="EC116" s="270">
        <f t="shared" si="1266"/>
        <v>0</v>
      </c>
      <c r="ED116" s="292">
        <f t="shared" si="1266"/>
        <v>0</v>
      </c>
    </row>
    <row r="117" spans="1:134" ht="14.45" customHeight="1" outlineLevel="1" x14ac:dyDescent="0.25">
      <c r="C117" s="475"/>
      <c r="D117" s="710" t="s">
        <v>276</v>
      </c>
      <c r="E117" s="710"/>
      <c r="F117" s="710"/>
      <c r="G117" s="710"/>
      <c r="H117" s="710"/>
      <c r="I117" s="710"/>
      <c r="J117" s="710"/>
      <c r="K117" s="710"/>
      <c r="L117" s="216"/>
      <c r="M117" s="493">
        <f>N117*100</f>
        <v>0</v>
      </c>
      <c r="N117" s="218"/>
      <c r="O117" s="219"/>
      <c r="P117" s="219"/>
      <c r="Q117" s="219"/>
      <c r="R117" s="220">
        <f>P117-N117</f>
        <v>0</v>
      </c>
      <c r="S117" s="221">
        <f>Q117*100</f>
        <v>0</v>
      </c>
      <c r="T117" s="221"/>
      <c r="U117" s="127"/>
      <c r="V117" s="276"/>
      <c r="W117" s="286">
        <f>M117</f>
        <v>0</v>
      </c>
      <c r="X117" s="234">
        <f>W117</f>
        <v>0</v>
      </c>
      <c r="Y117" s="234">
        <f>X117</f>
        <v>0</v>
      </c>
      <c r="Z117" s="234">
        <f>O117*100</f>
        <v>0</v>
      </c>
      <c r="AA117" s="234">
        <f>Z117</f>
        <v>0</v>
      </c>
      <c r="AB117" s="234">
        <f>AA117</f>
        <v>0</v>
      </c>
      <c r="AC117" s="234">
        <f>P117*100</f>
        <v>0</v>
      </c>
      <c r="AD117" s="234">
        <f>AC117</f>
        <v>0</v>
      </c>
      <c r="AE117" s="234">
        <f>AD117</f>
        <v>0</v>
      </c>
      <c r="AF117" s="234">
        <f>AE117</f>
        <v>0</v>
      </c>
      <c r="AG117" s="234">
        <f>AF117</f>
        <v>0</v>
      </c>
      <c r="AH117" s="234">
        <f>AG117</f>
        <v>0</v>
      </c>
      <c r="AI117" s="235">
        <f t="shared" ref="AI117:AT117" si="1267">(((AH117*(1+($B$36*$B$4)))-AH117)/12)+AH117</f>
        <v>0</v>
      </c>
      <c r="AJ117" s="234">
        <f t="shared" si="1267"/>
        <v>0</v>
      </c>
      <c r="AK117" s="234">
        <f t="shared" si="1267"/>
        <v>0</v>
      </c>
      <c r="AL117" s="234">
        <f t="shared" si="1267"/>
        <v>0</v>
      </c>
      <c r="AM117" s="234">
        <f t="shared" si="1267"/>
        <v>0</v>
      </c>
      <c r="AN117" s="234">
        <f t="shared" si="1267"/>
        <v>0</v>
      </c>
      <c r="AO117" s="234">
        <f t="shared" si="1267"/>
        <v>0</v>
      </c>
      <c r="AP117" s="234">
        <f t="shared" si="1267"/>
        <v>0</v>
      </c>
      <c r="AQ117" s="234">
        <f t="shared" si="1267"/>
        <v>0</v>
      </c>
      <c r="AR117" s="234">
        <f t="shared" si="1267"/>
        <v>0</v>
      </c>
      <c r="AS117" s="234">
        <f t="shared" si="1267"/>
        <v>0</v>
      </c>
      <c r="AT117" s="234">
        <f t="shared" si="1267"/>
        <v>0</v>
      </c>
      <c r="AU117" s="235">
        <f t="shared" ref="AU117:BF117" si="1268">(((AT117*(1+($B$37*$B$4)))-AT117)/12)+AT117</f>
        <v>0</v>
      </c>
      <c r="AV117" s="234">
        <f t="shared" si="1268"/>
        <v>0</v>
      </c>
      <c r="AW117" s="234">
        <f t="shared" si="1268"/>
        <v>0</v>
      </c>
      <c r="AX117" s="234">
        <f t="shared" si="1268"/>
        <v>0</v>
      </c>
      <c r="AY117" s="234">
        <f t="shared" si="1268"/>
        <v>0</v>
      </c>
      <c r="AZ117" s="234">
        <f t="shared" si="1268"/>
        <v>0</v>
      </c>
      <c r="BA117" s="234">
        <f t="shared" si="1268"/>
        <v>0</v>
      </c>
      <c r="BB117" s="234">
        <f t="shared" si="1268"/>
        <v>0</v>
      </c>
      <c r="BC117" s="234">
        <f t="shared" si="1268"/>
        <v>0</v>
      </c>
      <c r="BD117" s="234">
        <f t="shared" si="1268"/>
        <v>0</v>
      </c>
      <c r="BE117" s="234">
        <f t="shared" si="1268"/>
        <v>0</v>
      </c>
      <c r="BF117" s="234">
        <f t="shared" si="1268"/>
        <v>0</v>
      </c>
      <c r="BG117" s="235">
        <f t="shared" ref="BG117:BR117" si="1269">(((BF117*(1+($B$38*$B$4)))-BF117)/12)+BF117</f>
        <v>0</v>
      </c>
      <c r="BH117" s="234">
        <f t="shared" si="1269"/>
        <v>0</v>
      </c>
      <c r="BI117" s="234">
        <f t="shared" si="1269"/>
        <v>0</v>
      </c>
      <c r="BJ117" s="234">
        <f t="shared" si="1269"/>
        <v>0</v>
      </c>
      <c r="BK117" s="234">
        <f t="shared" si="1269"/>
        <v>0</v>
      </c>
      <c r="BL117" s="234">
        <f t="shared" si="1269"/>
        <v>0</v>
      </c>
      <c r="BM117" s="234">
        <f t="shared" si="1269"/>
        <v>0</v>
      </c>
      <c r="BN117" s="234">
        <f t="shared" si="1269"/>
        <v>0</v>
      </c>
      <c r="BO117" s="234">
        <f t="shared" si="1269"/>
        <v>0</v>
      </c>
      <c r="BP117" s="234">
        <f t="shared" si="1269"/>
        <v>0</v>
      </c>
      <c r="BQ117" s="234">
        <f t="shared" si="1269"/>
        <v>0</v>
      </c>
      <c r="BR117" s="234">
        <f t="shared" si="1269"/>
        <v>0</v>
      </c>
      <c r="BS117" s="235">
        <f t="shared" ref="BS117:CD117" si="1270">(((BR117*(1+($B$39*$B$4)))-BR117)/12)+BR117</f>
        <v>0</v>
      </c>
      <c r="BT117" s="234">
        <f t="shared" si="1270"/>
        <v>0</v>
      </c>
      <c r="BU117" s="234">
        <f t="shared" si="1270"/>
        <v>0</v>
      </c>
      <c r="BV117" s="234">
        <f t="shared" si="1270"/>
        <v>0</v>
      </c>
      <c r="BW117" s="234">
        <f t="shared" si="1270"/>
        <v>0</v>
      </c>
      <c r="BX117" s="234">
        <f t="shared" si="1270"/>
        <v>0</v>
      </c>
      <c r="BY117" s="234">
        <f t="shared" si="1270"/>
        <v>0</v>
      </c>
      <c r="BZ117" s="234">
        <f t="shared" si="1270"/>
        <v>0</v>
      </c>
      <c r="CA117" s="234">
        <f t="shared" si="1270"/>
        <v>0</v>
      </c>
      <c r="CB117" s="234">
        <f t="shared" si="1270"/>
        <v>0</v>
      </c>
      <c r="CC117" s="234">
        <f t="shared" si="1270"/>
        <v>0</v>
      </c>
      <c r="CD117" s="234">
        <f t="shared" si="1270"/>
        <v>0</v>
      </c>
      <c r="CE117" s="235">
        <f t="shared" ref="CE117:CP117" si="1271">(((CD117*(1+($B$40*$B$4)))-CD117)/12)+CD117</f>
        <v>0</v>
      </c>
      <c r="CF117" s="234">
        <f t="shared" si="1271"/>
        <v>0</v>
      </c>
      <c r="CG117" s="234">
        <f t="shared" si="1271"/>
        <v>0</v>
      </c>
      <c r="CH117" s="234">
        <f t="shared" si="1271"/>
        <v>0</v>
      </c>
      <c r="CI117" s="234">
        <f t="shared" si="1271"/>
        <v>0</v>
      </c>
      <c r="CJ117" s="234">
        <f t="shared" si="1271"/>
        <v>0</v>
      </c>
      <c r="CK117" s="234">
        <f t="shared" si="1271"/>
        <v>0</v>
      </c>
      <c r="CL117" s="234">
        <f t="shared" si="1271"/>
        <v>0</v>
      </c>
      <c r="CM117" s="234">
        <f t="shared" si="1271"/>
        <v>0</v>
      </c>
      <c r="CN117" s="234">
        <f t="shared" si="1271"/>
        <v>0</v>
      </c>
      <c r="CO117" s="234">
        <f t="shared" si="1271"/>
        <v>0</v>
      </c>
      <c r="CP117" s="234">
        <f t="shared" si="1271"/>
        <v>0</v>
      </c>
      <c r="CQ117" s="235">
        <f t="shared" ref="CQ117:DB117" si="1272">(((CP117*(1+($B$41*$B$4)))-CP117)/12)+CP117</f>
        <v>0</v>
      </c>
      <c r="CR117" s="234">
        <f t="shared" si="1272"/>
        <v>0</v>
      </c>
      <c r="CS117" s="234">
        <f t="shared" si="1272"/>
        <v>0</v>
      </c>
      <c r="CT117" s="234">
        <f t="shared" si="1272"/>
        <v>0</v>
      </c>
      <c r="CU117" s="234">
        <f t="shared" si="1272"/>
        <v>0</v>
      </c>
      <c r="CV117" s="234">
        <f t="shared" si="1272"/>
        <v>0</v>
      </c>
      <c r="CW117" s="234">
        <f t="shared" si="1272"/>
        <v>0</v>
      </c>
      <c r="CX117" s="234">
        <f t="shared" si="1272"/>
        <v>0</v>
      </c>
      <c r="CY117" s="234">
        <f t="shared" si="1272"/>
        <v>0</v>
      </c>
      <c r="CZ117" s="234">
        <f t="shared" si="1272"/>
        <v>0</v>
      </c>
      <c r="DA117" s="234">
        <f t="shared" si="1272"/>
        <v>0</v>
      </c>
      <c r="DB117" s="234">
        <f t="shared" si="1272"/>
        <v>0</v>
      </c>
      <c r="DC117" s="235">
        <f t="shared" ref="DC117:DN117" si="1273">(((DB117*(1+($B$42*$B$4)))-DB117)/12)+DB117</f>
        <v>0</v>
      </c>
      <c r="DD117" s="234">
        <f t="shared" si="1273"/>
        <v>0</v>
      </c>
      <c r="DE117" s="234">
        <f t="shared" si="1273"/>
        <v>0</v>
      </c>
      <c r="DF117" s="234">
        <f t="shared" si="1273"/>
        <v>0</v>
      </c>
      <c r="DG117" s="234">
        <f t="shared" si="1273"/>
        <v>0</v>
      </c>
      <c r="DH117" s="234">
        <f t="shared" si="1273"/>
        <v>0</v>
      </c>
      <c r="DI117" s="234">
        <f t="shared" si="1273"/>
        <v>0</v>
      </c>
      <c r="DJ117" s="234">
        <f t="shared" si="1273"/>
        <v>0</v>
      </c>
      <c r="DK117" s="234">
        <f t="shared" si="1273"/>
        <v>0</v>
      </c>
      <c r="DL117" s="234">
        <f t="shared" si="1273"/>
        <v>0</v>
      </c>
      <c r="DM117" s="234">
        <f t="shared" si="1273"/>
        <v>0</v>
      </c>
      <c r="DN117" s="234">
        <f t="shared" si="1273"/>
        <v>0</v>
      </c>
      <c r="DO117" s="235">
        <f t="shared" ref="DO117:DZ117" si="1274">(((DN117*(1+($B$43*$B$4)))-DN117)/12)+DN117</f>
        <v>0</v>
      </c>
      <c r="DP117" s="234">
        <f t="shared" si="1274"/>
        <v>0</v>
      </c>
      <c r="DQ117" s="234">
        <f t="shared" si="1274"/>
        <v>0</v>
      </c>
      <c r="DR117" s="234">
        <f t="shared" si="1274"/>
        <v>0</v>
      </c>
      <c r="DS117" s="234">
        <f t="shared" si="1274"/>
        <v>0</v>
      </c>
      <c r="DT117" s="234">
        <f t="shared" si="1274"/>
        <v>0</v>
      </c>
      <c r="DU117" s="234">
        <f t="shared" si="1274"/>
        <v>0</v>
      </c>
      <c r="DV117" s="234">
        <f t="shared" si="1274"/>
        <v>0</v>
      </c>
      <c r="DW117" s="234">
        <f t="shared" si="1274"/>
        <v>0</v>
      </c>
      <c r="DX117" s="234">
        <f t="shared" si="1274"/>
        <v>0</v>
      </c>
      <c r="DY117" s="234">
        <f t="shared" si="1274"/>
        <v>0</v>
      </c>
      <c r="DZ117" s="234">
        <f t="shared" si="1274"/>
        <v>0</v>
      </c>
      <c r="EA117" s="235">
        <f>(((DZ117*(1+($B$44*$B$4)))-DZ117)/12)+DZ117</f>
        <v>0</v>
      </c>
      <c r="EB117" s="234">
        <f>(((EA117*(1+($B$44*$B$4)))-EA117)/12)+EA117</f>
        <v>0</v>
      </c>
      <c r="EC117" s="234">
        <f>(((EB117*(1+($B$44*$B$4)))-EB117)/12)+EB117</f>
        <v>0</v>
      </c>
      <c r="ED117" s="287">
        <f>(((EC117*(1+($B$44*$B$4)))-EC117)/12)+EC117</f>
        <v>0</v>
      </c>
    </row>
    <row r="118" spans="1:134" ht="14.45" customHeight="1" outlineLevel="1" x14ac:dyDescent="0.25">
      <c r="C118" s="475"/>
      <c r="D118" s="711"/>
      <c r="E118" s="711"/>
      <c r="F118" s="711"/>
      <c r="G118" s="711"/>
      <c r="H118" s="711"/>
      <c r="I118" s="711"/>
      <c r="J118" s="711"/>
      <c r="K118" s="711"/>
      <c r="L118" s="222"/>
      <c r="M118" s="223"/>
      <c r="N118" s="224"/>
      <c r="O118" s="225"/>
      <c r="P118" s="225"/>
      <c r="Q118" s="225"/>
      <c r="R118" s="226"/>
      <c r="S118" s="227"/>
      <c r="T118" s="227"/>
      <c r="U118" s="223"/>
      <c r="V118" s="277">
        <v>1</v>
      </c>
      <c r="W118" s="288">
        <f>ROUNDUP($V118*(W117/100)/0.8,0)</f>
        <v>0</v>
      </c>
      <c r="X118" s="125">
        <f t="shared" ref="X118:CI118" si="1275">ROUNDUP($V118*(X117/100)/0.8,0)</f>
        <v>0</v>
      </c>
      <c r="Y118" s="125">
        <f t="shared" si="1275"/>
        <v>0</v>
      </c>
      <c r="Z118" s="125">
        <f t="shared" si="1275"/>
        <v>0</v>
      </c>
      <c r="AA118" s="125">
        <f t="shared" si="1275"/>
        <v>0</v>
      </c>
      <c r="AB118" s="125">
        <f t="shared" si="1275"/>
        <v>0</v>
      </c>
      <c r="AC118" s="125">
        <f t="shared" si="1275"/>
        <v>0</v>
      </c>
      <c r="AD118" s="125">
        <f t="shared" si="1275"/>
        <v>0</v>
      </c>
      <c r="AE118" s="125">
        <f t="shared" si="1275"/>
        <v>0</v>
      </c>
      <c r="AF118" s="125">
        <f t="shared" si="1275"/>
        <v>0</v>
      </c>
      <c r="AG118" s="125">
        <f t="shared" si="1275"/>
        <v>0</v>
      </c>
      <c r="AH118" s="125">
        <f t="shared" si="1275"/>
        <v>0</v>
      </c>
      <c r="AI118" s="233">
        <f t="shared" si="1275"/>
        <v>0</v>
      </c>
      <c r="AJ118" s="125">
        <f t="shared" si="1275"/>
        <v>0</v>
      </c>
      <c r="AK118" s="125">
        <f t="shared" si="1275"/>
        <v>0</v>
      </c>
      <c r="AL118" s="125">
        <f t="shared" si="1275"/>
        <v>0</v>
      </c>
      <c r="AM118" s="125">
        <f t="shared" si="1275"/>
        <v>0</v>
      </c>
      <c r="AN118" s="125">
        <f t="shared" si="1275"/>
        <v>0</v>
      </c>
      <c r="AO118" s="125">
        <f t="shared" si="1275"/>
        <v>0</v>
      </c>
      <c r="AP118" s="125">
        <f t="shared" si="1275"/>
        <v>0</v>
      </c>
      <c r="AQ118" s="125">
        <f t="shared" si="1275"/>
        <v>0</v>
      </c>
      <c r="AR118" s="125">
        <f t="shared" si="1275"/>
        <v>0</v>
      </c>
      <c r="AS118" s="125">
        <f t="shared" si="1275"/>
        <v>0</v>
      </c>
      <c r="AT118" s="125">
        <f t="shared" si="1275"/>
        <v>0</v>
      </c>
      <c r="AU118" s="233">
        <f t="shared" si="1275"/>
        <v>0</v>
      </c>
      <c r="AV118" s="125">
        <f t="shared" si="1275"/>
        <v>0</v>
      </c>
      <c r="AW118" s="125">
        <f t="shared" si="1275"/>
        <v>0</v>
      </c>
      <c r="AX118" s="125">
        <f t="shared" si="1275"/>
        <v>0</v>
      </c>
      <c r="AY118" s="125">
        <f t="shared" si="1275"/>
        <v>0</v>
      </c>
      <c r="AZ118" s="125">
        <f t="shared" si="1275"/>
        <v>0</v>
      </c>
      <c r="BA118" s="125">
        <f t="shared" si="1275"/>
        <v>0</v>
      </c>
      <c r="BB118" s="125">
        <f t="shared" si="1275"/>
        <v>0</v>
      </c>
      <c r="BC118" s="125">
        <f t="shared" si="1275"/>
        <v>0</v>
      </c>
      <c r="BD118" s="125">
        <f t="shared" si="1275"/>
        <v>0</v>
      </c>
      <c r="BE118" s="125">
        <f t="shared" si="1275"/>
        <v>0</v>
      </c>
      <c r="BF118" s="125">
        <f t="shared" si="1275"/>
        <v>0</v>
      </c>
      <c r="BG118" s="233">
        <f t="shared" si="1275"/>
        <v>0</v>
      </c>
      <c r="BH118" s="125">
        <f t="shared" si="1275"/>
        <v>0</v>
      </c>
      <c r="BI118" s="125">
        <f t="shared" si="1275"/>
        <v>0</v>
      </c>
      <c r="BJ118" s="125">
        <f t="shared" si="1275"/>
        <v>0</v>
      </c>
      <c r="BK118" s="125">
        <f t="shared" si="1275"/>
        <v>0</v>
      </c>
      <c r="BL118" s="125">
        <f t="shared" si="1275"/>
        <v>0</v>
      </c>
      <c r="BM118" s="125">
        <f t="shared" si="1275"/>
        <v>0</v>
      </c>
      <c r="BN118" s="125">
        <f t="shared" si="1275"/>
        <v>0</v>
      </c>
      <c r="BO118" s="125">
        <f t="shared" si="1275"/>
        <v>0</v>
      </c>
      <c r="BP118" s="125">
        <f t="shared" si="1275"/>
        <v>0</v>
      </c>
      <c r="BQ118" s="125">
        <f t="shared" si="1275"/>
        <v>0</v>
      </c>
      <c r="BR118" s="125">
        <f t="shared" si="1275"/>
        <v>0</v>
      </c>
      <c r="BS118" s="233">
        <f t="shared" si="1275"/>
        <v>0</v>
      </c>
      <c r="BT118" s="125">
        <f t="shared" si="1275"/>
        <v>0</v>
      </c>
      <c r="BU118" s="125">
        <f t="shared" si="1275"/>
        <v>0</v>
      </c>
      <c r="BV118" s="125">
        <f t="shared" si="1275"/>
        <v>0</v>
      </c>
      <c r="BW118" s="125">
        <f t="shared" si="1275"/>
        <v>0</v>
      </c>
      <c r="BX118" s="125">
        <f t="shared" si="1275"/>
        <v>0</v>
      </c>
      <c r="BY118" s="125">
        <f t="shared" si="1275"/>
        <v>0</v>
      </c>
      <c r="BZ118" s="125">
        <f t="shared" si="1275"/>
        <v>0</v>
      </c>
      <c r="CA118" s="125">
        <f t="shared" si="1275"/>
        <v>0</v>
      </c>
      <c r="CB118" s="125">
        <f t="shared" si="1275"/>
        <v>0</v>
      </c>
      <c r="CC118" s="125">
        <f t="shared" si="1275"/>
        <v>0</v>
      </c>
      <c r="CD118" s="125">
        <f t="shared" si="1275"/>
        <v>0</v>
      </c>
      <c r="CE118" s="233">
        <f t="shared" si="1275"/>
        <v>0</v>
      </c>
      <c r="CF118" s="125">
        <f t="shared" si="1275"/>
        <v>0</v>
      </c>
      <c r="CG118" s="125">
        <f t="shared" si="1275"/>
        <v>0</v>
      </c>
      <c r="CH118" s="125">
        <f t="shared" si="1275"/>
        <v>0</v>
      </c>
      <c r="CI118" s="125">
        <f t="shared" si="1275"/>
        <v>0</v>
      </c>
      <c r="CJ118" s="125">
        <f t="shared" ref="CJ118:ED118" si="1276">ROUNDUP($V118*(CJ117/100)/0.8,0)</f>
        <v>0</v>
      </c>
      <c r="CK118" s="125">
        <f t="shared" si="1276"/>
        <v>0</v>
      </c>
      <c r="CL118" s="125">
        <f t="shared" si="1276"/>
        <v>0</v>
      </c>
      <c r="CM118" s="125">
        <f t="shared" si="1276"/>
        <v>0</v>
      </c>
      <c r="CN118" s="125">
        <f t="shared" si="1276"/>
        <v>0</v>
      </c>
      <c r="CO118" s="125">
        <f t="shared" si="1276"/>
        <v>0</v>
      </c>
      <c r="CP118" s="125">
        <f t="shared" si="1276"/>
        <v>0</v>
      </c>
      <c r="CQ118" s="233">
        <f t="shared" si="1276"/>
        <v>0</v>
      </c>
      <c r="CR118" s="125">
        <f t="shared" si="1276"/>
        <v>0</v>
      </c>
      <c r="CS118" s="125">
        <f t="shared" si="1276"/>
        <v>0</v>
      </c>
      <c r="CT118" s="125">
        <f t="shared" si="1276"/>
        <v>0</v>
      </c>
      <c r="CU118" s="125">
        <f t="shared" si="1276"/>
        <v>0</v>
      </c>
      <c r="CV118" s="125">
        <f t="shared" si="1276"/>
        <v>0</v>
      </c>
      <c r="CW118" s="125">
        <f t="shared" si="1276"/>
        <v>0</v>
      </c>
      <c r="CX118" s="125">
        <f t="shared" si="1276"/>
        <v>0</v>
      </c>
      <c r="CY118" s="125">
        <f t="shared" si="1276"/>
        <v>0</v>
      </c>
      <c r="CZ118" s="125">
        <f t="shared" si="1276"/>
        <v>0</v>
      </c>
      <c r="DA118" s="125">
        <f t="shared" si="1276"/>
        <v>0</v>
      </c>
      <c r="DB118" s="125">
        <f t="shared" si="1276"/>
        <v>0</v>
      </c>
      <c r="DC118" s="233">
        <f t="shared" si="1276"/>
        <v>0</v>
      </c>
      <c r="DD118" s="125">
        <f t="shared" si="1276"/>
        <v>0</v>
      </c>
      <c r="DE118" s="125">
        <f t="shared" si="1276"/>
        <v>0</v>
      </c>
      <c r="DF118" s="125">
        <f t="shared" si="1276"/>
        <v>0</v>
      </c>
      <c r="DG118" s="125">
        <f t="shared" si="1276"/>
        <v>0</v>
      </c>
      <c r="DH118" s="125">
        <f t="shared" si="1276"/>
        <v>0</v>
      </c>
      <c r="DI118" s="125">
        <f t="shared" si="1276"/>
        <v>0</v>
      </c>
      <c r="DJ118" s="125">
        <f t="shared" si="1276"/>
        <v>0</v>
      </c>
      <c r="DK118" s="125">
        <f t="shared" si="1276"/>
        <v>0</v>
      </c>
      <c r="DL118" s="125">
        <f t="shared" si="1276"/>
        <v>0</v>
      </c>
      <c r="DM118" s="125">
        <f t="shared" si="1276"/>
        <v>0</v>
      </c>
      <c r="DN118" s="125">
        <f t="shared" si="1276"/>
        <v>0</v>
      </c>
      <c r="DO118" s="233">
        <f t="shared" si="1276"/>
        <v>0</v>
      </c>
      <c r="DP118" s="125">
        <f t="shared" si="1276"/>
        <v>0</v>
      </c>
      <c r="DQ118" s="125">
        <f t="shared" si="1276"/>
        <v>0</v>
      </c>
      <c r="DR118" s="125">
        <f t="shared" si="1276"/>
        <v>0</v>
      </c>
      <c r="DS118" s="125">
        <f t="shared" si="1276"/>
        <v>0</v>
      </c>
      <c r="DT118" s="125">
        <f t="shared" si="1276"/>
        <v>0</v>
      </c>
      <c r="DU118" s="125">
        <f t="shared" si="1276"/>
        <v>0</v>
      </c>
      <c r="DV118" s="125">
        <f t="shared" si="1276"/>
        <v>0</v>
      </c>
      <c r="DW118" s="125">
        <f t="shared" si="1276"/>
        <v>0</v>
      </c>
      <c r="DX118" s="125">
        <f t="shared" si="1276"/>
        <v>0</v>
      </c>
      <c r="DY118" s="125">
        <f t="shared" si="1276"/>
        <v>0</v>
      </c>
      <c r="DZ118" s="125">
        <f t="shared" si="1276"/>
        <v>0</v>
      </c>
      <c r="EA118" s="233">
        <f t="shared" si="1276"/>
        <v>0</v>
      </c>
      <c r="EB118" s="125">
        <f t="shared" si="1276"/>
        <v>0</v>
      </c>
      <c r="EC118" s="125">
        <f t="shared" si="1276"/>
        <v>0</v>
      </c>
      <c r="ED118" s="289">
        <f t="shared" si="1276"/>
        <v>0</v>
      </c>
    </row>
    <row r="119" spans="1:134" outlineLevel="1" x14ac:dyDescent="0.25">
      <c r="C119" s="475"/>
      <c r="D119" s="710" t="s">
        <v>277</v>
      </c>
      <c r="E119" s="710"/>
      <c r="F119" s="710"/>
      <c r="G119" s="710"/>
      <c r="H119" s="710"/>
      <c r="I119" s="710"/>
      <c r="J119" s="710"/>
      <c r="K119" s="710"/>
      <c r="L119" s="216"/>
      <c r="M119" s="493">
        <f>N119*100</f>
        <v>0</v>
      </c>
      <c r="N119" s="218"/>
      <c r="O119" s="219"/>
      <c r="P119" s="219"/>
      <c r="Q119" s="219"/>
      <c r="R119" s="220">
        <f>P119-N119</f>
        <v>0</v>
      </c>
      <c r="S119" s="221">
        <f>Q119*100</f>
        <v>0</v>
      </c>
      <c r="T119" s="221"/>
      <c r="U119" s="127"/>
      <c r="V119" s="276"/>
      <c r="W119" s="293">
        <f>M119</f>
        <v>0</v>
      </c>
      <c r="X119" s="294">
        <f>W119</f>
        <v>0</v>
      </c>
      <c r="Y119" s="294">
        <f>X119</f>
        <v>0</v>
      </c>
      <c r="Z119" s="294">
        <f>O119*100</f>
        <v>0</v>
      </c>
      <c r="AA119" s="294">
        <f>Z119</f>
        <v>0</v>
      </c>
      <c r="AB119" s="294">
        <f>AA119</f>
        <v>0</v>
      </c>
      <c r="AC119" s="294">
        <f>P119*100</f>
        <v>0</v>
      </c>
      <c r="AD119" s="294">
        <f>AC119</f>
        <v>0</v>
      </c>
      <c r="AE119" s="294">
        <f>AD119</f>
        <v>0</v>
      </c>
      <c r="AF119" s="294">
        <f>AE119</f>
        <v>0</v>
      </c>
      <c r="AG119" s="294">
        <f>AF119</f>
        <v>0</v>
      </c>
      <c r="AH119" s="294">
        <f>AG119</f>
        <v>0</v>
      </c>
      <c r="AI119" s="295">
        <f t="shared" ref="AI119:AT119" si="1277">(((AH119*(1+($B$36*$B$4)))-AH119)/12)+AH119</f>
        <v>0</v>
      </c>
      <c r="AJ119" s="294">
        <f t="shared" si="1277"/>
        <v>0</v>
      </c>
      <c r="AK119" s="294">
        <f t="shared" si="1277"/>
        <v>0</v>
      </c>
      <c r="AL119" s="294">
        <f t="shared" si="1277"/>
        <v>0</v>
      </c>
      <c r="AM119" s="294">
        <f t="shared" si="1277"/>
        <v>0</v>
      </c>
      <c r="AN119" s="294">
        <f t="shared" si="1277"/>
        <v>0</v>
      </c>
      <c r="AO119" s="294">
        <f t="shared" si="1277"/>
        <v>0</v>
      </c>
      <c r="AP119" s="294">
        <f t="shared" si="1277"/>
        <v>0</v>
      </c>
      <c r="AQ119" s="294">
        <f t="shared" si="1277"/>
        <v>0</v>
      </c>
      <c r="AR119" s="294">
        <f t="shared" si="1277"/>
        <v>0</v>
      </c>
      <c r="AS119" s="294">
        <f t="shared" si="1277"/>
        <v>0</v>
      </c>
      <c r="AT119" s="294">
        <f t="shared" si="1277"/>
        <v>0</v>
      </c>
      <c r="AU119" s="295">
        <f t="shared" ref="AU119:BF119" si="1278">(((AT119*(1+($B$37*$B$4)))-AT119)/12)+AT119</f>
        <v>0</v>
      </c>
      <c r="AV119" s="294">
        <f t="shared" si="1278"/>
        <v>0</v>
      </c>
      <c r="AW119" s="294">
        <f t="shared" si="1278"/>
        <v>0</v>
      </c>
      <c r="AX119" s="294">
        <f t="shared" si="1278"/>
        <v>0</v>
      </c>
      <c r="AY119" s="294">
        <f t="shared" si="1278"/>
        <v>0</v>
      </c>
      <c r="AZ119" s="294">
        <f t="shared" si="1278"/>
        <v>0</v>
      </c>
      <c r="BA119" s="294">
        <f t="shared" si="1278"/>
        <v>0</v>
      </c>
      <c r="BB119" s="294">
        <f t="shared" si="1278"/>
        <v>0</v>
      </c>
      <c r="BC119" s="294">
        <f t="shared" si="1278"/>
        <v>0</v>
      </c>
      <c r="BD119" s="294">
        <f t="shared" si="1278"/>
        <v>0</v>
      </c>
      <c r="BE119" s="294">
        <f t="shared" si="1278"/>
        <v>0</v>
      </c>
      <c r="BF119" s="294">
        <f t="shared" si="1278"/>
        <v>0</v>
      </c>
      <c r="BG119" s="295">
        <f t="shared" ref="BG119:BR119" si="1279">(((BF119*(1+($B$38*$B$4)))-BF119)/12)+BF119</f>
        <v>0</v>
      </c>
      <c r="BH119" s="294">
        <f t="shared" si="1279"/>
        <v>0</v>
      </c>
      <c r="BI119" s="294">
        <f t="shared" si="1279"/>
        <v>0</v>
      </c>
      <c r="BJ119" s="294">
        <f t="shared" si="1279"/>
        <v>0</v>
      </c>
      <c r="BK119" s="294">
        <f t="shared" si="1279"/>
        <v>0</v>
      </c>
      <c r="BL119" s="294">
        <f t="shared" si="1279"/>
        <v>0</v>
      </c>
      <c r="BM119" s="294">
        <f t="shared" si="1279"/>
        <v>0</v>
      </c>
      <c r="BN119" s="294">
        <f t="shared" si="1279"/>
        <v>0</v>
      </c>
      <c r="BO119" s="294">
        <f t="shared" si="1279"/>
        <v>0</v>
      </c>
      <c r="BP119" s="294">
        <f t="shared" si="1279"/>
        <v>0</v>
      </c>
      <c r="BQ119" s="294">
        <f t="shared" si="1279"/>
        <v>0</v>
      </c>
      <c r="BR119" s="294">
        <f t="shared" si="1279"/>
        <v>0</v>
      </c>
      <c r="BS119" s="295">
        <f t="shared" ref="BS119:CD119" si="1280">(((BR119*(1+($B$39*$B$4)))-BR119)/12)+BR119</f>
        <v>0</v>
      </c>
      <c r="BT119" s="294">
        <f t="shared" si="1280"/>
        <v>0</v>
      </c>
      <c r="BU119" s="294">
        <f t="shared" si="1280"/>
        <v>0</v>
      </c>
      <c r="BV119" s="294">
        <f t="shared" si="1280"/>
        <v>0</v>
      </c>
      <c r="BW119" s="294">
        <f t="shared" si="1280"/>
        <v>0</v>
      </c>
      <c r="BX119" s="294">
        <f t="shared" si="1280"/>
        <v>0</v>
      </c>
      <c r="BY119" s="294">
        <f t="shared" si="1280"/>
        <v>0</v>
      </c>
      <c r="BZ119" s="294">
        <f t="shared" si="1280"/>
        <v>0</v>
      </c>
      <c r="CA119" s="294">
        <f t="shared" si="1280"/>
        <v>0</v>
      </c>
      <c r="CB119" s="294">
        <f t="shared" si="1280"/>
        <v>0</v>
      </c>
      <c r="CC119" s="294">
        <f t="shared" si="1280"/>
        <v>0</v>
      </c>
      <c r="CD119" s="294">
        <f t="shared" si="1280"/>
        <v>0</v>
      </c>
      <c r="CE119" s="295">
        <f t="shared" ref="CE119:CP119" si="1281">(((CD119*(1+($B$40*$B$4)))-CD119)/12)+CD119</f>
        <v>0</v>
      </c>
      <c r="CF119" s="294">
        <f t="shared" si="1281"/>
        <v>0</v>
      </c>
      <c r="CG119" s="294">
        <f t="shared" si="1281"/>
        <v>0</v>
      </c>
      <c r="CH119" s="294">
        <f t="shared" si="1281"/>
        <v>0</v>
      </c>
      <c r="CI119" s="294">
        <f t="shared" si="1281"/>
        <v>0</v>
      </c>
      <c r="CJ119" s="294">
        <f t="shared" si="1281"/>
        <v>0</v>
      </c>
      <c r="CK119" s="294">
        <f t="shared" si="1281"/>
        <v>0</v>
      </c>
      <c r="CL119" s="294">
        <f t="shared" si="1281"/>
        <v>0</v>
      </c>
      <c r="CM119" s="294">
        <f t="shared" si="1281"/>
        <v>0</v>
      </c>
      <c r="CN119" s="294">
        <f t="shared" si="1281"/>
        <v>0</v>
      </c>
      <c r="CO119" s="294">
        <f t="shared" si="1281"/>
        <v>0</v>
      </c>
      <c r="CP119" s="294">
        <f t="shared" si="1281"/>
        <v>0</v>
      </c>
      <c r="CQ119" s="295">
        <f t="shared" ref="CQ119:DB119" si="1282">(((CP119*(1+($B$41*$B$4)))-CP119)/12)+CP119</f>
        <v>0</v>
      </c>
      <c r="CR119" s="294">
        <f t="shared" si="1282"/>
        <v>0</v>
      </c>
      <c r="CS119" s="294">
        <f t="shared" si="1282"/>
        <v>0</v>
      </c>
      <c r="CT119" s="294">
        <f t="shared" si="1282"/>
        <v>0</v>
      </c>
      <c r="CU119" s="294">
        <f t="shared" si="1282"/>
        <v>0</v>
      </c>
      <c r="CV119" s="294">
        <f t="shared" si="1282"/>
        <v>0</v>
      </c>
      <c r="CW119" s="294">
        <f t="shared" si="1282"/>
        <v>0</v>
      </c>
      <c r="CX119" s="294">
        <f t="shared" si="1282"/>
        <v>0</v>
      </c>
      <c r="CY119" s="294">
        <f t="shared" si="1282"/>
        <v>0</v>
      </c>
      <c r="CZ119" s="294">
        <f t="shared" si="1282"/>
        <v>0</v>
      </c>
      <c r="DA119" s="294">
        <f t="shared" si="1282"/>
        <v>0</v>
      </c>
      <c r="DB119" s="294">
        <f t="shared" si="1282"/>
        <v>0</v>
      </c>
      <c r="DC119" s="295">
        <f t="shared" ref="DC119:DN119" si="1283">(((DB119*(1+($B$42*$B$4)))-DB119)/12)+DB119</f>
        <v>0</v>
      </c>
      <c r="DD119" s="294">
        <f t="shared" si="1283"/>
        <v>0</v>
      </c>
      <c r="DE119" s="294">
        <f t="shared" si="1283"/>
        <v>0</v>
      </c>
      <c r="DF119" s="294">
        <f t="shared" si="1283"/>
        <v>0</v>
      </c>
      <c r="DG119" s="294">
        <f t="shared" si="1283"/>
        <v>0</v>
      </c>
      <c r="DH119" s="294">
        <f t="shared" si="1283"/>
        <v>0</v>
      </c>
      <c r="DI119" s="294">
        <f t="shared" si="1283"/>
        <v>0</v>
      </c>
      <c r="DJ119" s="294">
        <f t="shared" si="1283"/>
        <v>0</v>
      </c>
      <c r="DK119" s="294">
        <f t="shared" si="1283"/>
        <v>0</v>
      </c>
      <c r="DL119" s="294">
        <f t="shared" si="1283"/>
        <v>0</v>
      </c>
      <c r="DM119" s="294">
        <f t="shared" si="1283"/>
        <v>0</v>
      </c>
      <c r="DN119" s="294">
        <f t="shared" si="1283"/>
        <v>0</v>
      </c>
      <c r="DO119" s="295">
        <f t="shared" ref="DO119:DZ119" si="1284">(((DN119*(1+($B$43*$B$4)))-DN119)/12)+DN119</f>
        <v>0</v>
      </c>
      <c r="DP119" s="294">
        <f t="shared" si="1284"/>
        <v>0</v>
      </c>
      <c r="DQ119" s="294">
        <f t="shared" si="1284"/>
        <v>0</v>
      </c>
      <c r="DR119" s="294">
        <f t="shared" si="1284"/>
        <v>0</v>
      </c>
      <c r="DS119" s="294">
        <f t="shared" si="1284"/>
        <v>0</v>
      </c>
      <c r="DT119" s="294">
        <f t="shared" si="1284"/>
        <v>0</v>
      </c>
      <c r="DU119" s="294">
        <f t="shared" si="1284"/>
        <v>0</v>
      </c>
      <c r="DV119" s="294">
        <f t="shared" si="1284"/>
        <v>0</v>
      </c>
      <c r="DW119" s="294">
        <f t="shared" si="1284"/>
        <v>0</v>
      </c>
      <c r="DX119" s="294">
        <f t="shared" si="1284"/>
        <v>0</v>
      </c>
      <c r="DY119" s="294">
        <f t="shared" si="1284"/>
        <v>0</v>
      </c>
      <c r="DZ119" s="294">
        <f t="shared" si="1284"/>
        <v>0</v>
      </c>
      <c r="EA119" s="295">
        <f>(((DZ119*(1+($B$44*$B$4)))-DZ119)/12)+DZ119</f>
        <v>0</v>
      </c>
      <c r="EB119" s="294">
        <f>(((EA119*(1+($B$44*$B$4)))-EA119)/12)+EA119</f>
        <v>0</v>
      </c>
      <c r="EC119" s="294">
        <f>(((EB119*(1+($B$44*$B$4)))-EB119)/12)+EB119</f>
        <v>0</v>
      </c>
      <c r="ED119" s="296">
        <f>(((EC119*(1+($B$44*$B$4)))-EC119)/12)+EC119</f>
        <v>0</v>
      </c>
    </row>
    <row r="120" spans="1:134" outlineLevel="1" x14ac:dyDescent="0.25">
      <c r="C120" s="475"/>
      <c r="D120" s="711"/>
      <c r="E120" s="711"/>
      <c r="F120" s="711"/>
      <c r="G120" s="711"/>
      <c r="H120" s="711"/>
      <c r="I120" s="711"/>
      <c r="J120" s="711"/>
      <c r="K120" s="711"/>
      <c r="L120" s="222"/>
      <c r="M120" s="223"/>
      <c r="N120" s="224"/>
      <c r="O120" s="225"/>
      <c r="P120" s="225"/>
      <c r="Q120" s="225"/>
      <c r="R120" s="226"/>
      <c r="S120" s="227"/>
      <c r="T120" s="227"/>
      <c r="U120" s="223"/>
      <c r="V120" s="277">
        <v>0.5</v>
      </c>
      <c r="W120" s="290">
        <f>ROUNDUP($V120*(W119/100)/0.8,0)</f>
        <v>0</v>
      </c>
      <c r="X120" s="270">
        <f t="shared" ref="X120:CI120" si="1285">ROUNDUP($V120*(X119/100)/0.8,0)</f>
        <v>0</v>
      </c>
      <c r="Y120" s="270">
        <f t="shared" si="1285"/>
        <v>0</v>
      </c>
      <c r="Z120" s="270">
        <f t="shared" si="1285"/>
        <v>0</v>
      </c>
      <c r="AA120" s="270">
        <f t="shared" si="1285"/>
        <v>0</v>
      </c>
      <c r="AB120" s="270">
        <f t="shared" si="1285"/>
        <v>0</v>
      </c>
      <c r="AC120" s="270">
        <f t="shared" si="1285"/>
        <v>0</v>
      </c>
      <c r="AD120" s="270">
        <f t="shared" si="1285"/>
        <v>0</v>
      </c>
      <c r="AE120" s="270">
        <f t="shared" si="1285"/>
        <v>0</v>
      </c>
      <c r="AF120" s="270">
        <f t="shared" si="1285"/>
        <v>0</v>
      </c>
      <c r="AG120" s="270">
        <f t="shared" si="1285"/>
        <v>0</v>
      </c>
      <c r="AH120" s="270">
        <f t="shared" si="1285"/>
        <v>0</v>
      </c>
      <c r="AI120" s="291">
        <f t="shared" si="1285"/>
        <v>0</v>
      </c>
      <c r="AJ120" s="270">
        <f t="shared" si="1285"/>
        <v>0</v>
      </c>
      <c r="AK120" s="270">
        <f t="shared" si="1285"/>
        <v>0</v>
      </c>
      <c r="AL120" s="270">
        <f t="shared" si="1285"/>
        <v>0</v>
      </c>
      <c r="AM120" s="270">
        <f t="shared" si="1285"/>
        <v>0</v>
      </c>
      <c r="AN120" s="270">
        <f t="shared" si="1285"/>
        <v>0</v>
      </c>
      <c r="AO120" s="270">
        <f t="shared" si="1285"/>
        <v>0</v>
      </c>
      <c r="AP120" s="270">
        <f t="shared" si="1285"/>
        <v>0</v>
      </c>
      <c r="AQ120" s="270">
        <f t="shared" si="1285"/>
        <v>0</v>
      </c>
      <c r="AR120" s="270">
        <f t="shared" si="1285"/>
        <v>0</v>
      </c>
      <c r="AS120" s="270">
        <f t="shared" si="1285"/>
        <v>0</v>
      </c>
      <c r="AT120" s="270">
        <f t="shared" si="1285"/>
        <v>0</v>
      </c>
      <c r="AU120" s="291">
        <f t="shared" si="1285"/>
        <v>0</v>
      </c>
      <c r="AV120" s="270">
        <f t="shared" si="1285"/>
        <v>0</v>
      </c>
      <c r="AW120" s="270">
        <f t="shared" si="1285"/>
        <v>0</v>
      </c>
      <c r="AX120" s="270">
        <f t="shared" si="1285"/>
        <v>0</v>
      </c>
      <c r="AY120" s="270">
        <f t="shared" si="1285"/>
        <v>0</v>
      </c>
      <c r="AZ120" s="270">
        <f t="shared" si="1285"/>
        <v>0</v>
      </c>
      <c r="BA120" s="270">
        <f t="shared" si="1285"/>
        <v>0</v>
      </c>
      <c r="BB120" s="270">
        <f t="shared" si="1285"/>
        <v>0</v>
      </c>
      <c r="BC120" s="270">
        <f t="shared" si="1285"/>
        <v>0</v>
      </c>
      <c r="BD120" s="270">
        <f t="shared" si="1285"/>
        <v>0</v>
      </c>
      <c r="BE120" s="270">
        <f t="shared" si="1285"/>
        <v>0</v>
      </c>
      <c r="BF120" s="270">
        <f t="shared" si="1285"/>
        <v>0</v>
      </c>
      <c r="BG120" s="291">
        <f t="shared" si="1285"/>
        <v>0</v>
      </c>
      <c r="BH120" s="270">
        <f t="shared" si="1285"/>
        <v>0</v>
      </c>
      <c r="BI120" s="270">
        <f t="shared" si="1285"/>
        <v>0</v>
      </c>
      <c r="BJ120" s="270">
        <f t="shared" si="1285"/>
        <v>0</v>
      </c>
      <c r="BK120" s="270">
        <f t="shared" si="1285"/>
        <v>0</v>
      </c>
      <c r="BL120" s="270">
        <f t="shared" si="1285"/>
        <v>0</v>
      </c>
      <c r="BM120" s="270">
        <f t="shared" si="1285"/>
        <v>0</v>
      </c>
      <c r="BN120" s="270">
        <f t="shared" si="1285"/>
        <v>0</v>
      </c>
      <c r="BO120" s="270">
        <f t="shared" si="1285"/>
        <v>0</v>
      </c>
      <c r="BP120" s="270">
        <f t="shared" si="1285"/>
        <v>0</v>
      </c>
      <c r="BQ120" s="270">
        <f t="shared" si="1285"/>
        <v>0</v>
      </c>
      <c r="BR120" s="270">
        <f t="shared" si="1285"/>
        <v>0</v>
      </c>
      <c r="BS120" s="291">
        <f t="shared" si="1285"/>
        <v>0</v>
      </c>
      <c r="BT120" s="270">
        <f t="shared" si="1285"/>
        <v>0</v>
      </c>
      <c r="BU120" s="270">
        <f t="shared" si="1285"/>
        <v>0</v>
      </c>
      <c r="BV120" s="270">
        <f t="shared" si="1285"/>
        <v>0</v>
      </c>
      <c r="BW120" s="270">
        <f t="shared" si="1285"/>
        <v>0</v>
      </c>
      <c r="BX120" s="270">
        <f t="shared" si="1285"/>
        <v>0</v>
      </c>
      <c r="BY120" s="270">
        <f t="shared" si="1285"/>
        <v>0</v>
      </c>
      <c r="BZ120" s="270">
        <f t="shared" si="1285"/>
        <v>0</v>
      </c>
      <c r="CA120" s="270">
        <f t="shared" si="1285"/>
        <v>0</v>
      </c>
      <c r="CB120" s="270">
        <f t="shared" si="1285"/>
        <v>0</v>
      </c>
      <c r="CC120" s="270">
        <f t="shared" si="1285"/>
        <v>0</v>
      </c>
      <c r="CD120" s="270">
        <f t="shared" si="1285"/>
        <v>0</v>
      </c>
      <c r="CE120" s="291">
        <f t="shared" si="1285"/>
        <v>0</v>
      </c>
      <c r="CF120" s="270">
        <f t="shared" si="1285"/>
        <v>0</v>
      </c>
      <c r="CG120" s="270">
        <f t="shared" si="1285"/>
        <v>0</v>
      </c>
      <c r="CH120" s="270">
        <f t="shared" si="1285"/>
        <v>0</v>
      </c>
      <c r="CI120" s="270">
        <f t="shared" si="1285"/>
        <v>0</v>
      </c>
      <c r="CJ120" s="270">
        <f t="shared" ref="CJ120:ED120" si="1286">ROUNDUP($V120*(CJ119/100)/0.8,0)</f>
        <v>0</v>
      </c>
      <c r="CK120" s="270">
        <f t="shared" si="1286"/>
        <v>0</v>
      </c>
      <c r="CL120" s="270">
        <f t="shared" si="1286"/>
        <v>0</v>
      </c>
      <c r="CM120" s="270">
        <f t="shared" si="1286"/>
        <v>0</v>
      </c>
      <c r="CN120" s="270">
        <f t="shared" si="1286"/>
        <v>0</v>
      </c>
      <c r="CO120" s="270">
        <f t="shared" si="1286"/>
        <v>0</v>
      </c>
      <c r="CP120" s="270">
        <f t="shared" si="1286"/>
        <v>0</v>
      </c>
      <c r="CQ120" s="291">
        <f t="shared" si="1286"/>
        <v>0</v>
      </c>
      <c r="CR120" s="270">
        <f t="shared" si="1286"/>
        <v>0</v>
      </c>
      <c r="CS120" s="270">
        <f t="shared" si="1286"/>
        <v>0</v>
      </c>
      <c r="CT120" s="270">
        <f t="shared" si="1286"/>
        <v>0</v>
      </c>
      <c r="CU120" s="270">
        <f t="shared" si="1286"/>
        <v>0</v>
      </c>
      <c r="CV120" s="270">
        <f t="shared" si="1286"/>
        <v>0</v>
      </c>
      <c r="CW120" s="270">
        <f t="shared" si="1286"/>
        <v>0</v>
      </c>
      <c r="CX120" s="270">
        <f t="shared" si="1286"/>
        <v>0</v>
      </c>
      <c r="CY120" s="270">
        <f t="shared" si="1286"/>
        <v>0</v>
      </c>
      <c r="CZ120" s="270">
        <f t="shared" si="1286"/>
        <v>0</v>
      </c>
      <c r="DA120" s="270">
        <f t="shared" si="1286"/>
        <v>0</v>
      </c>
      <c r="DB120" s="270">
        <f t="shared" si="1286"/>
        <v>0</v>
      </c>
      <c r="DC120" s="291">
        <f t="shared" si="1286"/>
        <v>0</v>
      </c>
      <c r="DD120" s="270">
        <f t="shared" si="1286"/>
        <v>0</v>
      </c>
      <c r="DE120" s="270">
        <f t="shared" si="1286"/>
        <v>0</v>
      </c>
      <c r="DF120" s="270">
        <f t="shared" si="1286"/>
        <v>0</v>
      </c>
      <c r="DG120" s="270">
        <f t="shared" si="1286"/>
        <v>0</v>
      </c>
      <c r="DH120" s="270">
        <f t="shared" si="1286"/>
        <v>0</v>
      </c>
      <c r="DI120" s="270">
        <f t="shared" si="1286"/>
        <v>0</v>
      </c>
      <c r="DJ120" s="270">
        <f t="shared" si="1286"/>
        <v>0</v>
      </c>
      <c r="DK120" s="270">
        <f t="shared" si="1286"/>
        <v>0</v>
      </c>
      <c r="DL120" s="270">
        <f t="shared" si="1286"/>
        <v>0</v>
      </c>
      <c r="DM120" s="270">
        <f t="shared" si="1286"/>
        <v>0</v>
      </c>
      <c r="DN120" s="270">
        <f t="shared" si="1286"/>
        <v>0</v>
      </c>
      <c r="DO120" s="291">
        <f t="shared" si="1286"/>
        <v>0</v>
      </c>
      <c r="DP120" s="270">
        <f t="shared" si="1286"/>
        <v>0</v>
      </c>
      <c r="DQ120" s="270">
        <f t="shared" si="1286"/>
        <v>0</v>
      </c>
      <c r="DR120" s="270">
        <f t="shared" si="1286"/>
        <v>0</v>
      </c>
      <c r="DS120" s="270">
        <f t="shared" si="1286"/>
        <v>0</v>
      </c>
      <c r="DT120" s="270">
        <f t="shared" si="1286"/>
        <v>0</v>
      </c>
      <c r="DU120" s="270">
        <f t="shared" si="1286"/>
        <v>0</v>
      </c>
      <c r="DV120" s="270">
        <f t="shared" si="1286"/>
        <v>0</v>
      </c>
      <c r="DW120" s="270">
        <f t="shared" si="1286"/>
        <v>0</v>
      </c>
      <c r="DX120" s="270">
        <f t="shared" si="1286"/>
        <v>0</v>
      </c>
      <c r="DY120" s="270">
        <f t="shared" si="1286"/>
        <v>0</v>
      </c>
      <c r="DZ120" s="270">
        <f t="shared" si="1286"/>
        <v>0</v>
      </c>
      <c r="EA120" s="291">
        <f t="shared" si="1286"/>
        <v>0</v>
      </c>
      <c r="EB120" s="270">
        <f t="shared" si="1286"/>
        <v>0</v>
      </c>
      <c r="EC120" s="270">
        <f t="shared" si="1286"/>
        <v>0</v>
      </c>
      <c r="ED120" s="292">
        <f t="shared" si="1286"/>
        <v>0</v>
      </c>
    </row>
    <row r="121" spans="1:134" ht="14.45" customHeight="1" outlineLevel="1" x14ac:dyDescent="0.25">
      <c r="C121" s="475"/>
      <c r="D121" s="710" t="s">
        <v>278</v>
      </c>
      <c r="E121" s="710"/>
      <c r="F121" s="710"/>
      <c r="G121" s="710"/>
      <c r="H121" s="710"/>
      <c r="I121" s="710"/>
      <c r="J121" s="710"/>
      <c r="K121" s="710"/>
      <c r="L121" s="216"/>
      <c r="M121" s="493">
        <f>N121*100</f>
        <v>0</v>
      </c>
      <c r="N121" s="218"/>
      <c r="O121" s="219"/>
      <c r="P121" s="219"/>
      <c r="Q121" s="219"/>
      <c r="R121" s="220">
        <f>P121-N121</f>
        <v>0</v>
      </c>
      <c r="S121" s="221">
        <f>Q121*100</f>
        <v>0</v>
      </c>
      <c r="T121" s="221"/>
      <c r="U121" s="127"/>
      <c r="V121" s="276"/>
      <c r="W121" s="286">
        <f>M121</f>
        <v>0</v>
      </c>
      <c r="X121" s="234">
        <f>W121</f>
        <v>0</v>
      </c>
      <c r="Y121" s="234">
        <f>X121</f>
        <v>0</v>
      </c>
      <c r="Z121" s="234">
        <f>O121*100</f>
        <v>0</v>
      </c>
      <c r="AA121" s="234">
        <f>Z121</f>
        <v>0</v>
      </c>
      <c r="AB121" s="234">
        <f>AA121</f>
        <v>0</v>
      </c>
      <c r="AC121" s="234">
        <f>P121*100</f>
        <v>0</v>
      </c>
      <c r="AD121" s="234">
        <f>AC121</f>
        <v>0</v>
      </c>
      <c r="AE121" s="234">
        <f>AD121</f>
        <v>0</v>
      </c>
      <c r="AF121" s="234">
        <f>AE121</f>
        <v>0</v>
      </c>
      <c r="AG121" s="234">
        <f>AF121</f>
        <v>0</v>
      </c>
      <c r="AH121" s="234">
        <f>AG121</f>
        <v>0</v>
      </c>
      <c r="AI121" s="235">
        <f t="shared" ref="AI121:AT121" si="1287">(((AH121*(1+($B$36*$B$4)))-AH121)/12)+AH121</f>
        <v>0</v>
      </c>
      <c r="AJ121" s="234">
        <f t="shared" si="1287"/>
        <v>0</v>
      </c>
      <c r="AK121" s="234">
        <f t="shared" si="1287"/>
        <v>0</v>
      </c>
      <c r="AL121" s="234">
        <f t="shared" si="1287"/>
        <v>0</v>
      </c>
      <c r="AM121" s="234">
        <f t="shared" si="1287"/>
        <v>0</v>
      </c>
      <c r="AN121" s="234">
        <f t="shared" si="1287"/>
        <v>0</v>
      </c>
      <c r="AO121" s="234">
        <f t="shared" si="1287"/>
        <v>0</v>
      </c>
      <c r="AP121" s="234">
        <f t="shared" si="1287"/>
        <v>0</v>
      </c>
      <c r="AQ121" s="234">
        <f t="shared" si="1287"/>
        <v>0</v>
      </c>
      <c r="AR121" s="234">
        <f t="shared" si="1287"/>
        <v>0</v>
      </c>
      <c r="AS121" s="234">
        <f t="shared" si="1287"/>
        <v>0</v>
      </c>
      <c r="AT121" s="234">
        <f t="shared" si="1287"/>
        <v>0</v>
      </c>
      <c r="AU121" s="235">
        <f t="shared" ref="AU121:BF121" si="1288">(((AT121*(1+($B$37*$B$4)))-AT121)/12)+AT121</f>
        <v>0</v>
      </c>
      <c r="AV121" s="234">
        <f t="shared" si="1288"/>
        <v>0</v>
      </c>
      <c r="AW121" s="234">
        <f t="shared" si="1288"/>
        <v>0</v>
      </c>
      <c r="AX121" s="234">
        <f t="shared" si="1288"/>
        <v>0</v>
      </c>
      <c r="AY121" s="234">
        <f t="shared" si="1288"/>
        <v>0</v>
      </c>
      <c r="AZ121" s="234">
        <f t="shared" si="1288"/>
        <v>0</v>
      </c>
      <c r="BA121" s="234">
        <f t="shared" si="1288"/>
        <v>0</v>
      </c>
      <c r="BB121" s="234">
        <f t="shared" si="1288"/>
        <v>0</v>
      </c>
      <c r="BC121" s="234">
        <f t="shared" si="1288"/>
        <v>0</v>
      </c>
      <c r="BD121" s="234">
        <f t="shared" si="1288"/>
        <v>0</v>
      </c>
      <c r="BE121" s="234">
        <f t="shared" si="1288"/>
        <v>0</v>
      </c>
      <c r="BF121" s="234">
        <f t="shared" si="1288"/>
        <v>0</v>
      </c>
      <c r="BG121" s="235">
        <f t="shared" ref="BG121:BR121" si="1289">(((BF121*(1+($B$38*$B$4)))-BF121)/12)+BF121</f>
        <v>0</v>
      </c>
      <c r="BH121" s="234">
        <f t="shared" si="1289"/>
        <v>0</v>
      </c>
      <c r="BI121" s="234">
        <f t="shared" si="1289"/>
        <v>0</v>
      </c>
      <c r="BJ121" s="234">
        <f t="shared" si="1289"/>
        <v>0</v>
      </c>
      <c r="BK121" s="234">
        <f t="shared" si="1289"/>
        <v>0</v>
      </c>
      <c r="BL121" s="234">
        <f t="shared" si="1289"/>
        <v>0</v>
      </c>
      <c r="BM121" s="234">
        <f t="shared" si="1289"/>
        <v>0</v>
      </c>
      <c r="BN121" s="234">
        <f t="shared" si="1289"/>
        <v>0</v>
      </c>
      <c r="BO121" s="234">
        <f t="shared" si="1289"/>
        <v>0</v>
      </c>
      <c r="BP121" s="234">
        <f t="shared" si="1289"/>
        <v>0</v>
      </c>
      <c r="BQ121" s="234">
        <f t="shared" si="1289"/>
        <v>0</v>
      </c>
      <c r="BR121" s="234">
        <f t="shared" si="1289"/>
        <v>0</v>
      </c>
      <c r="BS121" s="235">
        <f t="shared" ref="BS121:CD121" si="1290">(((BR121*(1+($B$39*$B$4)))-BR121)/12)+BR121</f>
        <v>0</v>
      </c>
      <c r="BT121" s="234">
        <f t="shared" si="1290"/>
        <v>0</v>
      </c>
      <c r="BU121" s="234">
        <f t="shared" si="1290"/>
        <v>0</v>
      </c>
      <c r="BV121" s="234">
        <f t="shared" si="1290"/>
        <v>0</v>
      </c>
      <c r="BW121" s="234">
        <f t="shared" si="1290"/>
        <v>0</v>
      </c>
      <c r="BX121" s="234">
        <f t="shared" si="1290"/>
        <v>0</v>
      </c>
      <c r="BY121" s="234">
        <f t="shared" si="1290"/>
        <v>0</v>
      </c>
      <c r="BZ121" s="234">
        <f t="shared" si="1290"/>
        <v>0</v>
      </c>
      <c r="CA121" s="234">
        <f t="shared" si="1290"/>
        <v>0</v>
      </c>
      <c r="CB121" s="234">
        <f t="shared" si="1290"/>
        <v>0</v>
      </c>
      <c r="CC121" s="234">
        <f t="shared" si="1290"/>
        <v>0</v>
      </c>
      <c r="CD121" s="234">
        <f t="shared" si="1290"/>
        <v>0</v>
      </c>
      <c r="CE121" s="235">
        <f t="shared" ref="CE121:CP121" si="1291">(((CD121*(1+($B$40*$B$4)))-CD121)/12)+CD121</f>
        <v>0</v>
      </c>
      <c r="CF121" s="234">
        <f t="shared" si="1291"/>
        <v>0</v>
      </c>
      <c r="CG121" s="234">
        <f t="shared" si="1291"/>
        <v>0</v>
      </c>
      <c r="CH121" s="234">
        <f t="shared" si="1291"/>
        <v>0</v>
      </c>
      <c r="CI121" s="234">
        <f t="shared" si="1291"/>
        <v>0</v>
      </c>
      <c r="CJ121" s="234">
        <f t="shared" si="1291"/>
        <v>0</v>
      </c>
      <c r="CK121" s="234">
        <f t="shared" si="1291"/>
        <v>0</v>
      </c>
      <c r="CL121" s="234">
        <f t="shared" si="1291"/>
        <v>0</v>
      </c>
      <c r="CM121" s="234">
        <f t="shared" si="1291"/>
        <v>0</v>
      </c>
      <c r="CN121" s="234">
        <f t="shared" si="1291"/>
        <v>0</v>
      </c>
      <c r="CO121" s="234">
        <f t="shared" si="1291"/>
        <v>0</v>
      </c>
      <c r="CP121" s="234">
        <f t="shared" si="1291"/>
        <v>0</v>
      </c>
      <c r="CQ121" s="235">
        <f t="shared" ref="CQ121:DB121" si="1292">(((CP121*(1+($B$41*$B$4)))-CP121)/12)+CP121</f>
        <v>0</v>
      </c>
      <c r="CR121" s="234">
        <f t="shared" si="1292"/>
        <v>0</v>
      </c>
      <c r="CS121" s="234">
        <f t="shared" si="1292"/>
        <v>0</v>
      </c>
      <c r="CT121" s="234">
        <f t="shared" si="1292"/>
        <v>0</v>
      </c>
      <c r="CU121" s="234">
        <f t="shared" si="1292"/>
        <v>0</v>
      </c>
      <c r="CV121" s="234">
        <f t="shared" si="1292"/>
        <v>0</v>
      </c>
      <c r="CW121" s="234">
        <f t="shared" si="1292"/>
        <v>0</v>
      </c>
      <c r="CX121" s="234">
        <f t="shared" si="1292"/>
        <v>0</v>
      </c>
      <c r="CY121" s="234">
        <f t="shared" si="1292"/>
        <v>0</v>
      </c>
      <c r="CZ121" s="234">
        <f t="shared" si="1292"/>
        <v>0</v>
      </c>
      <c r="DA121" s="234">
        <f t="shared" si="1292"/>
        <v>0</v>
      </c>
      <c r="DB121" s="234">
        <f t="shared" si="1292"/>
        <v>0</v>
      </c>
      <c r="DC121" s="235">
        <f t="shared" ref="DC121:DN121" si="1293">(((DB121*(1+($B$42*$B$4)))-DB121)/12)+DB121</f>
        <v>0</v>
      </c>
      <c r="DD121" s="234">
        <f t="shared" si="1293"/>
        <v>0</v>
      </c>
      <c r="DE121" s="234">
        <f t="shared" si="1293"/>
        <v>0</v>
      </c>
      <c r="DF121" s="234">
        <f t="shared" si="1293"/>
        <v>0</v>
      </c>
      <c r="DG121" s="234">
        <f t="shared" si="1293"/>
        <v>0</v>
      </c>
      <c r="DH121" s="234">
        <f t="shared" si="1293"/>
        <v>0</v>
      </c>
      <c r="DI121" s="234">
        <f t="shared" si="1293"/>
        <v>0</v>
      </c>
      <c r="DJ121" s="234">
        <f t="shared" si="1293"/>
        <v>0</v>
      </c>
      <c r="DK121" s="234">
        <f t="shared" si="1293"/>
        <v>0</v>
      </c>
      <c r="DL121" s="234">
        <f t="shared" si="1293"/>
        <v>0</v>
      </c>
      <c r="DM121" s="234">
        <f t="shared" si="1293"/>
        <v>0</v>
      </c>
      <c r="DN121" s="234">
        <f t="shared" si="1293"/>
        <v>0</v>
      </c>
      <c r="DO121" s="235">
        <f t="shared" ref="DO121:DZ121" si="1294">(((DN121*(1+($B$43*$B$4)))-DN121)/12)+DN121</f>
        <v>0</v>
      </c>
      <c r="DP121" s="234">
        <f t="shared" si="1294"/>
        <v>0</v>
      </c>
      <c r="DQ121" s="234">
        <f t="shared" si="1294"/>
        <v>0</v>
      </c>
      <c r="DR121" s="234">
        <f t="shared" si="1294"/>
        <v>0</v>
      </c>
      <c r="DS121" s="234">
        <f t="shared" si="1294"/>
        <v>0</v>
      </c>
      <c r="DT121" s="234">
        <f t="shared" si="1294"/>
        <v>0</v>
      </c>
      <c r="DU121" s="234">
        <f t="shared" si="1294"/>
        <v>0</v>
      </c>
      <c r="DV121" s="234">
        <f t="shared" si="1294"/>
        <v>0</v>
      </c>
      <c r="DW121" s="234">
        <f t="shared" si="1294"/>
        <v>0</v>
      </c>
      <c r="DX121" s="234">
        <f t="shared" si="1294"/>
        <v>0</v>
      </c>
      <c r="DY121" s="234">
        <f t="shared" si="1294"/>
        <v>0</v>
      </c>
      <c r="DZ121" s="234">
        <f t="shared" si="1294"/>
        <v>0</v>
      </c>
      <c r="EA121" s="235">
        <f>(((DZ121*(1+($B$44*$B$4)))-DZ121)/12)+DZ121</f>
        <v>0</v>
      </c>
      <c r="EB121" s="234">
        <f>(((EA121*(1+($B$44*$B$4)))-EA121)/12)+EA121</f>
        <v>0</v>
      </c>
      <c r="EC121" s="234">
        <f>(((EB121*(1+($B$44*$B$4)))-EB121)/12)+EB121</f>
        <v>0</v>
      </c>
      <c r="ED121" s="287">
        <f>(((EC121*(1+($B$44*$B$4)))-EC121)/12)+EC121</f>
        <v>0</v>
      </c>
    </row>
    <row r="122" spans="1:134" ht="14.45" customHeight="1" outlineLevel="1" x14ac:dyDescent="0.25">
      <c r="C122" s="475"/>
      <c r="D122" s="711"/>
      <c r="E122" s="711"/>
      <c r="F122" s="711"/>
      <c r="G122" s="711"/>
      <c r="H122" s="711"/>
      <c r="I122" s="711"/>
      <c r="J122" s="711"/>
      <c r="K122" s="711"/>
      <c r="L122" s="222"/>
      <c r="M122" s="223"/>
      <c r="N122" s="224"/>
      <c r="O122" s="225"/>
      <c r="P122" s="225"/>
      <c r="Q122" s="225"/>
      <c r="R122" s="226"/>
      <c r="S122" s="227"/>
      <c r="T122" s="227"/>
      <c r="U122" s="223"/>
      <c r="V122" s="277">
        <v>1</v>
      </c>
      <c r="W122" s="288">
        <f>ROUNDUP($V122*(W121/100)/0.8,0)</f>
        <v>0</v>
      </c>
      <c r="X122" s="125">
        <f t="shared" ref="X122:CI122" si="1295">ROUNDUP($V122*(X121/100)/0.8,0)</f>
        <v>0</v>
      </c>
      <c r="Y122" s="125">
        <f t="shared" si="1295"/>
        <v>0</v>
      </c>
      <c r="Z122" s="125">
        <f t="shared" si="1295"/>
        <v>0</v>
      </c>
      <c r="AA122" s="125">
        <f t="shared" si="1295"/>
        <v>0</v>
      </c>
      <c r="AB122" s="125">
        <f t="shared" si="1295"/>
        <v>0</v>
      </c>
      <c r="AC122" s="125">
        <f t="shared" si="1295"/>
        <v>0</v>
      </c>
      <c r="AD122" s="125">
        <f t="shared" si="1295"/>
        <v>0</v>
      </c>
      <c r="AE122" s="125">
        <f t="shared" si="1295"/>
        <v>0</v>
      </c>
      <c r="AF122" s="125">
        <f t="shared" si="1295"/>
        <v>0</v>
      </c>
      <c r="AG122" s="125">
        <f t="shared" si="1295"/>
        <v>0</v>
      </c>
      <c r="AH122" s="125">
        <f t="shared" si="1295"/>
        <v>0</v>
      </c>
      <c r="AI122" s="233">
        <f t="shared" si="1295"/>
        <v>0</v>
      </c>
      <c r="AJ122" s="125">
        <f t="shared" si="1295"/>
        <v>0</v>
      </c>
      <c r="AK122" s="125">
        <f t="shared" si="1295"/>
        <v>0</v>
      </c>
      <c r="AL122" s="125">
        <f t="shared" si="1295"/>
        <v>0</v>
      </c>
      <c r="AM122" s="125">
        <f t="shared" si="1295"/>
        <v>0</v>
      </c>
      <c r="AN122" s="125">
        <f t="shared" si="1295"/>
        <v>0</v>
      </c>
      <c r="AO122" s="125">
        <f t="shared" si="1295"/>
        <v>0</v>
      </c>
      <c r="AP122" s="125">
        <f t="shared" si="1295"/>
        <v>0</v>
      </c>
      <c r="AQ122" s="125">
        <f t="shared" si="1295"/>
        <v>0</v>
      </c>
      <c r="AR122" s="125">
        <f t="shared" si="1295"/>
        <v>0</v>
      </c>
      <c r="AS122" s="125">
        <f t="shared" si="1295"/>
        <v>0</v>
      </c>
      <c r="AT122" s="125">
        <f t="shared" si="1295"/>
        <v>0</v>
      </c>
      <c r="AU122" s="233">
        <f t="shared" si="1295"/>
        <v>0</v>
      </c>
      <c r="AV122" s="125">
        <f t="shared" si="1295"/>
        <v>0</v>
      </c>
      <c r="AW122" s="125">
        <f t="shared" si="1295"/>
        <v>0</v>
      </c>
      <c r="AX122" s="125">
        <f t="shared" si="1295"/>
        <v>0</v>
      </c>
      <c r="AY122" s="125">
        <f t="shared" si="1295"/>
        <v>0</v>
      </c>
      <c r="AZ122" s="125">
        <f t="shared" si="1295"/>
        <v>0</v>
      </c>
      <c r="BA122" s="125">
        <f t="shared" si="1295"/>
        <v>0</v>
      </c>
      <c r="BB122" s="125">
        <f t="shared" si="1295"/>
        <v>0</v>
      </c>
      <c r="BC122" s="125">
        <f t="shared" si="1295"/>
        <v>0</v>
      </c>
      <c r="BD122" s="125">
        <f t="shared" si="1295"/>
        <v>0</v>
      </c>
      <c r="BE122" s="125">
        <f t="shared" si="1295"/>
        <v>0</v>
      </c>
      <c r="BF122" s="125">
        <f t="shared" si="1295"/>
        <v>0</v>
      </c>
      <c r="BG122" s="233">
        <f t="shared" si="1295"/>
        <v>0</v>
      </c>
      <c r="BH122" s="125">
        <f t="shared" si="1295"/>
        <v>0</v>
      </c>
      <c r="BI122" s="125">
        <f t="shared" si="1295"/>
        <v>0</v>
      </c>
      <c r="BJ122" s="125">
        <f t="shared" si="1295"/>
        <v>0</v>
      </c>
      <c r="BK122" s="125">
        <f t="shared" si="1295"/>
        <v>0</v>
      </c>
      <c r="BL122" s="125">
        <f t="shared" si="1295"/>
        <v>0</v>
      </c>
      <c r="BM122" s="125">
        <f t="shared" si="1295"/>
        <v>0</v>
      </c>
      <c r="BN122" s="125">
        <f t="shared" si="1295"/>
        <v>0</v>
      </c>
      <c r="BO122" s="125">
        <f t="shared" si="1295"/>
        <v>0</v>
      </c>
      <c r="BP122" s="125">
        <f t="shared" si="1295"/>
        <v>0</v>
      </c>
      <c r="BQ122" s="125">
        <f t="shared" si="1295"/>
        <v>0</v>
      </c>
      <c r="BR122" s="125">
        <f t="shared" si="1295"/>
        <v>0</v>
      </c>
      <c r="BS122" s="233">
        <f t="shared" si="1295"/>
        <v>0</v>
      </c>
      <c r="BT122" s="125">
        <f t="shared" si="1295"/>
        <v>0</v>
      </c>
      <c r="BU122" s="125">
        <f t="shared" si="1295"/>
        <v>0</v>
      </c>
      <c r="BV122" s="125">
        <f t="shared" si="1295"/>
        <v>0</v>
      </c>
      <c r="BW122" s="125">
        <f t="shared" si="1295"/>
        <v>0</v>
      </c>
      <c r="BX122" s="125">
        <f t="shared" si="1295"/>
        <v>0</v>
      </c>
      <c r="BY122" s="125">
        <f t="shared" si="1295"/>
        <v>0</v>
      </c>
      <c r="BZ122" s="125">
        <f t="shared" si="1295"/>
        <v>0</v>
      </c>
      <c r="CA122" s="125">
        <f t="shared" si="1295"/>
        <v>0</v>
      </c>
      <c r="CB122" s="125">
        <f t="shared" si="1295"/>
        <v>0</v>
      </c>
      <c r="CC122" s="125">
        <f t="shared" si="1295"/>
        <v>0</v>
      </c>
      <c r="CD122" s="125">
        <f t="shared" si="1295"/>
        <v>0</v>
      </c>
      <c r="CE122" s="233">
        <f t="shared" si="1295"/>
        <v>0</v>
      </c>
      <c r="CF122" s="125">
        <f t="shared" si="1295"/>
        <v>0</v>
      </c>
      <c r="CG122" s="125">
        <f t="shared" si="1295"/>
        <v>0</v>
      </c>
      <c r="CH122" s="125">
        <f t="shared" si="1295"/>
        <v>0</v>
      </c>
      <c r="CI122" s="125">
        <f t="shared" si="1295"/>
        <v>0</v>
      </c>
      <c r="CJ122" s="125">
        <f t="shared" ref="CJ122:ED122" si="1296">ROUNDUP($V122*(CJ121/100)/0.8,0)</f>
        <v>0</v>
      </c>
      <c r="CK122" s="125">
        <f t="shared" si="1296"/>
        <v>0</v>
      </c>
      <c r="CL122" s="125">
        <f t="shared" si="1296"/>
        <v>0</v>
      </c>
      <c r="CM122" s="125">
        <f t="shared" si="1296"/>
        <v>0</v>
      </c>
      <c r="CN122" s="125">
        <f t="shared" si="1296"/>
        <v>0</v>
      </c>
      <c r="CO122" s="125">
        <f t="shared" si="1296"/>
        <v>0</v>
      </c>
      <c r="CP122" s="125">
        <f t="shared" si="1296"/>
        <v>0</v>
      </c>
      <c r="CQ122" s="233">
        <f t="shared" si="1296"/>
        <v>0</v>
      </c>
      <c r="CR122" s="125">
        <f t="shared" si="1296"/>
        <v>0</v>
      </c>
      <c r="CS122" s="125">
        <f t="shared" si="1296"/>
        <v>0</v>
      </c>
      <c r="CT122" s="125">
        <f t="shared" si="1296"/>
        <v>0</v>
      </c>
      <c r="CU122" s="125">
        <f t="shared" si="1296"/>
        <v>0</v>
      </c>
      <c r="CV122" s="125">
        <f t="shared" si="1296"/>
        <v>0</v>
      </c>
      <c r="CW122" s="125">
        <f t="shared" si="1296"/>
        <v>0</v>
      </c>
      <c r="CX122" s="125">
        <f t="shared" si="1296"/>
        <v>0</v>
      </c>
      <c r="CY122" s="125">
        <f t="shared" si="1296"/>
        <v>0</v>
      </c>
      <c r="CZ122" s="125">
        <f t="shared" si="1296"/>
        <v>0</v>
      </c>
      <c r="DA122" s="125">
        <f t="shared" si="1296"/>
        <v>0</v>
      </c>
      <c r="DB122" s="125">
        <f t="shared" si="1296"/>
        <v>0</v>
      </c>
      <c r="DC122" s="233">
        <f t="shared" si="1296"/>
        <v>0</v>
      </c>
      <c r="DD122" s="125">
        <f t="shared" si="1296"/>
        <v>0</v>
      </c>
      <c r="DE122" s="125">
        <f t="shared" si="1296"/>
        <v>0</v>
      </c>
      <c r="DF122" s="125">
        <f t="shared" si="1296"/>
        <v>0</v>
      </c>
      <c r="DG122" s="125">
        <f t="shared" si="1296"/>
        <v>0</v>
      </c>
      <c r="DH122" s="125">
        <f t="shared" si="1296"/>
        <v>0</v>
      </c>
      <c r="DI122" s="125">
        <f t="shared" si="1296"/>
        <v>0</v>
      </c>
      <c r="DJ122" s="125">
        <f t="shared" si="1296"/>
        <v>0</v>
      </c>
      <c r="DK122" s="125">
        <f t="shared" si="1296"/>
        <v>0</v>
      </c>
      <c r="DL122" s="125">
        <f t="shared" si="1296"/>
        <v>0</v>
      </c>
      <c r="DM122" s="125">
        <f t="shared" si="1296"/>
        <v>0</v>
      </c>
      <c r="DN122" s="125">
        <f t="shared" si="1296"/>
        <v>0</v>
      </c>
      <c r="DO122" s="233">
        <f t="shared" si="1296"/>
        <v>0</v>
      </c>
      <c r="DP122" s="125">
        <f t="shared" si="1296"/>
        <v>0</v>
      </c>
      <c r="DQ122" s="125">
        <f t="shared" si="1296"/>
        <v>0</v>
      </c>
      <c r="DR122" s="125">
        <f t="shared" si="1296"/>
        <v>0</v>
      </c>
      <c r="DS122" s="125">
        <f t="shared" si="1296"/>
        <v>0</v>
      </c>
      <c r="DT122" s="125">
        <f t="shared" si="1296"/>
        <v>0</v>
      </c>
      <c r="DU122" s="125">
        <f t="shared" si="1296"/>
        <v>0</v>
      </c>
      <c r="DV122" s="125">
        <f t="shared" si="1296"/>
        <v>0</v>
      </c>
      <c r="DW122" s="125">
        <f t="shared" si="1296"/>
        <v>0</v>
      </c>
      <c r="DX122" s="125">
        <f t="shared" si="1296"/>
        <v>0</v>
      </c>
      <c r="DY122" s="125">
        <f t="shared" si="1296"/>
        <v>0</v>
      </c>
      <c r="DZ122" s="125">
        <f t="shared" si="1296"/>
        <v>0</v>
      </c>
      <c r="EA122" s="233">
        <f t="shared" si="1296"/>
        <v>0</v>
      </c>
      <c r="EB122" s="125">
        <f t="shared" si="1296"/>
        <v>0</v>
      </c>
      <c r="EC122" s="125">
        <f t="shared" si="1296"/>
        <v>0</v>
      </c>
      <c r="ED122" s="289">
        <f t="shared" si="1296"/>
        <v>0</v>
      </c>
    </row>
    <row r="123" spans="1:134" outlineLevel="1" x14ac:dyDescent="0.25">
      <c r="C123" s="475"/>
      <c r="D123" s="712" t="s">
        <v>279</v>
      </c>
      <c r="E123" s="712"/>
      <c r="F123" s="712"/>
      <c r="G123" s="712"/>
      <c r="H123" s="712"/>
      <c r="I123" s="712"/>
      <c r="J123" s="712"/>
      <c r="K123" s="712"/>
      <c r="L123" s="228"/>
      <c r="M123" s="493">
        <f>N123</f>
        <v>7.0516078431372557</v>
      </c>
      <c r="N123" s="548">
        <f>'XFMR Data'!W4</f>
        <v>7.0516078431372557</v>
      </c>
      <c r="O123" s="549">
        <f>'XFMR Data'!X4</f>
        <v>7.6382745098039218</v>
      </c>
      <c r="P123" s="549">
        <f>'XFMR Data'!Y4</f>
        <v>6.8894117647058826</v>
      </c>
      <c r="Q123" s="230"/>
      <c r="R123" s="220">
        <f>P123-N123</f>
        <v>-0.16219607843137318</v>
      </c>
      <c r="S123" s="230"/>
      <c r="T123" s="230"/>
      <c r="U123" s="125"/>
      <c r="V123" s="278"/>
      <c r="W123" s="293">
        <f>M123</f>
        <v>7.0516078431372557</v>
      </c>
      <c r="X123" s="294">
        <f>W123</f>
        <v>7.0516078431372557</v>
      </c>
      <c r="Y123" s="294">
        <f>X123</f>
        <v>7.0516078431372557</v>
      </c>
      <c r="Z123" s="294">
        <f>O123</f>
        <v>7.6382745098039218</v>
      </c>
      <c r="AA123" s="294">
        <f>Z123</f>
        <v>7.6382745098039218</v>
      </c>
      <c r="AB123" s="294">
        <f>AA123</f>
        <v>7.6382745098039218</v>
      </c>
      <c r="AC123" s="294">
        <f>P123</f>
        <v>6.8894117647058826</v>
      </c>
      <c r="AD123" s="294">
        <f>AC123</f>
        <v>6.8894117647058826</v>
      </c>
      <c r="AE123" s="294">
        <f>AD123</f>
        <v>6.8894117647058826</v>
      </c>
      <c r="AF123" s="294">
        <f>AE123</f>
        <v>6.8894117647058826</v>
      </c>
      <c r="AG123" s="294">
        <f>AF123</f>
        <v>6.8894117647058826</v>
      </c>
      <c r="AH123" s="294">
        <f>AG123</f>
        <v>6.8894117647058826</v>
      </c>
      <c r="AI123" s="295">
        <f t="shared" ref="AI123" si="1297">(((AH123*(1+($B$36*$B$4)))-AH123)/12)+AH123</f>
        <v>6.9307482352941179</v>
      </c>
      <c r="AJ123" s="294">
        <f t="shared" ref="AJ123" si="1298">(((AI123*(1+($B$36*$B$4)))-AI123)/12)+AI123</f>
        <v>6.9723327247058826</v>
      </c>
      <c r="AK123" s="294">
        <f t="shared" ref="AK123" si="1299">(((AJ123*(1+($B$36*$B$4)))-AJ123)/12)+AJ123</f>
        <v>7.0141667210541181</v>
      </c>
      <c r="AL123" s="294">
        <f t="shared" ref="AL123" si="1300">(((AK123*(1+($B$36*$B$4)))-AK123)/12)+AK123</f>
        <v>7.056251721380443</v>
      </c>
      <c r="AM123" s="294">
        <f t="shared" ref="AM123" si="1301">(((AL123*(1+($B$36*$B$4)))-AL123)/12)+AL123</f>
        <v>7.0985892317087256</v>
      </c>
      <c r="AN123" s="294">
        <f t="shared" ref="AN123" si="1302">(((AM123*(1+($B$36*$B$4)))-AM123)/12)+AM123</f>
        <v>7.1411807670989784</v>
      </c>
      <c r="AO123" s="294">
        <f t="shared" ref="AO123" si="1303">(((AN123*(1+($B$36*$B$4)))-AN123)/12)+AN123</f>
        <v>7.1840278517015719</v>
      </c>
      <c r="AP123" s="294">
        <f t="shared" ref="AP123" si="1304">(((AO123*(1+($B$36*$B$4)))-AO123)/12)+AO123</f>
        <v>7.2271320188117816</v>
      </c>
      <c r="AQ123" s="294">
        <f t="shared" ref="AQ123" si="1305">(((AP123*(1+($B$36*$B$4)))-AP123)/12)+AP123</f>
        <v>7.2704948109246521</v>
      </c>
      <c r="AR123" s="294">
        <f t="shared" ref="AR123" si="1306">(((AQ123*(1+($B$36*$B$4)))-AQ123)/12)+AQ123</f>
        <v>7.3141177797901999</v>
      </c>
      <c r="AS123" s="294">
        <f t="shared" ref="AS123" si="1307">(((AR123*(1+($B$36*$B$4)))-AR123)/12)+AR123</f>
        <v>7.3580024864689415</v>
      </c>
      <c r="AT123" s="294">
        <f t="shared" ref="AT123" si="1308">(((AS123*(1+($B$36*$B$4)))-AS123)/12)+AS123</f>
        <v>7.4021505013877551</v>
      </c>
      <c r="AU123" s="295">
        <f t="shared" ref="AU123" si="1309">(((AT123*(1+($B$37*$B$4)))-AT123)/12)+AT123</f>
        <v>7.4465634043960813</v>
      </c>
      <c r="AV123" s="294">
        <f t="shared" ref="AV123" si="1310">(((AU123*(1+($B$37*$B$4)))-AU123)/12)+AU123</f>
        <v>7.4912427848224574</v>
      </c>
      <c r="AW123" s="294">
        <f t="shared" ref="AW123" si="1311">(((AV123*(1+($B$37*$B$4)))-AV123)/12)+AV123</f>
        <v>7.5361902415313917</v>
      </c>
      <c r="AX123" s="294">
        <f t="shared" ref="AX123" si="1312">(((AW123*(1+($B$37*$B$4)))-AW123)/12)+AW123</f>
        <v>7.5814073829805801</v>
      </c>
      <c r="AY123" s="294">
        <f t="shared" ref="AY123" si="1313">(((AX123*(1+($B$37*$B$4)))-AX123)/12)+AX123</f>
        <v>7.6268958272784637</v>
      </c>
      <c r="AZ123" s="294">
        <f t="shared" ref="AZ123" si="1314">(((AY123*(1+($B$37*$B$4)))-AY123)/12)+AY123</f>
        <v>7.6726572022421342</v>
      </c>
      <c r="BA123" s="294">
        <f t="shared" ref="BA123" si="1315">(((AZ123*(1+($B$37*$B$4)))-AZ123)/12)+AZ123</f>
        <v>7.7186931454555872</v>
      </c>
      <c r="BB123" s="294">
        <f t="shared" ref="BB123" si="1316">(((BA123*(1+($B$37*$B$4)))-BA123)/12)+BA123</f>
        <v>7.7650053043283211</v>
      </c>
      <c r="BC123" s="294">
        <f t="shared" ref="BC123" si="1317">(((BB123*(1+($B$37*$B$4)))-BB123)/12)+BB123</f>
        <v>7.8115953361542907</v>
      </c>
      <c r="BD123" s="294">
        <f t="shared" ref="BD123" si="1318">(((BC123*(1+($B$37*$B$4)))-BC123)/12)+BC123</f>
        <v>7.8584649081712161</v>
      </c>
      <c r="BE123" s="294">
        <f t="shared" ref="BE123" si="1319">(((BD123*(1+($B$37*$B$4)))-BD123)/12)+BD123</f>
        <v>7.9056156976202434</v>
      </c>
      <c r="BF123" s="294">
        <f t="shared" ref="BF123" si="1320">(((BE123*(1+($B$37*$B$4)))-BE123)/12)+BE123</f>
        <v>7.9530493918059646</v>
      </c>
      <c r="BG123" s="295">
        <f t="shared" ref="BG123" si="1321">(((BF123*(1+($B$38*$B$4)))-BF123)/12)+BF123</f>
        <v>8.0007676881568006</v>
      </c>
      <c r="BH123" s="294">
        <f t="shared" ref="BH123" si="1322">(((BG123*(1+($B$38*$B$4)))-BG123)/12)+BG123</f>
        <v>8.048772294285742</v>
      </c>
      <c r="BI123" s="294">
        <f t="shared" ref="BI123" si="1323">(((BH123*(1+($B$38*$B$4)))-BH123)/12)+BH123</f>
        <v>8.0970649280514557</v>
      </c>
      <c r="BJ123" s="294">
        <f t="shared" ref="BJ123" si="1324">(((BI123*(1+($B$38*$B$4)))-BI123)/12)+BI123</f>
        <v>8.1456473176197655</v>
      </c>
      <c r="BK123" s="294">
        <f t="shared" ref="BK123" si="1325">(((BJ123*(1+($B$38*$B$4)))-BJ123)/12)+BJ123</f>
        <v>8.1945212015254842</v>
      </c>
      <c r="BL123" s="294">
        <f t="shared" ref="BL123" si="1326">(((BK123*(1+($B$38*$B$4)))-BK123)/12)+BK123</f>
        <v>8.2436883287346365</v>
      </c>
      <c r="BM123" s="294">
        <f t="shared" ref="BM123" si="1327">(((BL123*(1+($B$38*$B$4)))-BL123)/12)+BL123</f>
        <v>8.2931504587070446</v>
      </c>
      <c r="BN123" s="294">
        <f t="shared" ref="BN123" si="1328">(((BM123*(1+($B$38*$B$4)))-BM123)/12)+BM123</f>
        <v>8.3429093614592862</v>
      </c>
      <c r="BO123" s="294">
        <f t="shared" ref="BO123" si="1329">(((BN123*(1+($B$38*$B$4)))-BN123)/12)+BN123</f>
        <v>8.3929668176280412</v>
      </c>
      <c r="BP123" s="294">
        <f t="shared" ref="BP123" si="1330">(((BO123*(1+($B$38*$B$4)))-BO123)/12)+BO123</f>
        <v>8.4433246185338096</v>
      </c>
      <c r="BQ123" s="294">
        <f t="shared" ref="BQ123" si="1331">(((BP123*(1+($B$38*$B$4)))-BP123)/12)+BP123</f>
        <v>8.4939845662450129</v>
      </c>
      <c r="BR123" s="294">
        <f t="shared" ref="BR123" si="1332">(((BQ123*(1+($B$38*$B$4)))-BQ123)/12)+BQ123</f>
        <v>8.5449484736424832</v>
      </c>
      <c r="BS123" s="295">
        <f t="shared" ref="BS123" si="1333">(((BR123*(1+($B$39*$B$4)))-BR123)/12)+BR123</f>
        <v>8.5962181644843376</v>
      </c>
      <c r="BT123" s="294">
        <f t="shared" ref="BT123" si="1334">(((BS123*(1+($B$39*$B$4)))-BS123)/12)+BS123</f>
        <v>8.647795473471243</v>
      </c>
      <c r="BU123" s="294">
        <f t="shared" ref="BU123" si="1335">(((BT123*(1+($B$39*$B$4)))-BT123)/12)+BT123</f>
        <v>8.6996822463120704</v>
      </c>
      <c r="BV123" s="294">
        <f t="shared" ref="BV123" si="1336">(((BU123*(1+($B$39*$B$4)))-BU123)/12)+BU123</f>
        <v>8.7518803397899436</v>
      </c>
      <c r="BW123" s="294">
        <f t="shared" ref="BW123" si="1337">(((BV123*(1+($B$39*$B$4)))-BV123)/12)+BV123</f>
        <v>8.8043916218286835</v>
      </c>
      <c r="BX123" s="294">
        <f t="shared" ref="BX123" si="1338">(((BW123*(1+($B$39*$B$4)))-BW123)/12)+BW123</f>
        <v>8.8572179715596562</v>
      </c>
      <c r="BY123" s="294">
        <f t="shared" ref="BY123" si="1339">(((BX123*(1+($B$39*$B$4)))-BX123)/12)+BX123</f>
        <v>8.910361279389015</v>
      </c>
      <c r="BZ123" s="294">
        <f t="shared" ref="BZ123" si="1340">(((BY123*(1+($B$39*$B$4)))-BY123)/12)+BY123</f>
        <v>8.9638234470653497</v>
      </c>
      <c r="CA123" s="294">
        <f t="shared" ref="CA123" si="1341">(((BZ123*(1+($B$39*$B$4)))-BZ123)/12)+BZ123</f>
        <v>9.0176063877477421</v>
      </c>
      <c r="CB123" s="294">
        <f t="shared" ref="CB123" si="1342">(((CA123*(1+($B$39*$B$4)))-CA123)/12)+CA123</f>
        <v>9.0717120260742288</v>
      </c>
      <c r="CC123" s="294">
        <f t="shared" ref="CC123" si="1343">(((CB123*(1+($B$39*$B$4)))-CB123)/12)+CB123</f>
        <v>9.1261422982306737</v>
      </c>
      <c r="CD123" s="294">
        <f t="shared" ref="CD123" si="1344">(((CC123*(1+($B$39*$B$4)))-CC123)/12)+CC123</f>
        <v>9.1808991520200571</v>
      </c>
      <c r="CE123" s="295">
        <f t="shared" ref="CE123" si="1345">(((CD123*(1+($B$40*$B$4)))-CD123)/12)+CD123</f>
        <v>9.235984546932178</v>
      </c>
      <c r="CF123" s="294">
        <f t="shared" ref="CF123" si="1346">(((CE123*(1+($B$40*$B$4)))-CE123)/12)+CE123</f>
        <v>9.2914004542137718</v>
      </c>
      <c r="CG123" s="294">
        <f t="shared" ref="CG123" si="1347">(((CF123*(1+($B$40*$B$4)))-CF123)/12)+CF123</f>
        <v>9.3471488569390537</v>
      </c>
      <c r="CH123" s="294">
        <f t="shared" ref="CH123" si="1348">(((CG123*(1+($B$40*$B$4)))-CG123)/12)+CG123</f>
        <v>9.403231750080689</v>
      </c>
      <c r="CI123" s="294">
        <f t="shared" ref="CI123" si="1349">(((CH123*(1+($B$40*$B$4)))-CH123)/12)+CH123</f>
        <v>9.4596511405811725</v>
      </c>
      <c r="CJ123" s="294">
        <f t="shared" ref="CJ123" si="1350">(((CI123*(1+($B$40*$B$4)))-CI123)/12)+CI123</f>
        <v>9.5164090474246592</v>
      </c>
      <c r="CK123" s="294">
        <f t="shared" ref="CK123" si="1351">(((CJ123*(1+($B$40*$B$4)))-CJ123)/12)+CJ123</f>
        <v>9.5735075017092068</v>
      </c>
      <c r="CL123" s="294">
        <f t="shared" ref="CL123" si="1352">(((CK123*(1+($B$40*$B$4)))-CK123)/12)+CK123</f>
        <v>9.6309485467194627</v>
      </c>
      <c r="CM123" s="294">
        <f t="shared" ref="CM123" si="1353">(((CL123*(1+($B$40*$B$4)))-CL123)/12)+CL123</f>
        <v>9.6887342379997801</v>
      </c>
      <c r="CN123" s="294">
        <f t="shared" ref="CN123" si="1354">(((CM123*(1+($B$40*$B$4)))-CM123)/12)+CM123</f>
        <v>9.7468666434277793</v>
      </c>
      <c r="CO123" s="294">
        <f t="shared" ref="CO123" si="1355">(((CN123*(1+($B$40*$B$4)))-CN123)/12)+CN123</f>
        <v>9.8053478432883452</v>
      </c>
      <c r="CP123" s="294">
        <f t="shared" ref="CP123" si="1356">(((CO123*(1+($B$40*$B$4)))-CO123)/12)+CO123</f>
        <v>9.8641799303480759</v>
      </c>
      <c r="CQ123" s="295">
        <f t="shared" ref="CQ123" si="1357">(((CP123*(1+($B$41*$B$4)))-CP123)/12)+CP123</f>
        <v>9.9233650099301638</v>
      </c>
      <c r="CR123" s="294">
        <f t="shared" ref="CR123" si="1358">(((CQ123*(1+($B$41*$B$4)))-CQ123)/12)+CQ123</f>
        <v>9.9829051999897445</v>
      </c>
      <c r="CS123" s="294">
        <f t="shared" ref="CS123" si="1359">(((CR123*(1+($B$41*$B$4)))-CR123)/12)+CR123</f>
        <v>10.042802631189684</v>
      </c>
      <c r="CT123" s="294">
        <f t="shared" ref="CT123" si="1360">(((CS123*(1+($B$41*$B$4)))-CS123)/12)+CS123</f>
        <v>10.103059446976822</v>
      </c>
      <c r="CU123" s="294">
        <f t="shared" ref="CU123" si="1361">(((CT123*(1+($B$41*$B$4)))-CT123)/12)+CT123</f>
        <v>10.163677803658683</v>
      </c>
      <c r="CV123" s="294">
        <f t="shared" ref="CV123" si="1362">(((CU123*(1+($B$41*$B$4)))-CU123)/12)+CU123</f>
        <v>10.224659870480634</v>
      </c>
      <c r="CW123" s="294">
        <f t="shared" ref="CW123" si="1363">(((CV123*(1+($B$41*$B$4)))-CV123)/12)+CV123</f>
        <v>10.286007829703518</v>
      </c>
      <c r="CX123" s="294">
        <f t="shared" ref="CX123" si="1364">(((CW123*(1+($B$41*$B$4)))-CW123)/12)+CW123</f>
        <v>10.347723876681739</v>
      </c>
      <c r="CY123" s="294">
        <f t="shared" ref="CY123" si="1365">(((CX123*(1+($B$41*$B$4)))-CX123)/12)+CX123</f>
        <v>10.409810219941829</v>
      </c>
      <c r="CZ123" s="294">
        <f t="shared" ref="CZ123" si="1366">(((CY123*(1+($B$41*$B$4)))-CY123)/12)+CY123</f>
        <v>10.47226908126148</v>
      </c>
      <c r="DA123" s="294">
        <f t="shared" ref="DA123" si="1367">(((CZ123*(1+($B$41*$B$4)))-CZ123)/12)+CZ123</f>
        <v>10.53510269574905</v>
      </c>
      <c r="DB123" s="294">
        <f t="shared" ref="DB123" si="1368">(((DA123*(1+($B$41*$B$4)))-DA123)/12)+DA123</f>
        <v>10.598313311923544</v>
      </c>
      <c r="DC123" s="295">
        <f t="shared" ref="DC123" si="1369">(((DB123*(1+($B$42*$B$4)))-DB123)/12)+DB123</f>
        <v>10.661903191795085</v>
      </c>
      <c r="DD123" s="294">
        <f t="shared" ref="DD123" si="1370">(((DC123*(1+($B$42*$B$4)))-DC123)/12)+DC123</f>
        <v>10.725874610945855</v>
      </c>
      <c r="DE123" s="294">
        <f t="shared" ref="DE123" si="1371">(((DD123*(1+($B$42*$B$4)))-DD123)/12)+DD123</f>
        <v>10.79022985861153</v>
      </c>
      <c r="DF123" s="294">
        <f t="shared" ref="DF123" si="1372">(((DE123*(1+($B$42*$B$4)))-DE123)/12)+DE123</f>
        <v>10.8549712377632</v>
      </c>
      <c r="DG123" s="294">
        <f t="shared" ref="DG123" si="1373">(((DF123*(1+($B$42*$B$4)))-DF123)/12)+DF123</f>
        <v>10.92010106518978</v>
      </c>
      <c r="DH123" s="294">
        <f t="shared" ref="DH123" si="1374">(((DG123*(1+($B$42*$B$4)))-DG123)/12)+DG123</f>
        <v>10.985621671580919</v>
      </c>
      <c r="DI123" s="294">
        <f t="shared" ref="DI123" si="1375">(((DH123*(1+($B$42*$B$4)))-DH123)/12)+DH123</f>
        <v>11.051535401610405</v>
      </c>
      <c r="DJ123" s="294">
        <f t="shared" ref="DJ123" si="1376">(((DI123*(1+($B$42*$B$4)))-DI123)/12)+DI123</f>
        <v>11.117844614020067</v>
      </c>
      <c r="DK123" s="294">
        <f t="shared" ref="DK123" si="1377">(((DJ123*(1+($B$42*$B$4)))-DJ123)/12)+DJ123</f>
        <v>11.184551681704187</v>
      </c>
      <c r="DL123" s="294">
        <f t="shared" ref="DL123" si="1378">(((DK123*(1+($B$42*$B$4)))-DK123)/12)+DK123</f>
        <v>11.251658991794413</v>
      </c>
      <c r="DM123" s="294">
        <f t="shared" ref="DM123" si="1379">(((DL123*(1+($B$42*$B$4)))-DL123)/12)+DL123</f>
        <v>11.319168945745179</v>
      </c>
      <c r="DN123" s="294">
        <f t="shared" ref="DN123" si="1380">(((DM123*(1+($B$42*$B$4)))-DM123)/12)+DM123</f>
        <v>11.38708395941965</v>
      </c>
      <c r="DO123" s="295">
        <f t="shared" ref="DO123" si="1381">(((DN123*(1+($B$43*$B$4)))-DN123)/12)+DN123</f>
        <v>11.455406463176168</v>
      </c>
      <c r="DP123" s="294">
        <f t="shared" ref="DP123" si="1382">(((DO123*(1+($B$43*$B$4)))-DO123)/12)+DO123</f>
        <v>11.524138901955224</v>
      </c>
      <c r="DQ123" s="294">
        <f t="shared" ref="DQ123" si="1383">(((DP123*(1+($B$43*$B$4)))-DP123)/12)+DP123</f>
        <v>11.593283735366956</v>
      </c>
      <c r="DR123" s="294">
        <f t="shared" ref="DR123" si="1384">(((DQ123*(1+($B$43*$B$4)))-DQ123)/12)+DQ123</f>
        <v>11.662843437779157</v>
      </c>
      <c r="DS123" s="294">
        <f t="shared" ref="DS123" si="1385">(((DR123*(1+($B$43*$B$4)))-DR123)/12)+DR123</f>
        <v>11.732820498405832</v>
      </c>
      <c r="DT123" s="294">
        <f t="shared" ref="DT123" si="1386">(((DS123*(1+($B$43*$B$4)))-DS123)/12)+DS123</f>
        <v>11.803217421396267</v>
      </c>
      <c r="DU123" s="294">
        <f t="shared" ref="DU123" si="1387">(((DT123*(1+($B$43*$B$4)))-DT123)/12)+DT123</f>
        <v>11.874036725924645</v>
      </c>
      <c r="DV123" s="294">
        <f t="shared" ref="DV123" si="1388">(((DU123*(1+($B$43*$B$4)))-DU123)/12)+DU123</f>
        <v>11.945280946280192</v>
      </c>
      <c r="DW123" s="294">
        <f t="shared" ref="DW123" si="1389">(((DV123*(1+($B$43*$B$4)))-DV123)/12)+DV123</f>
        <v>12.016952631957874</v>
      </c>
      <c r="DX123" s="294">
        <f t="shared" ref="DX123" si="1390">(((DW123*(1+($B$43*$B$4)))-DW123)/12)+DW123</f>
        <v>12.089054347749622</v>
      </c>
      <c r="DY123" s="294">
        <f t="shared" ref="DY123" si="1391">(((DX123*(1+($B$43*$B$4)))-DX123)/12)+DX123</f>
        <v>12.161588673836119</v>
      </c>
      <c r="DZ123" s="294">
        <f t="shared" ref="DZ123" si="1392">(((DY123*(1+($B$43*$B$4)))-DY123)/12)+DY123</f>
        <v>12.234558205879136</v>
      </c>
      <c r="EA123" s="295">
        <f>(((DZ123*(1+($B$44*$B$4)))-DZ123)/12)+DZ123</f>
        <v>12.307965555114411</v>
      </c>
      <c r="EB123" s="294">
        <f>(((EA123*(1+($B$44*$B$4)))-EA123)/12)+EA123</f>
        <v>12.381813348445098</v>
      </c>
      <c r="EC123" s="294">
        <f>(((EB123*(1+($B$44*$B$4)))-EB123)/12)+EB123</f>
        <v>12.456104228535768</v>
      </c>
      <c r="ED123" s="296">
        <f>(((EC123*(1+($B$44*$B$4)))-EC123)/12)+EC123</f>
        <v>12.530840853906982</v>
      </c>
    </row>
    <row r="124" spans="1:134" outlineLevel="1" x14ac:dyDescent="0.25">
      <c r="C124" s="475"/>
      <c r="D124" s="711"/>
      <c r="E124" s="711"/>
      <c r="F124" s="711"/>
      <c r="G124" s="711"/>
      <c r="H124" s="711"/>
      <c r="I124" s="711"/>
      <c r="J124" s="711"/>
      <c r="K124" s="711"/>
      <c r="L124" s="222"/>
      <c r="M124" s="223"/>
      <c r="N124" s="521"/>
      <c r="O124" s="522"/>
      <c r="P124" s="281"/>
      <c r="Q124" s="225"/>
      <c r="R124" s="226"/>
      <c r="S124" s="225"/>
      <c r="T124" s="225"/>
      <c r="U124" s="223">
        <v>170</v>
      </c>
      <c r="V124" s="281">
        <f>ROUNDUP((ROUNDUP(N123,0))+((ROUNDUP(N123,0))/7),0)</f>
        <v>10</v>
      </c>
      <c r="W124" s="550">
        <f>ROUNDUP(W123,0)+(W123/7)</f>
        <v>9.0073725490196086</v>
      </c>
      <c r="X124" s="550">
        <f t="shared" ref="X124" si="1393">ROUNDUP(X123,0)+(X123/7)</f>
        <v>9.0073725490196086</v>
      </c>
      <c r="Y124" s="550">
        <f t="shared" ref="Y124" si="1394">ROUNDUP(Y123,0)+(Y123/7)</f>
        <v>9.0073725490196086</v>
      </c>
      <c r="Z124" s="550">
        <f t="shared" ref="Z124" si="1395">ROUNDUP(Z123,0)+(Z123/7)</f>
        <v>9.091182072829131</v>
      </c>
      <c r="AA124" s="550">
        <f t="shared" ref="AA124" si="1396">ROUNDUP(AA123,0)+(AA123/7)</f>
        <v>9.091182072829131</v>
      </c>
      <c r="AB124" s="550">
        <f t="shared" ref="AB124" si="1397">ROUNDUP(AB123,0)+(AB123/7)</f>
        <v>9.091182072829131</v>
      </c>
      <c r="AC124" s="550">
        <f t="shared" ref="AC124" si="1398">ROUNDUP(AC123,0)+(AC123/7)</f>
        <v>7.9842016806722693</v>
      </c>
      <c r="AD124" s="550">
        <f t="shared" ref="AD124" si="1399">ROUNDUP(AD123,0)+(AD123/7)</f>
        <v>7.9842016806722693</v>
      </c>
      <c r="AE124" s="550">
        <f t="shared" ref="AE124" si="1400">ROUNDUP(AE123,0)+(AE123/7)</f>
        <v>7.9842016806722693</v>
      </c>
      <c r="AF124" s="550">
        <f t="shared" ref="AF124" si="1401">ROUNDUP(AF123,0)+(AF123/7)</f>
        <v>7.9842016806722693</v>
      </c>
      <c r="AG124" s="550">
        <f t="shared" ref="AG124" si="1402">ROUNDUP(AG123,0)+(AG123/7)</f>
        <v>7.9842016806722693</v>
      </c>
      <c r="AH124" s="550">
        <f t="shared" ref="AH124" si="1403">ROUNDUP(AH123,0)+(AH123/7)</f>
        <v>7.9842016806722693</v>
      </c>
      <c r="AI124" s="550">
        <f t="shared" ref="AI124" si="1404">ROUNDUP(AI123,0)+(AI123/7)</f>
        <v>7.9901068907563024</v>
      </c>
      <c r="AJ124" s="550">
        <f t="shared" ref="AJ124" si="1405">ROUNDUP(AJ123,0)+(AJ123/7)</f>
        <v>7.9960475321008406</v>
      </c>
      <c r="AK124" s="550">
        <f t="shared" ref="AK124" si="1406">ROUNDUP(AK123,0)+(AK123/7)</f>
        <v>9.0020238172934448</v>
      </c>
      <c r="AL124" s="550">
        <f t="shared" ref="AL124" si="1407">ROUNDUP(AL123,0)+(AL123/7)</f>
        <v>9.0080359601972066</v>
      </c>
      <c r="AM124" s="550">
        <f t="shared" ref="AM124" si="1408">ROUNDUP(AM123,0)+(AM123/7)</f>
        <v>9.0140841759583896</v>
      </c>
      <c r="AN124" s="550">
        <f t="shared" ref="AN124" si="1409">ROUNDUP(AN123,0)+(AN123/7)</f>
        <v>9.0201686810141393</v>
      </c>
      <c r="AO124" s="550">
        <f t="shared" ref="AO124" si="1410">ROUNDUP(AO123,0)+(AO123/7)</f>
        <v>9.0262896931002246</v>
      </c>
      <c r="AP124" s="550">
        <f t="shared" ref="AP124" si="1411">ROUNDUP(AP123,0)+(AP123/7)</f>
        <v>9.0324474312588254</v>
      </c>
      <c r="AQ124" s="550">
        <f t="shared" ref="AQ124" si="1412">ROUNDUP(AQ123,0)+(AQ123/7)</f>
        <v>9.038642115846379</v>
      </c>
      <c r="AR124" s="550">
        <f t="shared" ref="AR124" si="1413">ROUNDUP(AR123,0)+(AR123/7)</f>
        <v>9.0448739685414576</v>
      </c>
      <c r="AS124" s="550">
        <f t="shared" ref="AS124" si="1414">ROUNDUP(AS123,0)+(AS123/7)</f>
        <v>9.0511432123527058</v>
      </c>
      <c r="AT124" s="550">
        <f t="shared" ref="AT124" si="1415">ROUNDUP(AT123,0)+(AT123/7)</f>
        <v>9.0574500716268229</v>
      </c>
      <c r="AU124" s="550">
        <f t="shared" ref="AU124" si="1416">ROUNDUP(AU123,0)+(AU123/7)</f>
        <v>9.0637947720565837</v>
      </c>
      <c r="AV124" s="550">
        <f t="shared" ref="AV124" si="1417">ROUNDUP(AV123,0)+(AV123/7)</f>
        <v>9.0701775406889222</v>
      </c>
      <c r="AW124" s="550">
        <f t="shared" ref="AW124" si="1418">ROUNDUP(AW123,0)+(AW123/7)</f>
        <v>9.0765986059330555</v>
      </c>
      <c r="AX124" s="550">
        <f t="shared" ref="AX124" si="1419">ROUNDUP(AX123,0)+(AX123/7)</f>
        <v>9.0830581975686542</v>
      </c>
      <c r="AY124" s="550">
        <f t="shared" ref="AY124" si="1420">ROUNDUP(AY123,0)+(AY123/7)</f>
        <v>9.089556546754066</v>
      </c>
      <c r="AZ124" s="550">
        <f t="shared" ref="AZ124" si="1421">ROUNDUP(AZ123,0)+(AZ123/7)</f>
        <v>9.0960938860345912</v>
      </c>
      <c r="BA124" s="550">
        <f t="shared" ref="BA124" si="1422">ROUNDUP(BA123,0)+(BA123/7)</f>
        <v>9.1026704493507982</v>
      </c>
      <c r="BB124" s="550">
        <f t="shared" ref="BB124" si="1423">ROUNDUP(BB123,0)+(BB123/7)</f>
        <v>9.1092864720469038</v>
      </c>
      <c r="BC124" s="550">
        <f t="shared" ref="BC124" si="1424">ROUNDUP(BC123,0)+(BC123/7)</f>
        <v>9.1159421908791849</v>
      </c>
      <c r="BD124" s="550">
        <f t="shared" ref="BD124" si="1425">ROUNDUP(BD123,0)+(BD123/7)</f>
        <v>9.1226378440244602</v>
      </c>
      <c r="BE124" s="550">
        <f t="shared" ref="BE124" si="1426">ROUNDUP(BE123,0)+(BE123/7)</f>
        <v>9.1293736710886062</v>
      </c>
      <c r="BF124" s="550">
        <f t="shared" ref="BF124" si="1427">ROUNDUP(BF123,0)+(BF123/7)</f>
        <v>9.1361499131151369</v>
      </c>
      <c r="BG124" s="550">
        <f t="shared" ref="BG124" si="1428">ROUNDUP(BG123,0)+(BG123/7)</f>
        <v>10.142966812593828</v>
      </c>
      <c r="BH124" s="550">
        <f t="shared" ref="BH124" si="1429">ROUNDUP(BH123,0)+(BH123/7)</f>
        <v>10.149824613469391</v>
      </c>
      <c r="BI124" s="550">
        <f t="shared" ref="BI124" si="1430">ROUNDUP(BI123,0)+(BI123/7)</f>
        <v>10.156723561150208</v>
      </c>
      <c r="BJ124" s="550">
        <f t="shared" ref="BJ124" si="1431">ROUNDUP(BJ123,0)+(BJ123/7)</f>
        <v>10.16366390251711</v>
      </c>
      <c r="BK124" s="550">
        <f t="shared" ref="BK124" si="1432">ROUNDUP(BK123,0)+(BK123/7)</f>
        <v>10.170645885932212</v>
      </c>
      <c r="BL124" s="550">
        <f t="shared" ref="BL124" si="1433">ROUNDUP(BL123,0)+(BL123/7)</f>
        <v>10.177669761247806</v>
      </c>
      <c r="BM124" s="550">
        <f t="shared" ref="BM124" si="1434">ROUNDUP(BM123,0)+(BM123/7)</f>
        <v>10.184735779815291</v>
      </c>
      <c r="BN124" s="550">
        <f t="shared" ref="BN124" si="1435">ROUNDUP(BN123,0)+(BN123/7)</f>
        <v>10.191844194494184</v>
      </c>
      <c r="BO124" s="550">
        <f t="shared" ref="BO124" si="1436">ROUNDUP(BO123,0)+(BO123/7)</f>
        <v>10.19899525966115</v>
      </c>
      <c r="BP124" s="550">
        <f t="shared" ref="BP124" si="1437">ROUNDUP(BP123,0)+(BP123/7)</f>
        <v>10.206189231219115</v>
      </c>
      <c r="BQ124" s="550">
        <f t="shared" ref="BQ124" si="1438">ROUNDUP(BQ123,0)+(BQ123/7)</f>
        <v>10.213426366606431</v>
      </c>
      <c r="BR124" s="550">
        <f t="shared" ref="BR124" si="1439">ROUNDUP(BR123,0)+(BR123/7)</f>
        <v>10.22070692480607</v>
      </c>
      <c r="BS124" s="550">
        <f t="shared" ref="BS124" si="1440">ROUNDUP(BS123,0)+(BS123/7)</f>
        <v>10.228031166354905</v>
      </c>
      <c r="BT124" s="550">
        <f t="shared" ref="BT124" si="1441">ROUNDUP(BT123,0)+(BT123/7)</f>
        <v>10.235399353353035</v>
      </c>
      <c r="BU124" s="550">
        <f t="shared" ref="BU124" si="1442">ROUNDUP(BU123,0)+(BU123/7)</f>
        <v>10.242811749473153</v>
      </c>
      <c r="BV124" s="550">
        <f t="shared" ref="BV124" si="1443">ROUNDUP(BV123,0)+(BV123/7)</f>
        <v>10.250268619969992</v>
      </c>
      <c r="BW124" s="550">
        <f t="shared" ref="BW124" si="1444">ROUNDUP(BW123,0)+(BW123/7)</f>
        <v>10.257770231689811</v>
      </c>
      <c r="BX124" s="550">
        <f t="shared" ref="BX124" si="1445">ROUNDUP(BX123,0)+(BX123/7)</f>
        <v>10.26531685307995</v>
      </c>
      <c r="BY124" s="550">
        <f t="shared" ref="BY124" si="1446">ROUNDUP(BY123,0)+(BY123/7)</f>
        <v>10.272908754198431</v>
      </c>
      <c r="BZ124" s="550">
        <f t="shared" ref="BZ124" si="1447">ROUNDUP(BZ123,0)+(BZ123/7)</f>
        <v>10.280546206723621</v>
      </c>
      <c r="CA124" s="550">
        <f t="shared" ref="CA124" si="1448">ROUNDUP(CA123,0)+(CA123/7)</f>
        <v>11.288229483963963</v>
      </c>
      <c r="CB124" s="550">
        <f t="shared" ref="CB124" si="1449">ROUNDUP(CB123,0)+(CB123/7)</f>
        <v>11.295958860867747</v>
      </c>
      <c r="CC124" s="550">
        <f t="shared" ref="CC124" si="1450">ROUNDUP(CC123,0)+(CC123/7)</f>
        <v>11.303734614032953</v>
      </c>
      <c r="CD124" s="550">
        <f t="shared" ref="CD124" si="1451">ROUNDUP(CD123,0)+(CD123/7)</f>
        <v>11.311557021717151</v>
      </c>
      <c r="CE124" s="550">
        <f t="shared" ref="CE124" si="1452">ROUNDUP(CE123,0)+(CE123/7)</f>
        <v>11.319426363847453</v>
      </c>
      <c r="CF124" s="550">
        <f t="shared" ref="CF124" si="1453">ROUNDUP(CF123,0)+(CF123/7)</f>
        <v>11.327342922030539</v>
      </c>
      <c r="CG124" s="550">
        <f t="shared" ref="CG124" si="1454">ROUNDUP(CG123,0)+(CG123/7)</f>
        <v>11.335306979562722</v>
      </c>
      <c r="CH124" s="550">
        <f t="shared" ref="CH124" si="1455">ROUNDUP(CH123,0)+(CH123/7)</f>
        <v>11.343318821440098</v>
      </c>
      <c r="CI124" s="550">
        <f t="shared" ref="CI124" si="1456">ROUNDUP(CI123,0)+(CI123/7)</f>
        <v>11.351378734368739</v>
      </c>
      <c r="CJ124" s="550">
        <f t="shared" ref="CJ124" si="1457">ROUNDUP(CJ123,0)+(CJ123/7)</f>
        <v>11.359487006774952</v>
      </c>
      <c r="CK124" s="550">
        <f t="shared" ref="CK124" si="1458">ROUNDUP(CK123,0)+(CK123/7)</f>
        <v>11.367643928815601</v>
      </c>
      <c r="CL124" s="550">
        <f t="shared" ref="CL124" si="1459">ROUNDUP(CL123,0)+(CL123/7)</f>
        <v>11.375849792388495</v>
      </c>
      <c r="CM124" s="550">
        <f t="shared" ref="CM124" si="1460">ROUNDUP(CM123,0)+(CM123/7)</f>
        <v>11.384104891142826</v>
      </c>
      <c r="CN124" s="550">
        <f t="shared" ref="CN124" si="1461">ROUNDUP(CN123,0)+(CN123/7)</f>
        <v>11.392409520489682</v>
      </c>
      <c r="CO124" s="550">
        <f t="shared" ref="CO124" si="1462">ROUNDUP(CO123,0)+(CO123/7)</f>
        <v>11.400763977612622</v>
      </c>
      <c r="CP124" s="550">
        <f t="shared" ref="CP124" si="1463">ROUNDUP(CP123,0)+(CP123/7)</f>
        <v>11.409168561478296</v>
      </c>
      <c r="CQ124" s="550">
        <f t="shared" ref="CQ124" si="1464">ROUNDUP(CQ123,0)+(CQ123/7)</f>
        <v>11.417623572847166</v>
      </c>
      <c r="CR124" s="550">
        <f t="shared" ref="CR124" si="1465">ROUNDUP(CR123,0)+(CR123/7)</f>
        <v>11.42612931428425</v>
      </c>
      <c r="CS124" s="550">
        <f t="shared" ref="CS124" si="1466">ROUNDUP(CS123,0)+(CS123/7)</f>
        <v>12.434686090169954</v>
      </c>
      <c r="CT124" s="550">
        <f t="shared" ref="CT124" si="1467">ROUNDUP(CT123,0)+(CT123/7)</f>
        <v>12.443294206710975</v>
      </c>
      <c r="CU124" s="550">
        <f t="shared" ref="CU124" si="1468">ROUNDUP(CU123,0)+(CU123/7)</f>
        <v>12.451953971951241</v>
      </c>
      <c r="CV124" s="550">
        <f t="shared" ref="CV124" si="1469">ROUNDUP(CV123,0)+(CV123/7)</f>
        <v>12.460665695782948</v>
      </c>
      <c r="CW124" s="550">
        <f t="shared" ref="CW124" si="1470">ROUNDUP(CW123,0)+(CW123/7)</f>
        <v>12.469429689957645</v>
      </c>
      <c r="CX124" s="550">
        <f t="shared" ref="CX124" si="1471">ROUNDUP(CX123,0)+(CX123/7)</f>
        <v>12.478246268097392</v>
      </c>
      <c r="CY124" s="550">
        <f t="shared" ref="CY124" si="1472">ROUNDUP(CY123,0)+(CY123/7)</f>
        <v>12.487115745705976</v>
      </c>
      <c r="CZ124" s="550">
        <f t="shared" ref="CZ124" si="1473">ROUNDUP(CZ123,0)+(CZ123/7)</f>
        <v>12.496038440180211</v>
      </c>
      <c r="DA124" s="550">
        <f t="shared" ref="DA124" si="1474">ROUNDUP(DA123,0)+(DA123/7)</f>
        <v>12.505014670821293</v>
      </c>
      <c r="DB124" s="550">
        <f t="shared" ref="DB124" si="1475">ROUNDUP(DB123,0)+(DB123/7)</f>
        <v>12.51404475884622</v>
      </c>
      <c r="DC124" s="550">
        <f t="shared" ref="DC124" si="1476">ROUNDUP(DC123,0)+(DC123/7)</f>
        <v>12.523129027399298</v>
      </c>
      <c r="DD124" s="550">
        <f t="shared" ref="DD124" si="1477">ROUNDUP(DD123,0)+(DD123/7)</f>
        <v>12.532267801563693</v>
      </c>
      <c r="DE124" s="550">
        <f t="shared" ref="DE124" si="1478">ROUNDUP(DE123,0)+(DE123/7)</f>
        <v>12.541461408373076</v>
      </c>
      <c r="DF124" s="550">
        <f t="shared" ref="DF124" si="1479">ROUNDUP(DF123,0)+(DF123/7)</f>
        <v>12.550710176823314</v>
      </c>
      <c r="DG124" s="550">
        <f t="shared" ref="DG124" si="1480">ROUNDUP(DG123,0)+(DG123/7)</f>
        <v>12.560014437884254</v>
      </c>
      <c r="DH124" s="550">
        <f t="shared" ref="DH124" si="1481">ROUNDUP(DH123,0)+(DH123/7)</f>
        <v>12.569374524511559</v>
      </c>
      <c r="DI124" s="550">
        <f t="shared" ref="DI124" si="1482">ROUNDUP(DI123,0)+(DI123/7)</f>
        <v>13.57879077165863</v>
      </c>
      <c r="DJ124" s="550">
        <f t="shared" ref="DJ124" si="1483">ROUNDUP(DJ123,0)+(DJ123/7)</f>
        <v>13.588263516288581</v>
      </c>
      <c r="DK124" s="550">
        <f t="shared" ref="DK124" si="1484">ROUNDUP(DK123,0)+(DK123/7)</f>
        <v>13.597793097386312</v>
      </c>
      <c r="DL124" s="550">
        <f t="shared" ref="DL124" si="1485">ROUNDUP(DL123,0)+(DL123/7)</f>
        <v>13.607379855970631</v>
      </c>
      <c r="DM124" s="550">
        <f t="shared" ref="DM124" si="1486">ROUNDUP(DM123,0)+(DM123/7)</f>
        <v>13.617024135106455</v>
      </c>
      <c r="DN124" s="550">
        <f t="shared" ref="DN124" si="1487">ROUNDUP(DN123,0)+(DN123/7)</f>
        <v>13.626726279917094</v>
      </c>
      <c r="DO124" s="550">
        <f t="shared" ref="DO124" si="1488">ROUNDUP(DO123,0)+(DO123/7)</f>
        <v>13.636486637596596</v>
      </c>
      <c r="DP124" s="550">
        <f t="shared" ref="DP124" si="1489">ROUNDUP(DP123,0)+(DP123/7)</f>
        <v>13.646305557422174</v>
      </c>
      <c r="DQ124" s="550">
        <f t="shared" ref="DQ124" si="1490">ROUNDUP(DQ123,0)+(DQ123/7)</f>
        <v>13.656183390766708</v>
      </c>
      <c r="DR124" s="550">
        <f t="shared" ref="DR124" si="1491">ROUNDUP(DR123,0)+(DR123/7)</f>
        <v>13.666120491111307</v>
      </c>
      <c r="DS124" s="550">
        <f t="shared" ref="DS124" si="1492">ROUNDUP(DS123,0)+(DS123/7)</f>
        <v>13.676117214057976</v>
      </c>
      <c r="DT124" s="550">
        <f t="shared" ref="DT124" si="1493">ROUNDUP(DT123,0)+(DT123/7)</f>
        <v>13.686173917342323</v>
      </c>
      <c r="DU124" s="550">
        <f t="shared" ref="DU124" si="1494">ROUNDUP(DU123,0)+(DU123/7)</f>
        <v>13.696290960846378</v>
      </c>
      <c r="DV124" s="550">
        <f t="shared" ref="DV124" si="1495">ROUNDUP(DV123,0)+(DV123/7)</f>
        <v>13.706468706611457</v>
      </c>
      <c r="DW124" s="550">
        <f t="shared" ref="DW124" si="1496">ROUNDUP(DW123,0)+(DW123/7)</f>
        <v>14.716707518851125</v>
      </c>
      <c r="DX124" s="550">
        <f t="shared" ref="DX124" si="1497">ROUNDUP(DX123,0)+(DX123/7)</f>
        <v>14.727007763964231</v>
      </c>
      <c r="DY124" s="550">
        <f t="shared" ref="DY124" si="1498">ROUNDUP(DY123,0)+(DY123/7)</f>
        <v>14.737369810548017</v>
      </c>
      <c r="DZ124" s="550">
        <f t="shared" ref="DZ124" si="1499">ROUNDUP(DZ123,0)+(DZ123/7)</f>
        <v>14.747794029411304</v>
      </c>
      <c r="EA124" s="550">
        <f t="shared" ref="EA124" si="1500">ROUNDUP(EA123,0)+(EA123/7)</f>
        <v>14.758280793587772</v>
      </c>
      <c r="EB124" s="550">
        <f t="shared" ref="EB124" si="1501">ROUNDUP(EB123,0)+(EB123/7)</f>
        <v>14.768830478349299</v>
      </c>
      <c r="EC124" s="550">
        <f t="shared" ref="EC124" si="1502">ROUNDUP(EC123,0)+(EC123/7)</f>
        <v>14.779443461219396</v>
      </c>
      <c r="ED124" s="550">
        <f t="shared" ref="ED124" si="1503">ROUNDUP(ED123,0)+(ED123/7)</f>
        <v>14.790120121986712</v>
      </c>
    </row>
    <row r="125" spans="1:134" x14ac:dyDescent="0.25">
      <c r="C125" s="475"/>
    </row>
    <row r="126" spans="1:134" ht="18.75" outlineLevel="1" x14ac:dyDescent="0.3">
      <c r="C126" s="475"/>
      <c r="D126" s="418" t="s">
        <v>280</v>
      </c>
      <c r="E126" s="419"/>
      <c r="F126" s="419"/>
      <c r="G126" s="419"/>
      <c r="H126" s="419"/>
      <c r="I126" s="419"/>
      <c r="J126" s="419"/>
      <c r="K126" s="419"/>
      <c r="L126" s="420"/>
      <c r="M126" s="419"/>
      <c r="N126" s="421" t="s">
        <v>281</v>
      </c>
      <c r="O126" s="419"/>
      <c r="P126" s="419"/>
      <c r="Q126" s="419"/>
      <c r="R126" s="420"/>
      <c r="S126" s="419"/>
      <c r="T126" s="419"/>
      <c r="U126" s="419"/>
      <c r="V126" s="123"/>
      <c r="W126" s="422">
        <f>SUM(V128,V130,V132,V136,V138,V142,V144,V146,V148)</f>
        <v>8</v>
      </c>
      <c r="X126" s="423">
        <f>SUM(W128,W130,W132,W136,W138,W142,W144,W146,W148)</f>
        <v>0</v>
      </c>
      <c r="Y126" s="423">
        <f t="shared" ref="Y126" si="1504">SUM(X128,X130,X132,X136,X138,X142,X144,X146,X148)</f>
        <v>0</v>
      </c>
      <c r="Z126" s="423">
        <f t="shared" ref="Z126" si="1505">SUM(Y128,Y130,Y132,Y136,Y138,Y142,Y144,Y146,Y148)</f>
        <v>0</v>
      </c>
      <c r="AA126" s="423">
        <f t="shared" ref="AA126" si="1506">SUM(Z128,Z130,Z132,Z136,Z138,Z142,Z144,Z146,Z148)</f>
        <v>0</v>
      </c>
      <c r="AB126" s="423">
        <f t="shared" ref="AB126" si="1507">SUM(AA128,AA130,AA132,AA136,AA138,AA142,AA144,AA146,AA148)</f>
        <v>0</v>
      </c>
      <c r="AC126" s="423">
        <f t="shared" ref="AC126" si="1508">SUM(AB128,AB130,AB132,AB136,AB138,AB142,AB144,AB146,AB148)</f>
        <v>0</v>
      </c>
      <c r="AD126" s="423">
        <f t="shared" ref="AD126" si="1509">SUM(AC128,AC130,AC132,AC136,AC138,AC142,AC144,AC146,AC148)</f>
        <v>0</v>
      </c>
      <c r="AE126" s="423">
        <f t="shared" ref="AE126" si="1510">SUM(AD128,AD130,AD132,AD136,AD138,AD142,AD144,AD146,AD148)</f>
        <v>0</v>
      </c>
      <c r="AF126" s="423">
        <f t="shared" ref="AF126" si="1511">SUM(AE128,AE130,AE132,AE136,AE138,AE142,AE144,AE146,AE148)</f>
        <v>0</v>
      </c>
      <c r="AG126" s="423">
        <f t="shared" ref="AG126" si="1512">SUM(AF128,AF130,AF132,AF136,AF138,AF142,AF144,AF146,AF148)</f>
        <v>0</v>
      </c>
      <c r="AH126" s="423">
        <f t="shared" ref="AH126" si="1513">SUM(AG128,AG130,AG132,AG136,AG138,AG142,AG144,AG146,AG148)</f>
        <v>0</v>
      </c>
      <c r="AI126" s="424">
        <f t="shared" ref="AI126" si="1514">SUM(AH128,AH130,AH132,AH136,AH138,AH142,AH144,AH146,AH148)</f>
        <v>0</v>
      </c>
      <c r="AJ126" s="423">
        <f t="shared" ref="AJ126" si="1515">SUM(AI128,AI130,AI132,AI136,AI138,AI142,AI144,AI146,AI148)</f>
        <v>0</v>
      </c>
      <c r="AK126" s="423">
        <f t="shared" ref="AK126" si="1516">SUM(AJ128,AJ130,AJ132,AJ136,AJ138,AJ142,AJ144,AJ146,AJ148)</f>
        <v>0</v>
      </c>
      <c r="AL126" s="423">
        <f t="shared" ref="AL126" si="1517">SUM(AK128,AK130,AK132,AK136,AK138,AK142,AK144,AK146,AK148)</f>
        <v>0</v>
      </c>
      <c r="AM126" s="423">
        <f t="shared" ref="AM126" si="1518">SUM(AL128,AL130,AL132,AL136,AL138,AL142,AL144,AL146,AL148)</f>
        <v>0</v>
      </c>
      <c r="AN126" s="423">
        <f t="shared" ref="AN126" si="1519">SUM(AM128,AM130,AM132,AM136,AM138,AM142,AM144,AM146,AM148)</f>
        <v>0</v>
      </c>
      <c r="AO126" s="423">
        <f t="shared" ref="AO126" si="1520">SUM(AN128,AN130,AN132,AN136,AN138,AN142,AN144,AN146,AN148)</f>
        <v>0</v>
      </c>
      <c r="AP126" s="423">
        <f t="shared" ref="AP126" si="1521">SUM(AO128,AO130,AO132,AO136,AO138,AO142,AO144,AO146,AO148)</f>
        <v>0</v>
      </c>
      <c r="AQ126" s="423">
        <f t="shared" ref="AQ126" si="1522">SUM(AP128,AP130,AP132,AP136,AP138,AP142,AP144,AP146,AP148)</f>
        <v>0</v>
      </c>
      <c r="AR126" s="423">
        <f t="shared" ref="AR126" si="1523">SUM(AQ128,AQ130,AQ132,AQ136,AQ138,AQ142,AQ144,AQ146,AQ148)</f>
        <v>0</v>
      </c>
      <c r="AS126" s="423">
        <f t="shared" ref="AS126" si="1524">SUM(AR128,AR130,AR132,AR136,AR138,AR142,AR144,AR146,AR148)</f>
        <v>0</v>
      </c>
      <c r="AT126" s="423">
        <f t="shared" ref="AT126" si="1525">SUM(AS128,AS130,AS132,AS136,AS138,AS142,AS144,AS146,AS148)</f>
        <v>0</v>
      </c>
      <c r="AU126" s="424">
        <f t="shared" ref="AU126" si="1526">SUM(AT128,AT130,AT132,AT136,AT138,AT142,AT144,AT146,AT148)</f>
        <v>0</v>
      </c>
      <c r="AV126" s="423">
        <f t="shared" ref="AV126" si="1527">SUM(AU128,AU130,AU132,AU136,AU138,AU142,AU144,AU146,AU148)</f>
        <v>0</v>
      </c>
      <c r="AW126" s="423">
        <f t="shared" ref="AW126" si="1528">SUM(AV128,AV130,AV132,AV136,AV138,AV142,AV144,AV146,AV148)</f>
        <v>0</v>
      </c>
      <c r="AX126" s="423">
        <f t="shared" ref="AX126" si="1529">SUM(AW128,AW130,AW132,AW136,AW138,AW142,AW144,AW146,AW148)</f>
        <v>0</v>
      </c>
      <c r="AY126" s="423">
        <f t="shared" ref="AY126" si="1530">SUM(AX128,AX130,AX132,AX136,AX138,AX142,AX144,AX146,AX148)</f>
        <v>0</v>
      </c>
      <c r="AZ126" s="423">
        <f t="shared" ref="AZ126" si="1531">SUM(AY128,AY130,AY132,AY136,AY138,AY142,AY144,AY146,AY148)</f>
        <v>0</v>
      </c>
      <c r="BA126" s="423">
        <f t="shared" ref="BA126" si="1532">SUM(AZ128,AZ130,AZ132,AZ136,AZ138,AZ142,AZ144,AZ146,AZ148)</f>
        <v>0</v>
      </c>
      <c r="BB126" s="423">
        <f t="shared" ref="BB126" si="1533">SUM(BA128,BA130,BA132,BA136,BA138,BA142,BA144,BA146,BA148)</f>
        <v>0</v>
      </c>
      <c r="BC126" s="423">
        <f t="shared" ref="BC126" si="1534">SUM(BB128,BB130,BB132,BB136,BB138,BB142,BB144,BB146,BB148)</f>
        <v>0</v>
      </c>
      <c r="BD126" s="423">
        <f t="shared" ref="BD126" si="1535">SUM(BC128,BC130,BC132,BC136,BC138,BC142,BC144,BC146,BC148)</f>
        <v>0</v>
      </c>
      <c r="BE126" s="423">
        <f t="shared" ref="BE126" si="1536">SUM(BD128,BD130,BD132,BD136,BD138,BD142,BD144,BD146,BD148)</f>
        <v>0</v>
      </c>
      <c r="BF126" s="423">
        <f t="shared" ref="BF126" si="1537">SUM(BE128,BE130,BE132,BE136,BE138,BE142,BE144,BE146,BE148)</f>
        <v>0</v>
      </c>
      <c r="BG126" s="424">
        <f t="shared" ref="BG126" si="1538">SUM(BF128,BF130,BF132,BF136,BF138,BF142,BF144,BF146,BF148)</f>
        <v>0</v>
      </c>
      <c r="BH126" s="423">
        <f t="shared" ref="BH126" si="1539">SUM(BG128,BG130,BG132,BG136,BG138,BG142,BG144,BG146,BG148)</f>
        <v>0</v>
      </c>
      <c r="BI126" s="423">
        <f t="shared" ref="BI126" si="1540">SUM(BH128,BH130,BH132,BH136,BH138,BH142,BH144,BH146,BH148)</f>
        <v>0</v>
      </c>
      <c r="BJ126" s="423">
        <f t="shared" ref="BJ126" si="1541">SUM(BI128,BI130,BI132,BI136,BI138,BI142,BI144,BI146,BI148)</f>
        <v>0</v>
      </c>
      <c r="BK126" s="423">
        <f t="shared" ref="BK126" si="1542">SUM(BJ128,BJ130,BJ132,BJ136,BJ138,BJ142,BJ144,BJ146,BJ148)</f>
        <v>0</v>
      </c>
      <c r="BL126" s="423">
        <f t="shared" ref="BL126" si="1543">SUM(BK128,BK130,BK132,BK136,BK138,BK142,BK144,BK146,BK148)</f>
        <v>0</v>
      </c>
      <c r="BM126" s="423">
        <f t="shared" ref="BM126" si="1544">SUM(BL128,BL130,BL132,BL136,BL138,BL142,BL144,BL146,BL148)</f>
        <v>0</v>
      </c>
      <c r="BN126" s="423">
        <f t="shared" ref="BN126" si="1545">SUM(BM128,BM130,BM132,BM136,BM138,BM142,BM144,BM146,BM148)</f>
        <v>0</v>
      </c>
      <c r="BO126" s="423">
        <f t="shared" ref="BO126" si="1546">SUM(BN128,BN130,BN132,BN136,BN138,BN142,BN144,BN146,BN148)</f>
        <v>0</v>
      </c>
      <c r="BP126" s="423">
        <f t="shared" ref="BP126" si="1547">SUM(BO128,BO130,BO132,BO136,BO138,BO142,BO144,BO146,BO148)</f>
        <v>0</v>
      </c>
      <c r="BQ126" s="423">
        <f t="shared" ref="BQ126" si="1548">SUM(BP128,BP130,BP132,BP136,BP138,BP142,BP144,BP146,BP148)</f>
        <v>0</v>
      </c>
      <c r="BR126" s="423">
        <f t="shared" ref="BR126" si="1549">SUM(BQ128,BQ130,BQ132,BQ136,BQ138,BQ142,BQ144,BQ146,BQ148)</f>
        <v>0</v>
      </c>
      <c r="BS126" s="424">
        <f t="shared" ref="BS126" si="1550">SUM(BR128,BR130,BR132,BR136,BR138,BR142,BR144,BR146,BR148)</f>
        <v>0</v>
      </c>
      <c r="BT126" s="423">
        <f t="shared" ref="BT126" si="1551">SUM(BS128,BS130,BS132,BS136,BS138,BS142,BS144,BS146,BS148)</f>
        <v>0</v>
      </c>
      <c r="BU126" s="423">
        <f t="shared" ref="BU126" si="1552">SUM(BT128,BT130,BT132,BT136,BT138,BT142,BT144,BT146,BT148)</f>
        <v>0</v>
      </c>
      <c r="BV126" s="423">
        <f t="shared" ref="BV126" si="1553">SUM(BU128,BU130,BU132,BU136,BU138,BU142,BU144,BU146,BU148)</f>
        <v>0</v>
      </c>
      <c r="BW126" s="423">
        <f t="shared" ref="BW126" si="1554">SUM(BV128,BV130,BV132,BV136,BV138,BV142,BV144,BV146,BV148)</f>
        <v>0</v>
      </c>
      <c r="BX126" s="423">
        <f t="shared" ref="BX126" si="1555">SUM(BW128,BW130,BW132,BW136,BW138,BW142,BW144,BW146,BW148)</f>
        <v>0</v>
      </c>
      <c r="BY126" s="423">
        <f t="shared" ref="BY126" si="1556">SUM(BX128,BX130,BX132,BX136,BX138,BX142,BX144,BX146,BX148)</f>
        <v>0</v>
      </c>
      <c r="BZ126" s="423">
        <f t="shared" ref="BZ126" si="1557">SUM(BY128,BY130,BY132,BY136,BY138,BY142,BY144,BY146,BY148)</f>
        <v>0</v>
      </c>
      <c r="CA126" s="423">
        <f t="shared" ref="CA126" si="1558">SUM(BZ128,BZ130,BZ132,BZ136,BZ138,BZ142,BZ144,BZ146,BZ148)</f>
        <v>0</v>
      </c>
      <c r="CB126" s="423">
        <f t="shared" ref="CB126" si="1559">SUM(CA128,CA130,CA132,CA136,CA138,CA142,CA144,CA146,CA148)</f>
        <v>0</v>
      </c>
      <c r="CC126" s="423">
        <f t="shared" ref="CC126" si="1560">SUM(CB128,CB130,CB132,CB136,CB138,CB142,CB144,CB146,CB148)</f>
        <v>0</v>
      </c>
      <c r="CD126" s="423">
        <f t="shared" ref="CD126" si="1561">SUM(CC128,CC130,CC132,CC136,CC138,CC142,CC144,CC146,CC148)</f>
        <v>0</v>
      </c>
      <c r="CE126" s="424">
        <f t="shared" ref="CE126" si="1562">SUM(CD128,CD130,CD132,CD136,CD138,CD142,CD144,CD146,CD148)</f>
        <v>0</v>
      </c>
      <c r="CF126" s="423">
        <f t="shared" ref="CF126" si="1563">SUM(CE128,CE130,CE132,CE136,CE138,CE142,CE144,CE146,CE148)</f>
        <v>0</v>
      </c>
      <c r="CG126" s="423">
        <f t="shared" ref="CG126" si="1564">SUM(CF128,CF130,CF132,CF136,CF138,CF142,CF144,CF146,CF148)</f>
        <v>0</v>
      </c>
      <c r="CH126" s="423">
        <f t="shared" ref="CH126" si="1565">SUM(CG128,CG130,CG132,CG136,CG138,CG142,CG144,CG146,CG148)</f>
        <v>0</v>
      </c>
      <c r="CI126" s="423">
        <f t="shared" ref="CI126" si="1566">SUM(CH128,CH130,CH132,CH136,CH138,CH142,CH144,CH146,CH148)</f>
        <v>0</v>
      </c>
      <c r="CJ126" s="423">
        <f t="shared" ref="CJ126" si="1567">SUM(CI128,CI130,CI132,CI136,CI138,CI142,CI144,CI146,CI148)</f>
        <v>0</v>
      </c>
      <c r="CK126" s="423">
        <f t="shared" ref="CK126" si="1568">SUM(CJ128,CJ130,CJ132,CJ136,CJ138,CJ142,CJ144,CJ146,CJ148)</f>
        <v>0</v>
      </c>
      <c r="CL126" s="423">
        <f t="shared" ref="CL126" si="1569">SUM(CK128,CK130,CK132,CK136,CK138,CK142,CK144,CK146,CK148)</f>
        <v>0</v>
      </c>
      <c r="CM126" s="423">
        <f t="shared" ref="CM126" si="1570">SUM(CL128,CL130,CL132,CL136,CL138,CL142,CL144,CL146,CL148)</f>
        <v>0</v>
      </c>
      <c r="CN126" s="423">
        <f t="shared" ref="CN126" si="1571">SUM(CM128,CM130,CM132,CM136,CM138,CM142,CM144,CM146,CM148)</f>
        <v>0</v>
      </c>
      <c r="CO126" s="423">
        <f t="shared" ref="CO126" si="1572">SUM(CN128,CN130,CN132,CN136,CN138,CN142,CN144,CN146,CN148)</f>
        <v>0</v>
      </c>
      <c r="CP126" s="423">
        <f t="shared" ref="CP126" si="1573">SUM(CO128,CO130,CO132,CO136,CO138,CO142,CO144,CO146,CO148)</f>
        <v>0</v>
      </c>
      <c r="CQ126" s="424">
        <f t="shared" ref="CQ126" si="1574">SUM(CP128,CP130,CP132,CP136,CP138,CP142,CP144,CP146,CP148)</f>
        <v>0</v>
      </c>
      <c r="CR126" s="423">
        <f t="shared" ref="CR126" si="1575">SUM(CQ128,CQ130,CQ132,CQ136,CQ138,CQ142,CQ144,CQ146,CQ148)</f>
        <v>0</v>
      </c>
      <c r="CS126" s="423">
        <f t="shared" ref="CS126" si="1576">SUM(CR128,CR130,CR132,CR136,CR138,CR142,CR144,CR146,CR148)</f>
        <v>0</v>
      </c>
      <c r="CT126" s="423">
        <f t="shared" ref="CT126" si="1577">SUM(CS128,CS130,CS132,CS136,CS138,CS142,CS144,CS146,CS148)</f>
        <v>0</v>
      </c>
      <c r="CU126" s="423">
        <f t="shared" ref="CU126" si="1578">SUM(CT128,CT130,CT132,CT136,CT138,CT142,CT144,CT146,CT148)</f>
        <v>0</v>
      </c>
      <c r="CV126" s="423">
        <f t="shared" ref="CV126" si="1579">SUM(CU128,CU130,CU132,CU136,CU138,CU142,CU144,CU146,CU148)</f>
        <v>0</v>
      </c>
      <c r="CW126" s="423">
        <f t="shared" ref="CW126" si="1580">SUM(CV128,CV130,CV132,CV136,CV138,CV142,CV144,CV146,CV148)</f>
        <v>0</v>
      </c>
      <c r="CX126" s="423">
        <f t="shared" ref="CX126" si="1581">SUM(CW128,CW130,CW132,CW136,CW138,CW142,CW144,CW146,CW148)</f>
        <v>0</v>
      </c>
      <c r="CY126" s="423">
        <f t="shared" ref="CY126" si="1582">SUM(CX128,CX130,CX132,CX136,CX138,CX142,CX144,CX146,CX148)</f>
        <v>0</v>
      </c>
      <c r="CZ126" s="423">
        <f t="shared" ref="CZ126" si="1583">SUM(CY128,CY130,CY132,CY136,CY138,CY142,CY144,CY146,CY148)</f>
        <v>0</v>
      </c>
      <c r="DA126" s="423">
        <f t="shared" ref="DA126" si="1584">SUM(CZ128,CZ130,CZ132,CZ136,CZ138,CZ142,CZ144,CZ146,CZ148)</f>
        <v>0</v>
      </c>
      <c r="DB126" s="423">
        <f t="shared" ref="DB126" si="1585">SUM(DA128,DA130,DA132,DA136,DA138,DA142,DA144,DA146,DA148)</f>
        <v>0</v>
      </c>
      <c r="DC126" s="424">
        <f t="shared" ref="DC126" si="1586">SUM(DB128,DB130,DB132,DB136,DB138,DB142,DB144,DB146,DB148)</f>
        <v>0</v>
      </c>
      <c r="DD126" s="423">
        <f t="shared" ref="DD126" si="1587">SUM(DC128,DC130,DC132,DC136,DC138,DC142,DC144,DC146,DC148)</f>
        <v>0</v>
      </c>
      <c r="DE126" s="423">
        <f t="shared" ref="DE126" si="1588">SUM(DD128,DD130,DD132,DD136,DD138,DD142,DD144,DD146,DD148)</f>
        <v>0</v>
      </c>
      <c r="DF126" s="423">
        <f t="shared" ref="DF126" si="1589">SUM(DE128,DE130,DE132,DE136,DE138,DE142,DE144,DE146,DE148)</f>
        <v>0</v>
      </c>
      <c r="DG126" s="423">
        <f t="shared" ref="DG126" si="1590">SUM(DF128,DF130,DF132,DF136,DF138,DF142,DF144,DF146,DF148)</f>
        <v>0</v>
      </c>
      <c r="DH126" s="423">
        <f t="shared" ref="DH126" si="1591">SUM(DG128,DG130,DG132,DG136,DG138,DG142,DG144,DG146,DG148)</f>
        <v>0</v>
      </c>
      <c r="DI126" s="423">
        <f t="shared" ref="DI126" si="1592">SUM(DH128,DH130,DH132,DH136,DH138,DH142,DH144,DH146,DH148)</f>
        <v>0</v>
      </c>
      <c r="DJ126" s="423">
        <f t="shared" ref="DJ126" si="1593">SUM(DI128,DI130,DI132,DI136,DI138,DI142,DI144,DI146,DI148)</f>
        <v>0</v>
      </c>
      <c r="DK126" s="423">
        <f t="shared" ref="DK126" si="1594">SUM(DJ128,DJ130,DJ132,DJ136,DJ138,DJ142,DJ144,DJ146,DJ148)</f>
        <v>0</v>
      </c>
      <c r="DL126" s="423">
        <f t="shared" ref="DL126" si="1595">SUM(DK128,DK130,DK132,DK136,DK138,DK142,DK144,DK146,DK148)</f>
        <v>0</v>
      </c>
      <c r="DM126" s="423">
        <f t="shared" ref="DM126" si="1596">SUM(DL128,DL130,DL132,DL136,DL138,DL142,DL144,DL146,DL148)</f>
        <v>0</v>
      </c>
      <c r="DN126" s="423">
        <f t="shared" ref="DN126" si="1597">SUM(DM128,DM130,DM132,DM136,DM138,DM142,DM144,DM146,DM148)</f>
        <v>0</v>
      </c>
      <c r="DO126" s="424">
        <f t="shared" ref="DO126" si="1598">SUM(DN128,DN130,DN132,DN136,DN138,DN142,DN144,DN146,DN148)</f>
        <v>0</v>
      </c>
      <c r="DP126" s="423">
        <f t="shared" ref="DP126" si="1599">SUM(DO128,DO130,DO132,DO136,DO138,DO142,DO144,DO146,DO148)</f>
        <v>0</v>
      </c>
      <c r="DQ126" s="423">
        <f t="shared" ref="DQ126" si="1600">SUM(DP128,DP130,DP132,DP136,DP138,DP142,DP144,DP146,DP148)</f>
        <v>0</v>
      </c>
      <c r="DR126" s="423">
        <f t="shared" ref="DR126" si="1601">SUM(DQ128,DQ130,DQ132,DQ136,DQ138,DQ142,DQ144,DQ146,DQ148)</f>
        <v>0</v>
      </c>
      <c r="DS126" s="423">
        <f t="shared" ref="DS126" si="1602">SUM(DR128,DR130,DR132,DR136,DR138,DR142,DR144,DR146,DR148)</f>
        <v>0</v>
      </c>
      <c r="DT126" s="423">
        <f t="shared" ref="DT126" si="1603">SUM(DS128,DS130,DS132,DS136,DS138,DS142,DS144,DS146,DS148)</f>
        <v>0</v>
      </c>
      <c r="DU126" s="423">
        <f t="shared" ref="DU126" si="1604">SUM(DT128,DT130,DT132,DT136,DT138,DT142,DT144,DT146,DT148)</f>
        <v>0</v>
      </c>
      <c r="DV126" s="423">
        <f t="shared" ref="DV126" si="1605">SUM(DU128,DU130,DU132,DU136,DU138,DU142,DU144,DU146,DU148)</f>
        <v>0</v>
      </c>
      <c r="DW126" s="423">
        <f t="shared" ref="DW126" si="1606">SUM(DV128,DV130,DV132,DV136,DV138,DV142,DV144,DV146,DV148)</f>
        <v>0</v>
      </c>
      <c r="DX126" s="423">
        <f t="shared" ref="DX126" si="1607">SUM(DW128,DW130,DW132,DW136,DW138,DW142,DW144,DW146,DW148)</f>
        <v>0</v>
      </c>
      <c r="DY126" s="423">
        <f t="shared" ref="DY126" si="1608">SUM(DX128,DX130,DX132,DX136,DX138,DX142,DX144,DX146,DX148)</f>
        <v>0</v>
      </c>
      <c r="DZ126" s="423">
        <f t="shared" ref="DZ126" si="1609">SUM(DY128,DY130,DY132,DY136,DY138,DY142,DY144,DY146,DY148)</f>
        <v>0</v>
      </c>
      <c r="EA126" s="424">
        <f t="shared" ref="EA126" si="1610">SUM(DZ128,DZ130,DZ132,DZ136,DZ138,DZ142,DZ144,DZ146,DZ148)</f>
        <v>0</v>
      </c>
      <c r="EB126" s="423">
        <f t="shared" ref="EB126" si="1611">SUM(EA128,EA130,EA132,EA136,EA138,EA142,EA144,EA146,EA148)</f>
        <v>0</v>
      </c>
      <c r="EC126" s="423">
        <f t="shared" ref="EC126" si="1612">SUM(EB128,EB130,EB132,EB136,EB138,EB142,EB144,EB146,EB148)</f>
        <v>0</v>
      </c>
      <c r="ED126" s="425">
        <f t="shared" ref="ED126" si="1613">SUM(EC128,EC130,EC132,EC136,EC138,EC142,EC144,EC146,EC148)</f>
        <v>0</v>
      </c>
    </row>
    <row r="127" spans="1:134" outlineLevel="1" x14ac:dyDescent="0.25">
      <c r="A127">
        <v>8.1</v>
      </c>
      <c r="B127" t="s">
        <v>282</v>
      </c>
      <c r="C127" s="475"/>
      <c r="D127" s="743" t="s">
        <v>283</v>
      </c>
      <c r="E127" s="743"/>
      <c r="F127" s="743"/>
      <c r="G127" s="743"/>
      <c r="H127" s="743"/>
      <c r="I127" s="743"/>
      <c r="J127" s="743"/>
      <c r="K127" s="743"/>
      <c r="L127" s="420"/>
      <c r="M127" s="419"/>
      <c r="N127" s="426">
        <f>M127/100</f>
        <v>0</v>
      </c>
      <c r="O127" s="427"/>
      <c r="P127" s="427"/>
      <c r="Q127" s="427"/>
      <c r="R127" s="428">
        <f>P127-N127</f>
        <v>0</v>
      </c>
      <c r="S127" s="429">
        <f>Q127*100</f>
        <v>0</v>
      </c>
      <c r="T127" s="429"/>
      <c r="U127" s="419"/>
      <c r="V127" s="123"/>
      <c r="W127" s="430">
        <f>M127</f>
        <v>0</v>
      </c>
      <c r="X127" s="431">
        <f>W127</f>
        <v>0</v>
      </c>
      <c r="Y127" s="431">
        <f>X127</f>
        <v>0</v>
      </c>
      <c r="Z127" s="431">
        <f>O127*100</f>
        <v>0</v>
      </c>
      <c r="AA127" s="431">
        <f>Z127</f>
        <v>0</v>
      </c>
      <c r="AB127" s="431">
        <f>AA127</f>
        <v>0</v>
      </c>
      <c r="AC127" s="431">
        <f>P127*100</f>
        <v>0</v>
      </c>
      <c r="AD127" s="431">
        <f>AC127</f>
        <v>0</v>
      </c>
      <c r="AE127" s="431">
        <f>AD127</f>
        <v>0</v>
      </c>
      <c r="AF127" s="431">
        <f>AE127</f>
        <v>0</v>
      </c>
      <c r="AG127" s="431">
        <f>AF127</f>
        <v>0</v>
      </c>
      <c r="AH127" s="431">
        <f>AG127</f>
        <v>0</v>
      </c>
      <c r="AI127" s="432">
        <f>(((AH127*(1+($B$36*$B$4)))-AH127)/12)+AH127</f>
        <v>0</v>
      </c>
      <c r="AJ127" s="431">
        <f t="shared" ref="AJ127" si="1614">(((AI127*(1+($B$36*$B$4)))-AI127)/12)+AI127</f>
        <v>0</v>
      </c>
      <c r="AK127" s="431">
        <f t="shared" ref="AK127" si="1615">(((AJ127*(1+($B$36*$B$4)))-AJ127)/12)+AJ127</f>
        <v>0</v>
      </c>
      <c r="AL127" s="431">
        <f t="shared" ref="AL127" si="1616">(((AK127*(1+($B$36*$B$4)))-AK127)/12)+AK127</f>
        <v>0</v>
      </c>
      <c r="AM127" s="431">
        <f t="shared" ref="AM127" si="1617">(((AL127*(1+($B$36*$B$4)))-AL127)/12)+AL127</f>
        <v>0</v>
      </c>
      <c r="AN127" s="431">
        <f t="shared" ref="AN127" si="1618">(((AM127*(1+($B$36*$B$4)))-AM127)/12)+AM127</f>
        <v>0</v>
      </c>
      <c r="AO127" s="431">
        <f t="shared" ref="AO127" si="1619">(((AN127*(1+($B$36*$B$4)))-AN127)/12)+AN127</f>
        <v>0</v>
      </c>
      <c r="AP127" s="431">
        <f t="shared" ref="AP127" si="1620">(((AO127*(1+($B$36*$B$4)))-AO127)/12)+AO127</f>
        <v>0</v>
      </c>
      <c r="AQ127" s="431">
        <f t="shared" ref="AQ127" si="1621">(((AP127*(1+($B$36*$B$4)))-AP127)/12)+AP127</f>
        <v>0</v>
      </c>
      <c r="AR127" s="431">
        <f t="shared" ref="AR127" si="1622">(((AQ127*(1+($B$36*$B$4)))-AQ127)/12)+AQ127</f>
        <v>0</v>
      </c>
      <c r="AS127" s="431">
        <f t="shared" ref="AS127" si="1623">(((AR127*(1+($B$36*$B$4)))-AR127)/12)+AR127</f>
        <v>0</v>
      </c>
      <c r="AT127" s="431">
        <f t="shared" ref="AT127" si="1624">(((AS127*(1+($B$36*$B$4)))-AS127)/12)+AS127</f>
        <v>0</v>
      </c>
      <c r="AU127" s="432">
        <f t="shared" ref="AU127" si="1625">(((AT127*(1+($B$37*$B$4)))-AT127)/12)+AT127</f>
        <v>0</v>
      </c>
      <c r="AV127" s="431">
        <f t="shared" ref="AV127" si="1626">(((AU127*(1+($B$37*$B$4)))-AU127)/12)+AU127</f>
        <v>0</v>
      </c>
      <c r="AW127" s="431">
        <f t="shared" ref="AW127" si="1627">(((AV127*(1+($B$37*$B$4)))-AV127)/12)+AV127</f>
        <v>0</v>
      </c>
      <c r="AX127" s="431">
        <f t="shared" ref="AX127" si="1628">(((AW127*(1+($B$37*$B$4)))-AW127)/12)+AW127</f>
        <v>0</v>
      </c>
      <c r="AY127" s="431">
        <f t="shared" ref="AY127" si="1629">(((AX127*(1+($B$37*$B$4)))-AX127)/12)+AX127</f>
        <v>0</v>
      </c>
      <c r="AZ127" s="431">
        <f t="shared" ref="AZ127" si="1630">(((AY127*(1+($B$37*$B$4)))-AY127)/12)+AY127</f>
        <v>0</v>
      </c>
      <c r="BA127" s="431">
        <f t="shared" ref="BA127" si="1631">(((AZ127*(1+($B$37*$B$4)))-AZ127)/12)+AZ127</f>
        <v>0</v>
      </c>
      <c r="BB127" s="431">
        <f t="shared" ref="BB127" si="1632">(((BA127*(1+($B$37*$B$4)))-BA127)/12)+BA127</f>
        <v>0</v>
      </c>
      <c r="BC127" s="431">
        <f t="shared" ref="BC127" si="1633">(((BB127*(1+($B$37*$B$4)))-BB127)/12)+BB127</f>
        <v>0</v>
      </c>
      <c r="BD127" s="431">
        <f t="shared" ref="BD127" si="1634">(((BC127*(1+($B$37*$B$4)))-BC127)/12)+BC127</f>
        <v>0</v>
      </c>
      <c r="BE127" s="431">
        <f t="shared" ref="BE127" si="1635">(((BD127*(1+($B$37*$B$4)))-BD127)/12)+BD127</f>
        <v>0</v>
      </c>
      <c r="BF127" s="431">
        <f t="shared" ref="BF127" si="1636">(((BE127*(1+($B$37*$B$4)))-BE127)/12)+BE127</f>
        <v>0</v>
      </c>
      <c r="BG127" s="432">
        <f t="shared" ref="BG127" si="1637">(((BF127*(1+($B$38*$B$4)))-BF127)/12)+BF127</f>
        <v>0</v>
      </c>
      <c r="BH127" s="431">
        <f t="shared" ref="BH127" si="1638">(((BG127*(1+($B$38*$B$4)))-BG127)/12)+BG127</f>
        <v>0</v>
      </c>
      <c r="BI127" s="431">
        <f t="shared" ref="BI127" si="1639">(((BH127*(1+($B$38*$B$4)))-BH127)/12)+BH127</f>
        <v>0</v>
      </c>
      <c r="BJ127" s="431">
        <f t="shared" ref="BJ127" si="1640">(((BI127*(1+($B$38*$B$4)))-BI127)/12)+BI127</f>
        <v>0</v>
      </c>
      <c r="BK127" s="431">
        <f t="shared" ref="BK127" si="1641">(((BJ127*(1+($B$38*$B$4)))-BJ127)/12)+BJ127</f>
        <v>0</v>
      </c>
      <c r="BL127" s="431">
        <f t="shared" ref="BL127" si="1642">(((BK127*(1+($B$38*$B$4)))-BK127)/12)+BK127</f>
        <v>0</v>
      </c>
      <c r="BM127" s="431">
        <f t="shared" ref="BM127" si="1643">(((BL127*(1+($B$38*$B$4)))-BL127)/12)+BL127</f>
        <v>0</v>
      </c>
      <c r="BN127" s="431">
        <f t="shared" ref="BN127" si="1644">(((BM127*(1+($B$38*$B$4)))-BM127)/12)+BM127</f>
        <v>0</v>
      </c>
      <c r="BO127" s="431">
        <f t="shared" ref="BO127" si="1645">(((BN127*(1+($B$38*$B$4)))-BN127)/12)+BN127</f>
        <v>0</v>
      </c>
      <c r="BP127" s="431">
        <f t="shared" ref="BP127" si="1646">(((BO127*(1+($B$38*$B$4)))-BO127)/12)+BO127</f>
        <v>0</v>
      </c>
      <c r="BQ127" s="431">
        <f t="shared" ref="BQ127" si="1647">(((BP127*(1+($B$38*$B$4)))-BP127)/12)+BP127</f>
        <v>0</v>
      </c>
      <c r="BR127" s="431">
        <f t="shared" ref="BR127" si="1648">(((BQ127*(1+($B$38*$B$4)))-BQ127)/12)+BQ127</f>
        <v>0</v>
      </c>
      <c r="BS127" s="432">
        <f t="shared" ref="BS127" si="1649">(((BR127*(1+($B$39*$B$4)))-BR127)/12)+BR127</f>
        <v>0</v>
      </c>
      <c r="BT127" s="431">
        <f t="shared" ref="BT127" si="1650">(((BS127*(1+($B$39*$B$4)))-BS127)/12)+BS127</f>
        <v>0</v>
      </c>
      <c r="BU127" s="431">
        <f t="shared" ref="BU127" si="1651">(((BT127*(1+($B$39*$B$4)))-BT127)/12)+BT127</f>
        <v>0</v>
      </c>
      <c r="BV127" s="431">
        <f t="shared" ref="BV127" si="1652">(((BU127*(1+($B$39*$B$4)))-BU127)/12)+BU127</f>
        <v>0</v>
      </c>
      <c r="BW127" s="431">
        <f t="shared" ref="BW127" si="1653">(((BV127*(1+($B$39*$B$4)))-BV127)/12)+BV127</f>
        <v>0</v>
      </c>
      <c r="BX127" s="431">
        <f t="shared" ref="BX127" si="1654">(((BW127*(1+($B$39*$B$4)))-BW127)/12)+BW127</f>
        <v>0</v>
      </c>
      <c r="BY127" s="431">
        <f t="shared" ref="BY127" si="1655">(((BX127*(1+($B$39*$B$4)))-BX127)/12)+BX127</f>
        <v>0</v>
      </c>
      <c r="BZ127" s="431">
        <f t="shared" ref="BZ127" si="1656">(((BY127*(1+($B$39*$B$4)))-BY127)/12)+BY127</f>
        <v>0</v>
      </c>
      <c r="CA127" s="431">
        <f t="shared" ref="CA127" si="1657">(((BZ127*(1+($B$39*$B$4)))-BZ127)/12)+BZ127</f>
        <v>0</v>
      </c>
      <c r="CB127" s="431">
        <f t="shared" ref="CB127" si="1658">(((CA127*(1+($B$39*$B$4)))-CA127)/12)+CA127</f>
        <v>0</v>
      </c>
      <c r="CC127" s="431">
        <f t="shared" ref="CC127" si="1659">(((CB127*(1+($B$39*$B$4)))-CB127)/12)+CB127</f>
        <v>0</v>
      </c>
      <c r="CD127" s="431">
        <f t="shared" ref="CD127" si="1660">(((CC127*(1+($B$39*$B$4)))-CC127)/12)+CC127</f>
        <v>0</v>
      </c>
      <c r="CE127" s="432">
        <f t="shared" ref="CE127" si="1661">(((CD127*(1+($B$40*$B$4)))-CD127)/12)+CD127</f>
        <v>0</v>
      </c>
      <c r="CF127" s="431">
        <f t="shared" ref="CF127" si="1662">(((CE127*(1+($B$40*$B$4)))-CE127)/12)+CE127</f>
        <v>0</v>
      </c>
      <c r="CG127" s="431">
        <f t="shared" ref="CG127" si="1663">(((CF127*(1+($B$40*$B$4)))-CF127)/12)+CF127</f>
        <v>0</v>
      </c>
      <c r="CH127" s="431">
        <f t="shared" ref="CH127" si="1664">(((CG127*(1+($B$40*$B$4)))-CG127)/12)+CG127</f>
        <v>0</v>
      </c>
      <c r="CI127" s="431">
        <f t="shared" ref="CI127" si="1665">(((CH127*(1+($B$40*$B$4)))-CH127)/12)+CH127</f>
        <v>0</v>
      </c>
      <c r="CJ127" s="431">
        <f t="shared" ref="CJ127" si="1666">(((CI127*(1+($B$40*$B$4)))-CI127)/12)+CI127</f>
        <v>0</v>
      </c>
      <c r="CK127" s="431">
        <f t="shared" ref="CK127" si="1667">(((CJ127*(1+($B$40*$B$4)))-CJ127)/12)+CJ127</f>
        <v>0</v>
      </c>
      <c r="CL127" s="431">
        <f t="shared" ref="CL127" si="1668">(((CK127*(1+($B$40*$B$4)))-CK127)/12)+CK127</f>
        <v>0</v>
      </c>
      <c r="CM127" s="431">
        <f t="shared" ref="CM127" si="1669">(((CL127*(1+($B$40*$B$4)))-CL127)/12)+CL127</f>
        <v>0</v>
      </c>
      <c r="CN127" s="431">
        <f t="shared" ref="CN127" si="1670">(((CM127*(1+($B$40*$B$4)))-CM127)/12)+CM127</f>
        <v>0</v>
      </c>
      <c r="CO127" s="431">
        <f t="shared" ref="CO127" si="1671">(((CN127*(1+($B$40*$B$4)))-CN127)/12)+CN127</f>
        <v>0</v>
      </c>
      <c r="CP127" s="431">
        <f t="shared" ref="CP127" si="1672">(((CO127*(1+($B$40*$B$4)))-CO127)/12)+CO127</f>
        <v>0</v>
      </c>
      <c r="CQ127" s="432">
        <f t="shared" ref="CQ127" si="1673">(((CP127*(1+($B$41*$B$4)))-CP127)/12)+CP127</f>
        <v>0</v>
      </c>
      <c r="CR127" s="431">
        <f t="shared" ref="CR127" si="1674">(((CQ127*(1+($B$41*$B$4)))-CQ127)/12)+CQ127</f>
        <v>0</v>
      </c>
      <c r="CS127" s="431">
        <f t="shared" ref="CS127" si="1675">(((CR127*(1+($B$41*$B$4)))-CR127)/12)+CR127</f>
        <v>0</v>
      </c>
      <c r="CT127" s="431">
        <f t="shared" ref="CT127" si="1676">(((CS127*(1+($B$41*$B$4)))-CS127)/12)+CS127</f>
        <v>0</v>
      </c>
      <c r="CU127" s="431">
        <f t="shared" ref="CU127" si="1677">(((CT127*(1+($B$41*$B$4)))-CT127)/12)+CT127</f>
        <v>0</v>
      </c>
      <c r="CV127" s="431">
        <f t="shared" ref="CV127" si="1678">(((CU127*(1+($B$41*$B$4)))-CU127)/12)+CU127</f>
        <v>0</v>
      </c>
      <c r="CW127" s="431">
        <f t="shared" ref="CW127" si="1679">(((CV127*(1+($B$41*$B$4)))-CV127)/12)+CV127</f>
        <v>0</v>
      </c>
      <c r="CX127" s="431">
        <f t="shared" ref="CX127" si="1680">(((CW127*(1+($B$41*$B$4)))-CW127)/12)+CW127</f>
        <v>0</v>
      </c>
      <c r="CY127" s="431">
        <f t="shared" ref="CY127" si="1681">(((CX127*(1+($B$41*$B$4)))-CX127)/12)+CX127</f>
        <v>0</v>
      </c>
      <c r="CZ127" s="431">
        <f t="shared" ref="CZ127" si="1682">(((CY127*(1+($B$41*$B$4)))-CY127)/12)+CY127</f>
        <v>0</v>
      </c>
      <c r="DA127" s="431">
        <f t="shared" ref="DA127" si="1683">(((CZ127*(1+($B$41*$B$4)))-CZ127)/12)+CZ127</f>
        <v>0</v>
      </c>
      <c r="DB127" s="431">
        <f t="shared" ref="DB127" si="1684">(((DA127*(1+($B$41*$B$4)))-DA127)/12)+DA127</f>
        <v>0</v>
      </c>
      <c r="DC127" s="432">
        <f t="shared" ref="DC127" si="1685">(((DB127*(1+($B$42*$B$4)))-DB127)/12)+DB127</f>
        <v>0</v>
      </c>
      <c r="DD127" s="431">
        <f t="shared" ref="DD127" si="1686">(((DC127*(1+($B$42*$B$4)))-DC127)/12)+DC127</f>
        <v>0</v>
      </c>
      <c r="DE127" s="431">
        <f t="shared" ref="DE127" si="1687">(((DD127*(1+($B$42*$B$4)))-DD127)/12)+DD127</f>
        <v>0</v>
      </c>
      <c r="DF127" s="431">
        <f t="shared" ref="DF127" si="1688">(((DE127*(1+($B$42*$B$4)))-DE127)/12)+DE127</f>
        <v>0</v>
      </c>
      <c r="DG127" s="431">
        <f t="shared" ref="DG127" si="1689">(((DF127*(1+($B$42*$B$4)))-DF127)/12)+DF127</f>
        <v>0</v>
      </c>
      <c r="DH127" s="431">
        <f t="shared" ref="DH127" si="1690">(((DG127*(1+($B$42*$B$4)))-DG127)/12)+DG127</f>
        <v>0</v>
      </c>
      <c r="DI127" s="431">
        <f t="shared" ref="DI127" si="1691">(((DH127*(1+($B$42*$B$4)))-DH127)/12)+DH127</f>
        <v>0</v>
      </c>
      <c r="DJ127" s="431">
        <f t="shared" ref="DJ127" si="1692">(((DI127*(1+($B$42*$B$4)))-DI127)/12)+DI127</f>
        <v>0</v>
      </c>
      <c r="DK127" s="431">
        <f t="shared" ref="DK127" si="1693">(((DJ127*(1+($B$42*$B$4)))-DJ127)/12)+DJ127</f>
        <v>0</v>
      </c>
      <c r="DL127" s="431">
        <f t="shared" ref="DL127" si="1694">(((DK127*(1+($B$42*$B$4)))-DK127)/12)+DK127</f>
        <v>0</v>
      </c>
      <c r="DM127" s="431">
        <f t="shared" ref="DM127" si="1695">(((DL127*(1+($B$42*$B$4)))-DL127)/12)+DL127</f>
        <v>0</v>
      </c>
      <c r="DN127" s="431">
        <f t="shared" ref="DN127" si="1696">(((DM127*(1+($B$42*$B$4)))-DM127)/12)+DM127</f>
        <v>0</v>
      </c>
      <c r="DO127" s="432">
        <f t="shared" ref="DO127" si="1697">(((DN127*(1+($B$43*$B$4)))-DN127)/12)+DN127</f>
        <v>0</v>
      </c>
      <c r="DP127" s="431">
        <f t="shared" ref="DP127" si="1698">(((DO127*(1+($B$43*$B$4)))-DO127)/12)+DO127</f>
        <v>0</v>
      </c>
      <c r="DQ127" s="431">
        <f t="shared" ref="DQ127" si="1699">(((DP127*(1+($B$43*$B$4)))-DP127)/12)+DP127</f>
        <v>0</v>
      </c>
      <c r="DR127" s="431">
        <f t="shared" ref="DR127" si="1700">(((DQ127*(1+($B$43*$B$4)))-DQ127)/12)+DQ127</f>
        <v>0</v>
      </c>
      <c r="DS127" s="431">
        <f t="shared" ref="DS127" si="1701">(((DR127*(1+($B$43*$B$4)))-DR127)/12)+DR127</f>
        <v>0</v>
      </c>
      <c r="DT127" s="431">
        <f t="shared" ref="DT127" si="1702">(((DS127*(1+($B$43*$B$4)))-DS127)/12)+DS127</f>
        <v>0</v>
      </c>
      <c r="DU127" s="431">
        <f t="shared" ref="DU127" si="1703">(((DT127*(1+($B$43*$B$4)))-DT127)/12)+DT127</f>
        <v>0</v>
      </c>
      <c r="DV127" s="431">
        <f t="shared" ref="DV127" si="1704">(((DU127*(1+($B$43*$B$4)))-DU127)/12)+DU127</f>
        <v>0</v>
      </c>
      <c r="DW127" s="431">
        <f t="shared" ref="DW127" si="1705">(((DV127*(1+($B$43*$B$4)))-DV127)/12)+DV127</f>
        <v>0</v>
      </c>
      <c r="DX127" s="431">
        <f t="shared" ref="DX127" si="1706">(((DW127*(1+($B$43*$B$4)))-DW127)/12)+DW127</f>
        <v>0</v>
      </c>
      <c r="DY127" s="431">
        <f t="shared" ref="DY127" si="1707">(((DX127*(1+($B$43*$B$4)))-DX127)/12)+DX127</f>
        <v>0</v>
      </c>
      <c r="DZ127" s="431">
        <f t="shared" ref="DZ127" si="1708">(((DY127*(1+($B$43*$B$4)))-DY127)/12)+DY127</f>
        <v>0</v>
      </c>
      <c r="EA127" s="432">
        <f>(((DZ127*(1+($B$44*$B$4)))-DZ127)/12)+DZ127</f>
        <v>0</v>
      </c>
      <c r="EB127" s="431">
        <f>(((EA127*(1+($B$44*$B$4)))-EA127)/12)+EA127</f>
        <v>0</v>
      </c>
      <c r="EC127" s="431">
        <f>(((EB127*(1+($B$44*$B$4)))-EB127)/12)+EB127</f>
        <v>0</v>
      </c>
      <c r="ED127" s="433">
        <f>(((EC127*(1+($B$44*$B$4)))-EC127)/12)+EC127</f>
        <v>0</v>
      </c>
    </row>
    <row r="128" spans="1:134" outlineLevel="1" x14ac:dyDescent="0.25">
      <c r="A128">
        <v>4.2</v>
      </c>
      <c r="B128" t="s">
        <v>284</v>
      </c>
      <c r="C128" s="475"/>
      <c r="D128" s="744"/>
      <c r="E128" s="744"/>
      <c r="F128" s="744"/>
      <c r="G128" s="744"/>
      <c r="H128" s="744"/>
      <c r="I128" s="744"/>
      <c r="J128" s="744"/>
      <c r="K128" s="744"/>
      <c r="L128" s="434"/>
      <c r="M128" s="435"/>
      <c r="N128" s="436"/>
      <c r="O128" s="437"/>
      <c r="P128" s="437"/>
      <c r="Q128" s="437"/>
      <c r="R128" s="438"/>
      <c r="S128" s="439"/>
      <c r="T128" s="439"/>
      <c r="U128" s="435"/>
      <c r="V128" s="440">
        <v>1</v>
      </c>
      <c r="W128" s="441">
        <f>ROUNDUP($V128*(W127/100)/0.8,0)</f>
        <v>0</v>
      </c>
      <c r="X128" s="442">
        <f t="shared" ref="X128:CI128" si="1709">ROUNDUP($V128*(X127/100)/0.8,0)</f>
        <v>0</v>
      </c>
      <c r="Y128" s="442">
        <f t="shared" si="1709"/>
        <v>0</v>
      </c>
      <c r="Z128" s="442">
        <f t="shared" si="1709"/>
        <v>0</v>
      </c>
      <c r="AA128" s="442">
        <f t="shared" si="1709"/>
        <v>0</v>
      </c>
      <c r="AB128" s="442">
        <f t="shared" si="1709"/>
        <v>0</v>
      </c>
      <c r="AC128" s="442">
        <f t="shared" si="1709"/>
        <v>0</v>
      </c>
      <c r="AD128" s="442">
        <f t="shared" si="1709"/>
        <v>0</v>
      </c>
      <c r="AE128" s="442">
        <f t="shared" si="1709"/>
        <v>0</v>
      </c>
      <c r="AF128" s="442">
        <f t="shared" si="1709"/>
        <v>0</v>
      </c>
      <c r="AG128" s="442">
        <f t="shared" si="1709"/>
        <v>0</v>
      </c>
      <c r="AH128" s="442">
        <f t="shared" si="1709"/>
        <v>0</v>
      </c>
      <c r="AI128" s="443">
        <f t="shared" si="1709"/>
        <v>0</v>
      </c>
      <c r="AJ128" s="442">
        <f t="shared" si="1709"/>
        <v>0</v>
      </c>
      <c r="AK128" s="442">
        <f t="shared" si="1709"/>
        <v>0</v>
      </c>
      <c r="AL128" s="442">
        <f t="shared" si="1709"/>
        <v>0</v>
      </c>
      <c r="AM128" s="442">
        <f t="shared" si="1709"/>
        <v>0</v>
      </c>
      <c r="AN128" s="442">
        <f t="shared" si="1709"/>
        <v>0</v>
      </c>
      <c r="AO128" s="442">
        <f t="shared" si="1709"/>
        <v>0</v>
      </c>
      <c r="AP128" s="442">
        <f t="shared" si="1709"/>
        <v>0</v>
      </c>
      <c r="AQ128" s="442">
        <f t="shared" si="1709"/>
        <v>0</v>
      </c>
      <c r="AR128" s="442">
        <f t="shared" si="1709"/>
        <v>0</v>
      </c>
      <c r="AS128" s="442">
        <f t="shared" si="1709"/>
        <v>0</v>
      </c>
      <c r="AT128" s="442">
        <f t="shared" si="1709"/>
        <v>0</v>
      </c>
      <c r="AU128" s="443">
        <f t="shared" si="1709"/>
        <v>0</v>
      </c>
      <c r="AV128" s="442">
        <f t="shared" si="1709"/>
        <v>0</v>
      </c>
      <c r="AW128" s="442">
        <f t="shared" si="1709"/>
        <v>0</v>
      </c>
      <c r="AX128" s="442">
        <f t="shared" si="1709"/>
        <v>0</v>
      </c>
      <c r="AY128" s="442">
        <f t="shared" si="1709"/>
        <v>0</v>
      </c>
      <c r="AZ128" s="442">
        <f t="shared" si="1709"/>
        <v>0</v>
      </c>
      <c r="BA128" s="442">
        <f t="shared" si="1709"/>
        <v>0</v>
      </c>
      <c r="BB128" s="442">
        <f t="shared" si="1709"/>
        <v>0</v>
      </c>
      <c r="BC128" s="442">
        <f t="shared" si="1709"/>
        <v>0</v>
      </c>
      <c r="BD128" s="442">
        <f t="shared" si="1709"/>
        <v>0</v>
      </c>
      <c r="BE128" s="442">
        <f t="shared" si="1709"/>
        <v>0</v>
      </c>
      <c r="BF128" s="442">
        <f t="shared" si="1709"/>
        <v>0</v>
      </c>
      <c r="BG128" s="443">
        <f t="shared" si="1709"/>
        <v>0</v>
      </c>
      <c r="BH128" s="442">
        <f t="shared" si="1709"/>
        <v>0</v>
      </c>
      <c r="BI128" s="442">
        <f t="shared" si="1709"/>
        <v>0</v>
      </c>
      <c r="BJ128" s="442">
        <f t="shared" si="1709"/>
        <v>0</v>
      </c>
      <c r="BK128" s="442">
        <f t="shared" si="1709"/>
        <v>0</v>
      </c>
      <c r="BL128" s="442">
        <f t="shared" si="1709"/>
        <v>0</v>
      </c>
      <c r="BM128" s="442">
        <f t="shared" si="1709"/>
        <v>0</v>
      </c>
      <c r="BN128" s="442">
        <f t="shared" si="1709"/>
        <v>0</v>
      </c>
      <c r="BO128" s="442">
        <f t="shared" si="1709"/>
        <v>0</v>
      </c>
      <c r="BP128" s="442">
        <f t="shared" si="1709"/>
        <v>0</v>
      </c>
      <c r="BQ128" s="442">
        <f t="shared" si="1709"/>
        <v>0</v>
      </c>
      <c r="BR128" s="442">
        <f t="shared" si="1709"/>
        <v>0</v>
      </c>
      <c r="BS128" s="443">
        <f t="shared" si="1709"/>
        <v>0</v>
      </c>
      <c r="BT128" s="442">
        <f t="shared" si="1709"/>
        <v>0</v>
      </c>
      <c r="BU128" s="442">
        <f t="shared" si="1709"/>
        <v>0</v>
      </c>
      <c r="BV128" s="442">
        <f t="shared" si="1709"/>
        <v>0</v>
      </c>
      <c r="BW128" s="442">
        <f t="shared" si="1709"/>
        <v>0</v>
      </c>
      <c r="BX128" s="442">
        <f t="shared" si="1709"/>
        <v>0</v>
      </c>
      <c r="BY128" s="442">
        <f t="shared" si="1709"/>
        <v>0</v>
      </c>
      <c r="BZ128" s="442">
        <f t="shared" si="1709"/>
        <v>0</v>
      </c>
      <c r="CA128" s="442">
        <f t="shared" si="1709"/>
        <v>0</v>
      </c>
      <c r="CB128" s="442">
        <f t="shared" si="1709"/>
        <v>0</v>
      </c>
      <c r="CC128" s="442">
        <f t="shared" si="1709"/>
        <v>0</v>
      </c>
      <c r="CD128" s="442">
        <f t="shared" si="1709"/>
        <v>0</v>
      </c>
      <c r="CE128" s="443">
        <f t="shared" si="1709"/>
        <v>0</v>
      </c>
      <c r="CF128" s="442">
        <f t="shared" si="1709"/>
        <v>0</v>
      </c>
      <c r="CG128" s="442">
        <f t="shared" si="1709"/>
        <v>0</v>
      </c>
      <c r="CH128" s="442">
        <f t="shared" si="1709"/>
        <v>0</v>
      </c>
      <c r="CI128" s="442">
        <f t="shared" si="1709"/>
        <v>0</v>
      </c>
      <c r="CJ128" s="442">
        <f t="shared" ref="CJ128:ED128" si="1710">ROUNDUP($V128*(CJ127/100)/0.8,0)</f>
        <v>0</v>
      </c>
      <c r="CK128" s="442">
        <f t="shared" si="1710"/>
        <v>0</v>
      </c>
      <c r="CL128" s="442">
        <f t="shared" si="1710"/>
        <v>0</v>
      </c>
      <c r="CM128" s="442">
        <f t="shared" si="1710"/>
        <v>0</v>
      </c>
      <c r="CN128" s="442">
        <f t="shared" si="1710"/>
        <v>0</v>
      </c>
      <c r="CO128" s="442">
        <f t="shared" si="1710"/>
        <v>0</v>
      </c>
      <c r="CP128" s="442">
        <f t="shared" si="1710"/>
        <v>0</v>
      </c>
      <c r="CQ128" s="443">
        <f t="shared" si="1710"/>
        <v>0</v>
      </c>
      <c r="CR128" s="442">
        <f t="shared" si="1710"/>
        <v>0</v>
      </c>
      <c r="CS128" s="442">
        <f t="shared" si="1710"/>
        <v>0</v>
      </c>
      <c r="CT128" s="442">
        <f t="shared" si="1710"/>
        <v>0</v>
      </c>
      <c r="CU128" s="442">
        <f t="shared" si="1710"/>
        <v>0</v>
      </c>
      <c r="CV128" s="442">
        <f t="shared" si="1710"/>
        <v>0</v>
      </c>
      <c r="CW128" s="442">
        <f t="shared" si="1710"/>
        <v>0</v>
      </c>
      <c r="CX128" s="442">
        <f t="shared" si="1710"/>
        <v>0</v>
      </c>
      <c r="CY128" s="442">
        <f t="shared" si="1710"/>
        <v>0</v>
      </c>
      <c r="CZ128" s="442">
        <f t="shared" si="1710"/>
        <v>0</v>
      </c>
      <c r="DA128" s="442">
        <f t="shared" si="1710"/>
        <v>0</v>
      </c>
      <c r="DB128" s="442">
        <f t="shared" si="1710"/>
        <v>0</v>
      </c>
      <c r="DC128" s="443">
        <f t="shared" si="1710"/>
        <v>0</v>
      </c>
      <c r="DD128" s="442">
        <f t="shared" si="1710"/>
        <v>0</v>
      </c>
      <c r="DE128" s="442">
        <f t="shared" si="1710"/>
        <v>0</v>
      </c>
      <c r="DF128" s="442">
        <f t="shared" si="1710"/>
        <v>0</v>
      </c>
      <c r="DG128" s="442">
        <f t="shared" si="1710"/>
        <v>0</v>
      </c>
      <c r="DH128" s="442">
        <f t="shared" si="1710"/>
        <v>0</v>
      </c>
      <c r="DI128" s="442">
        <f t="shared" si="1710"/>
        <v>0</v>
      </c>
      <c r="DJ128" s="442">
        <f t="shared" si="1710"/>
        <v>0</v>
      </c>
      <c r="DK128" s="442">
        <f t="shared" si="1710"/>
        <v>0</v>
      </c>
      <c r="DL128" s="442">
        <f t="shared" si="1710"/>
        <v>0</v>
      </c>
      <c r="DM128" s="442">
        <f t="shared" si="1710"/>
        <v>0</v>
      </c>
      <c r="DN128" s="442">
        <f t="shared" si="1710"/>
        <v>0</v>
      </c>
      <c r="DO128" s="443">
        <f t="shared" si="1710"/>
        <v>0</v>
      </c>
      <c r="DP128" s="442">
        <f t="shared" si="1710"/>
        <v>0</v>
      </c>
      <c r="DQ128" s="442">
        <f t="shared" si="1710"/>
        <v>0</v>
      </c>
      <c r="DR128" s="442">
        <f t="shared" si="1710"/>
        <v>0</v>
      </c>
      <c r="DS128" s="442">
        <f t="shared" si="1710"/>
        <v>0</v>
      </c>
      <c r="DT128" s="442">
        <f t="shared" si="1710"/>
        <v>0</v>
      </c>
      <c r="DU128" s="442">
        <f t="shared" si="1710"/>
        <v>0</v>
      </c>
      <c r="DV128" s="442">
        <f t="shared" si="1710"/>
        <v>0</v>
      </c>
      <c r="DW128" s="442">
        <f t="shared" si="1710"/>
        <v>0</v>
      </c>
      <c r="DX128" s="442">
        <f t="shared" si="1710"/>
        <v>0</v>
      </c>
      <c r="DY128" s="442">
        <f t="shared" si="1710"/>
        <v>0</v>
      </c>
      <c r="DZ128" s="442">
        <f t="shared" si="1710"/>
        <v>0</v>
      </c>
      <c r="EA128" s="443">
        <f t="shared" si="1710"/>
        <v>0</v>
      </c>
      <c r="EB128" s="442">
        <f t="shared" si="1710"/>
        <v>0</v>
      </c>
      <c r="EC128" s="442">
        <f t="shared" si="1710"/>
        <v>0</v>
      </c>
      <c r="ED128" s="444">
        <f t="shared" si="1710"/>
        <v>0</v>
      </c>
    </row>
    <row r="129" spans="1:134" outlineLevel="1" x14ac:dyDescent="0.25">
      <c r="A129">
        <v>3</v>
      </c>
      <c r="B129" t="s">
        <v>285</v>
      </c>
      <c r="C129" s="475"/>
      <c r="D129" s="770" t="s">
        <v>286</v>
      </c>
      <c r="E129" s="770"/>
      <c r="F129" s="770"/>
      <c r="G129" s="770"/>
      <c r="H129" s="770"/>
      <c r="I129" s="770"/>
      <c r="J129" s="770"/>
      <c r="K129" s="770"/>
      <c r="L129" s="445"/>
      <c r="M129" s="446"/>
      <c r="N129" s="447">
        <f>M129/100</f>
        <v>0</v>
      </c>
      <c r="O129" s="448"/>
      <c r="P129" s="448"/>
      <c r="Q129" s="448"/>
      <c r="R129" s="449">
        <f>P129-N129</f>
        <v>0</v>
      </c>
      <c r="S129" s="450">
        <f>Q129*100</f>
        <v>0</v>
      </c>
      <c r="T129" s="450"/>
      <c r="U129" s="446"/>
      <c r="V129" s="451"/>
      <c r="W129" s="452">
        <f>M129</f>
        <v>0</v>
      </c>
      <c r="X129" s="453">
        <f>W129</f>
        <v>0</v>
      </c>
      <c r="Y129" s="453">
        <f>X129</f>
        <v>0</v>
      </c>
      <c r="Z129" s="453">
        <f>O129*100</f>
        <v>0</v>
      </c>
      <c r="AA129" s="453">
        <f>Z129</f>
        <v>0</v>
      </c>
      <c r="AB129" s="453">
        <f>AA129</f>
        <v>0</v>
      </c>
      <c r="AC129" s="453">
        <f>P129*100</f>
        <v>0</v>
      </c>
      <c r="AD129" s="453">
        <f>AC129</f>
        <v>0</v>
      </c>
      <c r="AE129" s="453">
        <f>AD129</f>
        <v>0</v>
      </c>
      <c r="AF129" s="453">
        <f>AE129</f>
        <v>0</v>
      </c>
      <c r="AG129" s="453">
        <f>AF129</f>
        <v>0</v>
      </c>
      <c r="AH129" s="453">
        <f>AG129</f>
        <v>0</v>
      </c>
      <c r="AI129" s="454">
        <f t="shared" ref="AI129" si="1711">(((AH129*(1+($B$36*$B$4)))-AH129)/12)+AH129</f>
        <v>0</v>
      </c>
      <c r="AJ129" s="453">
        <f t="shared" ref="AJ129" si="1712">(((AI129*(1+($B$36*$B$4)))-AI129)/12)+AI129</f>
        <v>0</v>
      </c>
      <c r="AK129" s="453">
        <f t="shared" ref="AK129" si="1713">(((AJ129*(1+($B$36*$B$4)))-AJ129)/12)+AJ129</f>
        <v>0</v>
      </c>
      <c r="AL129" s="453">
        <f t="shared" ref="AL129" si="1714">(((AK129*(1+($B$36*$B$4)))-AK129)/12)+AK129</f>
        <v>0</v>
      </c>
      <c r="AM129" s="453">
        <f t="shared" ref="AM129" si="1715">(((AL129*(1+($B$36*$B$4)))-AL129)/12)+AL129</f>
        <v>0</v>
      </c>
      <c r="AN129" s="453">
        <f t="shared" ref="AN129" si="1716">(((AM129*(1+($B$36*$B$4)))-AM129)/12)+AM129</f>
        <v>0</v>
      </c>
      <c r="AO129" s="453">
        <f t="shared" ref="AO129" si="1717">(((AN129*(1+($B$36*$B$4)))-AN129)/12)+AN129</f>
        <v>0</v>
      </c>
      <c r="AP129" s="453">
        <f t="shared" ref="AP129" si="1718">(((AO129*(1+($B$36*$B$4)))-AO129)/12)+AO129</f>
        <v>0</v>
      </c>
      <c r="AQ129" s="453">
        <f t="shared" ref="AQ129" si="1719">(((AP129*(1+($B$36*$B$4)))-AP129)/12)+AP129</f>
        <v>0</v>
      </c>
      <c r="AR129" s="453">
        <f t="shared" ref="AR129" si="1720">(((AQ129*(1+($B$36*$B$4)))-AQ129)/12)+AQ129</f>
        <v>0</v>
      </c>
      <c r="AS129" s="453">
        <f t="shared" ref="AS129" si="1721">(((AR129*(1+($B$36*$B$4)))-AR129)/12)+AR129</f>
        <v>0</v>
      </c>
      <c r="AT129" s="453">
        <f t="shared" ref="AT129" si="1722">(((AS129*(1+($B$36*$B$4)))-AS129)/12)+AS129</f>
        <v>0</v>
      </c>
      <c r="AU129" s="454">
        <f t="shared" ref="AU129" si="1723">(((AT129*(1+($B$37*$B$4)))-AT129)/12)+AT129</f>
        <v>0</v>
      </c>
      <c r="AV129" s="453">
        <f t="shared" ref="AV129" si="1724">(((AU129*(1+($B$37*$B$4)))-AU129)/12)+AU129</f>
        <v>0</v>
      </c>
      <c r="AW129" s="453">
        <f t="shared" ref="AW129" si="1725">(((AV129*(1+($B$37*$B$4)))-AV129)/12)+AV129</f>
        <v>0</v>
      </c>
      <c r="AX129" s="453">
        <f t="shared" ref="AX129" si="1726">(((AW129*(1+($B$37*$B$4)))-AW129)/12)+AW129</f>
        <v>0</v>
      </c>
      <c r="AY129" s="453">
        <f t="shared" ref="AY129" si="1727">(((AX129*(1+($B$37*$B$4)))-AX129)/12)+AX129</f>
        <v>0</v>
      </c>
      <c r="AZ129" s="453">
        <f t="shared" ref="AZ129" si="1728">(((AY129*(1+($B$37*$B$4)))-AY129)/12)+AY129</f>
        <v>0</v>
      </c>
      <c r="BA129" s="453">
        <f t="shared" ref="BA129" si="1729">(((AZ129*(1+($B$37*$B$4)))-AZ129)/12)+AZ129</f>
        <v>0</v>
      </c>
      <c r="BB129" s="453">
        <f t="shared" ref="BB129" si="1730">(((BA129*(1+($B$37*$B$4)))-BA129)/12)+BA129</f>
        <v>0</v>
      </c>
      <c r="BC129" s="453">
        <f t="shared" ref="BC129" si="1731">(((BB129*(1+($B$37*$B$4)))-BB129)/12)+BB129</f>
        <v>0</v>
      </c>
      <c r="BD129" s="453">
        <f t="shared" ref="BD129" si="1732">(((BC129*(1+($B$37*$B$4)))-BC129)/12)+BC129</f>
        <v>0</v>
      </c>
      <c r="BE129" s="453">
        <f t="shared" ref="BE129" si="1733">(((BD129*(1+($B$37*$B$4)))-BD129)/12)+BD129</f>
        <v>0</v>
      </c>
      <c r="BF129" s="453">
        <f t="shared" ref="BF129" si="1734">(((BE129*(1+($B$37*$B$4)))-BE129)/12)+BE129</f>
        <v>0</v>
      </c>
      <c r="BG129" s="454">
        <f t="shared" ref="BG129" si="1735">(((BF129*(1+($B$38*$B$4)))-BF129)/12)+BF129</f>
        <v>0</v>
      </c>
      <c r="BH129" s="453">
        <f t="shared" ref="BH129" si="1736">(((BG129*(1+($B$38*$B$4)))-BG129)/12)+BG129</f>
        <v>0</v>
      </c>
      <c r="BI129" s="453">
        <f t="shared" ref="BI129" si="1737">(((BH129*(1+($B$38*$B$4)))-BH129)/12)+BH129</f>
        <v>0</v>
      </c>
      <c r="BJ129" s="453">
        <f t="shared" ref="BJ129" si="1738">(((BI129*(1+($B$38*$B$4)))-BI129)/12)+BI129</f>
        <v>0</v>
      </c>
      <c r="BK129" s="453">
        <f t="shared" ref="BK129" si="1739">(((BJ129*(1+($B$38*$B$4)))-BJ129)/12)+BJ129</f>
        <v>0</v>
      </c>
      <c r="BL129" s="453">
        <f t="shared" ref="BL129" si="1740">(((BK129*(1+($B$38*$B$4)))-BK129)/12)+BK129</f>
        <v>0</v>
      </c>
      <c r="BM129" s="453">
        <f t="shared" ref="BM129" si="1741">(((BL129*(1+($B$38*$B$4)))-BL129)/12)+BL129</f>
        <v>0</v>
      </c>
      <c r="BN129" s="453">
        <f t="shared" ref="BN129" si="1742">(((BM129*(1+($B$38*$B$4)))-BM129)/12)+BM129</f>
        <v>0</v>
      </c>
      <c r="BO129" s="453">
        <f t="shared" ref="BO129" si="1743">(((BN129*(1+($B$38*$B$4)))-BN129)/12)+BN129</f>
        <v>0</v>
      </c>
      <c r="BP129" s="453">
        <f t="shared" ref="BP129" si="1744">(((BO129*(1+($B$38*$B$4)))-BO129)/12)+BO129</f>
        <v>0</v>
      </c>
      <c r="BQ129" s="453">
        <f t="shared" ref="BQ129" si="1745">(((BP129*(1+($B$38*$B$4)))-BP129)/12)+BP129</f>
        <v>0</v>
      </c>
      <c r="BR129" s="453">
        <f t="shared" ref="BR129" si="1746">(((BQ129*(1+($B$38*$B$4)))-BQ129)/12)+BQ129</f>
        <v>0</v>
      </c>
      <c r="BS129" s="454">
        <f t="shared" ref="BS129" si="1747">(((BR129*(1+($B$39*$B$4)))-BR129)/12)+BR129</f>
        <v>0</v>
      </c>
      <c r="BT129" s="453">
        <f t="shared" ref="BT129" si="1748">(((BS129*(1+($B$39*$B$4)))-BS129)/12)+BS129</f>
        <v>0</v>
      </c>
      <c r="BU129" s="453">
        <f t="shared" ref="BU129" si="1749">(((BT129*(1+($B$39*$B$4)))-BT129)/12)+BT129</f>
        <v>0</v>
      </c>
      <c r="BV129" s="453">
        <f t="shared" ref="BV129" si="1750">(((BU129*(1+($B$39*$B$4)))-BU129)/12)+BU129</f>
        <v>0</v>
      </c>
      <c r="BW129" s="453">
        <f t="shared" ref="BW129" si="1751">(((BV129*(1+($B$39*$B$4)))-BV129)/12)+BV129</f>
        <v>0</v>
      </c>
      <c r="BX129" s="453">
        <f t="shared" ref="BX129" si="1752">(((BW129*(1+($B$39*$B$4)))-BW129)/12)+BW129</f>
        <v>0</v>
      </c>
      <c r="BY129" s="453">
        <f t="shared" ref="BY129" si="1753">(((BX129*(1+($B$39*$B$4)))-BX129)/12)+BX129</f>
        <v>0</v>
      </c>
      <c r="BZ129" s="453">
        <f t="shared" ref="BZ129" si="1754">(((BY129*(1+($B$39*$B$4)))-BY129)/12)+BY129</f>
        <v>0</v>
      </c>
      <c r="CA129" s="453">
        <f t="shared" ref="CA129" si="1755">(((BZ129*(1+($B$39*$B$4)))-BZ129)/12)+BZ129</f>
        <v>0</v>
      </c>
      <c r="CB129" s="453">
        <f t="shared" ref="CB129" si="1756">(((CA129*(1+($B$39*$B$4)))-CA129)/12)+CA129</f>
        <v>0</v>
      </c>
      <c r="CC129" s="453">
        <f t="shared" ref="CC129" si="1757">(((CB129*(1+($B$39*$B$4)))-CB129)/12)+CB129</f>
        <v>0</v>
      </c>
      <c r="CD129" s="453">
        <f t="shared" ref="CD129" si="1758">(((CC129*(1+($B$39*$B$4)))-CC129)/12)+CC129</f>
        <v>0</v>
      </c>
      <c r="CE129" s="454">
        <f t="shared" ref="CE129" si="1759">(((CD129*(1+($B$40*$B$4)))-CD129)/12)+CD129</f>
        <v>0</v>
      </c>
      <c r="CF129" s="453">
        <f t="shared" ref="CF129" si="1760">(((CE129*(1+($B$40*$B$4)))-CE129)/12)+CE129</f>
        <v>0</v>
      </c>
      <c r="CG129" s="453">
        <f t="shared" ref="CG129" si="1761">(((CF129*(1+($B$40*$B$4)))-CF129)/12)+CF129</f>
        <v>0</v>
      </c>
      <c r="CH129" s="453">
        <f t="shared" ref="CH129" si="1762">(((CG129*(1+($B$40*$B$4)))-CG129)/12)+CG129</f>
        <v>0</v>
      </c>
      <c r="CI129" s="453">
        <f t="shared" ref="CI129" si="1763">(((CH129*(1+($B$40*$B$4)))-CH129)/12)+CH129</f>
        <v>0</v>
      </c>
      <c r="CJ129" s="453">
        <f t="shared" ref="CJ129" si="1764">(((CI129*(1+($B$40*$B$4)))-CI129)/12)+CI129</f>
        <v>0</v>
      </c>
      <c r="CK129" s="453">
        <f t="shared" ref="CK129" si="1765">(((CJ129*(1+($B$40*$B$4)))-CJ129)/12)+CJ129</f>
        <v>0</v>
      </c>
      <c r="CL129" s="453">
        <f t="shared" ref="CL129" si="1766">(((CK129*(1+($B$40*$B$4)))-CK129)/12)+CK129</f>
        <v>0</v>
      </c>
      <c r="CM129" s="453">
        <f t="shared" ref="CM129" si="1767">(((CL129*(1+($B$40*$B$4)))-CL129)/12)+CL129</f>
        <v>0</v>
      </c>
      <c r="CN129" s="453">
        <f t="shared" ref="CN129" si="1768">(((CM129*(1+($B$40*$B$4)))-CM129)/12)+CM129</f>
        <v>0</v>
      </c>
      <c r="CO129" s="453">
        <f t="shared" ref="CO129" si="1769">(((CN129*(1+($B$40*$B$4)))-CN129)/12)+CN129</f>
        <v>0</v>
      </c>
      <c r="CP129" s="453">
        <f t="shared" ref="CP129" si="1770">(((CO129*(1+($B$40*$B$4)))-CO129)/12)+CO129</f>
        <v>0</v>
      </c>
      <c r="CQ129" s="454">
        <f t="shared" ref="CQ129" si="1771">(((CP129*(1+($B$41*$B$4)))-CP129)/12)+CP129</f>
        <v>0</v>
      </c>
      <c r="CR129" s="453">
        <f t="shared" ref="CR129" si="1772">(((CQ129*(1+($B$41*$B$4)))-CQ129)/12)+CQ129</f>
        <v>0</v>
      </c>
      <c r="CS129" s="453">
        <f t="shared" ref="CS129" si="1773">(((CR129*(1+($B$41*$B$4)))-CR129)/12)+CR129</f>
        <v>0</v>
      </c>
      <c r="CT129" s="453">
        <f t="shared" ref="CT129" si="1774">(((CS129*(1+($B$41*$B$4)))-CS129)/12)+CS129</f>
        <v>0</v>
      </c>
      <c r="CU129" s="453">
        <f t="shared" ref="CU129" si="1775">(((CT129*(1+($B$41*$B$4)))-CT129)/12)+CT129</f>
        <v>0</v>
      </c>
      <c r="CV129" s="453">
        <f t="shared" ref="CV129" si="1776">(((CU129*(1+($B$41*$B$4)))-CU129)/12)+CU129</f>
        <v>0</v>
      </c>
      <c r="CW129" s="453">
        <f t="shared" ref="CW129" si="1777">(((CV129*(1+($B$41*$B$4)))-CV129)/12)+CV129</f>
        <v>0</v>
      </c>
      <c r="CX129" s="453">
        <f t="shared" ref="CX129" si="1778">(((CW129*(1+($B$41*$B$4)))-CW129)/12)+CW129</f>
        <v>0</v>
      </c>
      <c r="CY129" s="453">
        <f t="shared" ref="CY129" si="1779">(((CX129*(1+($B$41*$B$4)))-CX129)/12)+CX129</f>
        <v>0</v>
      </c>
      <c r="CZ129" s="453">
        <f t="shared" ref="CZ129" si="1780">(((CY129*(1+($B$41*$B$4)))-CY129)/12)+CY129</f>
        <v>0</v>
      </c>
      <c r="DA129" s="453">
        <f t="shared" ref="DA129" si="1781">(((CZ129*(1+($B$41*$B$4)))-CZ129)/12)+CZ129</f>
        <v>0</v>
      </c>
      <c r="DB129" s="453">
        <f t="shared" ref="DB129" si="1782">(((DA129*(1+($B$41*$B$4)))-DA129)/12)+DA129</f>
        <v>0</v>
      </c>
      <c r="DC129" s="454">
        <f t="shared" ref="DC129" si="1783">(((DB129*(1+($B$42*$B$4)))-DB129)/12)+DB129</f>
        <v>0</v>
      </c>
      <c r="DD129" s="453">
        <f t="shared" ref="DD129" si="1784">(((DC129*(1+($B$42*$B$4)))-DC129)/12)+DC129</f>
        <v>0</v>
      </c>
      <c r="DE129" s="453">
        <f t="shared" ref="DE129" si="1785">(((DD129*(1+($B$42*$B$4)))-DD129)/12)+DD129</f>
        <v>0</v>
      </c>
      <c r="DF129" s="453">
        <f t="shared" ref="DF129" si="1786">(((DE129*(1+($B$42*$B$4)))-DE129)/12)+DE129</f>
        <v>0</v>
      </c>
      <c r="DG129" s="453">
        <f t="shared" ref="DG129" si="1787">(((DF129*(1+($B$42*$B$4)))-DF129)/12)+DF129</f>
        <v>0</v>
      </c>
      <c r="DH129" s="453">
        <f t="shared" ref="DH129" si="1788">(((DG129*(1+($B$42*$B$4)))-DG129)/12)+DG129</f>
        <v>0</v>
      </c>
      <c r="DI129" s="453">
        <f t="shared" ref="DI129" si="1789">(((DH129*(1+($B$42*$B$4)))-DH129)/12)+DH129</f>
        <v>0</v>
      </c>
      <c r="DJ129" s="453">
        <f t="shared" ref="DJ129" si="1790">(((DI129*(1+($B$42*$B$4)))-DI129)/12)+DI129</f>
        <v>0</v>
      </c>
      <c r="DK129" s="453">
        <f t="shared" ref="DK129" si="1791">(((DJ129*(1+($B$42*$B$4)))-DJ129)/12)+DJ129</f>
        <v>0</v>
      </c>
      <c r="DL129" s="453">
        <f t="shared" ref="DL129" si="1792">(((DK129*(1+($B$42*$B$4)))-DK129)/12)+DK129</f>
        <v>0</v>
      </c>
      <c r="DM129" s="453">
        <f t="shared" ref="DM129" si="1793">(((DL129*(1+($B$42*$B$4)))-DL129)/12)+DL129</f>
        <v>0</v>
      </c>
      <c r="DN129" s="453">
        <f t="shared" ref="DN129" si="1794">(((DM129*(1+($B$42*$B$4)))-DM129)/12)+DM129</f>
        <v>0</v>
      </c>
      <c r="DO129" s="454">
        <f t="shared" ref="DO129" si="1795">(((DN129*(1+($B$43*$B$4)))-DN129)/12)+DN129</f>
        <v>0</v>
      </c>
      <c r="DP129" s="453">
        <f t="shared" ref="DP129" si="1796">(((DO129*(1+($B$43*$B$4)))-DO129)/12)+DO129</f>
        <v>0</v>
      </c>
      <c r="DQ129" s="453">
        <f t="shared" ref="DQ129" si="1797">(((DP129*(1+($B$43*$B$4)))-DP129)/12)+DP129</f>
        <v>0</v>
      </c>
      <c r="DR129" s="453">
        <f t="shared" ref="DR129" si="1798">(((DQ129*(1+($B$43*$B$4)))-DQ129)/12)+DQ129</f>
        <v>0</v>
      </c>
      <c r="DS129" s="453">
        <f t="shared" ref="DS129" si="1799">(((DR129*(1+($B$43*$B$4)))-DR129)/12)+DR129</f>
        <v>0</v>
      </c>
      <c r="DT129" s="453">
        <f t="shared" ref="DT129" si="1800">(((DS129*(1+($B$43*$B$4)))-DS129)/12)+DS129</f>
        <v>0</v>
      </c>
      <c r="DU129" s="453">
        <f t="shared" ref="DU129" si="1801">(((DT129*(1+($B$43*$B$4)))-DT129)/12)+DT129</f>
        <v>0</v>
      </c>
      <c r="DV129" s="453">
        <f t="shared" ref="DV129" si="1802">(((DU129*(1+($B$43*$B$4)))-DU129)/12)+DU129</f>
        <v>0</v>
      </c>
      <c r="DW129" s="453">
        <f t="shared" ref="DW129" si="1803">(((DV129*(1+($B$43*$B$4)))-DV129)/12)+DV129</f>
        <v>0</v>
      </c>
      <c r="DX129" s="453">
        <f t="shared" ref="DX129" si="1804">(((DW129*(1+($B$43*$B$4)))-DW129)/12)+DW129</f>
        <v>0</v>
      </c>
      <c r="DY129" s="453">
        <f t="shared" ref="DY129" si="1805">(((DX129*(1+($B$43*$B$4)))-DX129)/12)+DX129</f>
        <v>0</v>
      </c>
      <c r="DZ129" s="453">
        <f t="shared" ref="DZ129" si="1806">(((DY129*(1+($B$43*$B$4)))-DY129)/12)+DY129</f>
        <v>0</v>
      </c>
      <c r="EA129" s="454">
        <f>(((DZ129*(1+($B$44*$B$4)))-DZ129)/12)+DZ129</f>
        <v>0</v>
      </c>
      <c r="EB129" s="453">
        <f>(((EA129*(1+($B$44*$B$4)))-EA129)/12)+EA129</f>
        <v>0</v>
      </c>
      <c r="EC129" s="453">
        <f>(((EB129*(1+($B$44*$B$4)))-EB129)/12)+EB129</f>
        <v>0</v>
      </c>
      <c r="ED129" s="455">
        <f>(((EC129*(1+($B$44*$B$4)))-EC129)/12)+EC129</f>
        <v>0</v>
      </c>
    </row>
    <row r="130" spans="1:134" outlineLevel="1" x14ac:dyDescent="0.25">
      <c r="A130">
        <v>6</v>
      </c>
      <c r="B130" t="s">
        <v>287</v>
      </c>
      <c r="C130" s="475"/>
      <c r="D130" s="770"/>
      <c r="E130" s="770"/>
      <c r="F130" s="770"/>
      <c r="G130" s="770"/>
      <c r="H130" s="770"/>
      <c r="I130" s="770"/>
      <c r="J130" s="770"/>
      <c r="K130" s="770"/>
      <c r="L130" s="445"/>
      <c r="M130" s="446"/>
      <c r="N130" s="447"/>
      <c r="O130" s="448"/>
      <c r="P130" s="448"/>
      <c r="Q130" s="448"/>
      <c r="R130" s="449"/>
      <c r="S130" s="450"/>
      <c r="T130" s="450"/>
      <c r="U130" s="446"/>
      <c r="V130" s="451">
        <v>1</v>
      </c>
      <c r="W130" s="456">
        <f>ROUNDUP($V130*(W129/100)/0.8,0)</f>
        <v>0</v>
      </c>
      <c r="X130" s="446">
        <f t="shared" ref="X130:CI130" si="1807">ROUNDUP($V130*(X129/100)/0.8,0)</f>
        <v>0</v>
      </c>
      <c r="Y130" s="446">
        <f t="shared" si="1807"/>
        <v>0</v>
      </c>
      <c r="Z130" s="446">
        <f t="shared" si="1807"/>
        <v>0</v>
      </c>
      <c r="AA130" s="446">
        <f t="shared" si="1807"/>
        <v>0</v>
      </c>
      <c r="AB130" s="446">
        <f t="shared" si="1807"/>
        <v>0</v>
      </c>
      <c r="AC130" s="446">
        <f t="shared" si="1807"/>
        <v>0</v>
      </c>
      <c r="AD130" s="446">
        <f t="shared" si="1807"/>
        <v>0</v>
      </c>
      <c r="AE130" s="446">
        <f t="shared" si="1807"/>
        <v>0</v>
      </c>
      <c r="AF130" s="446">
        <f t="shared" si="1807"/>
        <v>0</v>
      </c>
      <c r="AG130" s="446">
        <f t="shared" si="1807"/>
        <v>0</v>
      </c>
      <c r="AH130" s="446">
        <f t="shared" si="1807"/>
        <v>0</v>
      </c>
      <c r="AI130" s="457">
        <f t="shared" si="1807"/>
        <v>0</v>
      </c>
      <c r="AJ130" s="446">
        <f t="shared" si="1807"/>
        <v>0</v>
      </c>
      <c r="AK130" s="446">
        <f t="shared" si="1807"/>
        <v>0</v>
      </c>
      <c r="AL130" s="446">
        <f t="shared" si="1807"/>
        <v>0</v>
      </c>
      <c r="AM130" s="446">
        <f t="shared" si="1807"/>
        <v>0</v>
      </c>
      <c r="AN130" s="446">
        <f t="shared" si="1807"/>
        <v>0</v>
      </c>
      <c r="AO130" s="446">
        <f t="shared" si="1807"/>
        <v>0</v>
      </c>
      <c r="AP130" s="446">
        <f t="shared" si="1807"/>
        <v>0</v>
      </c>
      <c r="AQ130" s="446">
        <f t="shared" si="1807"/>
        <v>0</v>
      </c>
      <c r="AR130" s="446">
        <f t="shared" si="1807"/>
        <v>0</v>
      </c>
      <c r="AS130" s="446">
        <f t="shared" si="1807"/>
        <v>0</v>
      </c>
      <c r="AT130" s="446">
        <f t="shared" si="1807"/>
        <v>0</v>
      </c>
      <c r="AU130" s="457">
        <f t="shared" si="1807"/>
        <v>0</v>
      </c>
      <c r="AV130" s="446">
        <f t="shared" si="1807"/>
        <v>0</v>
      </c>
      <c r="AW130" s="446">
        <f t="shared" si="1807"/>
        <v>0</v>
      </c>
      <c r="AX130" s="446">
        <f t="shared" si="1807"/>
        <v>0</v>
      </c>
      <c r="AY130" s="446">
        <f t="shared" si="1807"/>
        <v>0</v>
      </c>
      <c r="AZ130" s="446">
        <f t="shared" si="1807"/>
        <v>0</v>
      </c>
      <c r="BA130" s="446">
        <f t="shared" si="1807"/>
        <v>0</v>
      </c>
      <c r="BB130" s="446">
        <f t="shared" si="1807"/>
        <v>0</v>
      </c>
      <c r="BC130" s="446">
        <f t="shared" si="1807"/>
        <v>0</v>
      </c>
      <c r="BD130" s="446">
        <f t="shared" si="1807"/>
        <v>0</v>
      </c>
      <c r="BE130" s="446">
        <f t="shared" si="1807"/>
        <v>0</v>
      </c>
      <c r="BF130" s="446">
        <f t="shared" si="1807"/>
        <v>0</v>
      </c>
      <c r="BG130" s="457">
        <f t="shared" si="1807"/>
        <v>0</v>
      </c>
      <c r="BH130" s="446">
        <f t="shared" si="1807"/>
        <v>0</v>
      </c>
      <c r="BI130" s="446">
        <f t="shared" si="1807"/>
        <v>0</v>
      </c>
      <c r="BJ130" s="446">
        <f t="shared" si="1807"/>
        <v>0</v>
      </c>
      <c r="BK130" s="446">
        <f t="shared" si="1807"/>
        <v>0</v>
      </c>
      <c r="BL130" s="446">
        <f t="shared" si="1807"/>
        <v>0</v>
      </c>
      <c r="BM130" s="446">
        <f t="shared" si="1807"/>
        <v>0</v>
      </c>
      <c r="BN130" s="446">
        <f t="shared" si="1807"/>
        <v>0</v>
      </c>
      <c r="BO130" s="446">
        <f t="shared" si="1807"/>
        <v>0</v>
      </c>
      <c r="BP130" s="446">
        <f t="shared" si="1807"/>
        <v>0</v>
      </c>
      <c r="BQ130" s="446">
        <f t="shared" si="1807"/>
        <v>0</v>
      </c>
      <c r="BR130" s="446">
        <f t="shared" si="1807"/>
        <v>0</v>
      </c>
      <c r="BS130" s="457">
        <f t="shared" si="1807"/>
        <v>0</v>
      </c>
      <c r="BT130" s="446">
        <f t="shared" si="1807"/>
        <v>0</v>
      </c>
      <c r="BU130" s="446">
        <f t="shared" si="1807"/>
        <v>0</v>
      </c>
      <c r="BV130" s="446">
        <f t="shared" si="1807"/>
        <v>0</v>
      </c>
      <c r="BW130" s="446">
        <f t="shared" si="1807"/>
        <v>0</v>
      </c>
      <c r="BX130" s="446">
        <f t="shared" si="1807"/>
        <v>0</v>
      </c>
      <c r="BY130" s="446">
        <f t="shared" si="1807"/>
        <v>0</v>
      </c>
      <c r="BZ130" s="446">
        <f t="shared" si="1807"/>
        <v>0</v>
      </c>
      <c r="CA130" s="446">
        <f t="shared" si="1807"/>
        <v>0</v>
      </c>
      <c r="CB130" s="446">
        <f t="shared" si="1807"/>
        <v>0</v>
      </c>
      <c r="CC130" s="446">
        <f t="shared" si="1807"/>
        <v>0</v>
      </c>
      <c r="CD130" s="446">
        <f t="shared" si="1807"/>
        <v>0</v>
      </c>
      <c r="CE130" s="457">
        <f t="shared" si="1807"/>
        <v>0</v>
      </c>
      <c r="CF130" s="446">
        <f t="shared" si="1807"/>
        <v>0</v>
      </c>
      <c r="CG130" s="446">
        <f t="shared" si="1807"/>
        <v>0</v>
      </c>
      <c r="CH130" s="446">
        <f t="shared" si="1807"/>
        <v>0</v>
      </c>
      <c r="CI130" s="446">
        <f t="shared" si="1807"/>
        <v>0</v>
      </c>
      <c r="CJ130" s="446">
        <f t="shared" ref="CJ130:ED130" si="1808">ROUNDUP($V130*(CJ129/100)/0.8,0)</f>
        <v>0</v>
      </c>
      <c r="CK130" s="446">
        <f t="shared" si="1808"/>
        <v>0</v>
      </c>
      <c r="CL130" s="446">
        <f t="shared" si="1808"/>
        <v>0</v>
      </c>
      <c r="CM130" s="446">
        <f t="shared" si="1808"/>
        <v>0</v>
      </c>
      <c r="CN130" s="446">
        <f t="shared" si="1808"/>
        <v>0</v>
      </c>
      <c r="CO130" s="446">
        <f t="shared" si="1808"/>
        <v>0</v>
      </c>
      <c r="CP130" s="446">
        <f t="shared" si="1808"/>
        <v>0</v>
      </c>
      <c r="CQ130" s="457">
        <f t="shared" si="1808"/>
        <v>0</v>
      </c>
      <c r="CR130" s="446">
        <f t="shared" si="1808"/>
        <v>0</v>
      </c>
      <c r="CS130" s="446">
        <f t="shared" si="1808"/>
        <v>0</v>
      </c>
      <c r="CT130" s="446">
        <f t="shared" si="1808"/>
        <v>0</v>
      </c>
      <c r="CU130" s="446">
        <f t="shared" si="1808"/>
        <v>0</v>
      </c>
      <c r="CV130" s="446">
        <f t="shared" si="1808"/>
        <v>0</v>
      </c>
      <c r="CW130" s="446">
        <f t="shared" si="1808"/>
        <v>0</v>
      </c>
      <c r="CX130" s="446">
        <f t="shared" si="1808"/>
        <v>0</v>
      </c>
      <c r="CY130" s="446">
        <f t="shared" si="1808"/>
        <v>0</v>
      </c>
      <c r="CZ130" s="446">
        <f t="shared" si="1808"/>
        <v>0</v>
      </c>
      <c r="DA130" s="446">
        <f t="shared" si="1808"/>
        <v>0</v>
      </c>
      <c r="DB130" s="446">
        <f t="shared" si="1808"/>
        <v>0</v>
      </c>
      <c r="DC130" s="457">
        <f t="shared" si="1808"/>
        <v>0</v>
      </c>
      <c r="DD130" s="446">
        <f t="shared" si="1808"/>
        <v>0</v>
      </c>
      <c r="DE130" s="446">
        <f t="shared" si="1808"/>
        <v>0</v>
      </c>
      <c r="DF130" s="446">
        <f t="shared" si="1808"/>
        <v>0</v>
      </c>
      <c r="DG130" s="446">
        <f t="shared" si="1808"/>
        <v>0</v>
      </c>
      <c r="DH130" s="446">
        <f t="shared" si="1808"/>
        <v>0</v>
      </c>
      <c r="DI130" s="446">
        <f t="shared" si="1808"/>
        <v>0</v>
      </c>
      <c r="DJ130" s="446">
        <f t="shared" si="1808"/>
        <v>0</v>
      </c>
      <c r="DK130" s="446">
        <f t="shared" si="1808"/>
        <v>0</v>
      </c>
      <c r="DL130" s="446">
        <f t="shared" si="1808"/>
        <v>0</v>
      </c>
      <c r="DM130" s="446">
        <f t="shared" si="1808"/>
        <v>0</v>
      </c>
      <c r="DN130" s="446">
        <f t="shared" si="1808"/>
        <v>0</v>
      </c>
      <c r="DO130" s="457">
        <f t="shared" si="1808"/>
        <v>0</v>
      </c>
      <c r="DP130" s="446">
        <f t="shared" si="1808"/>
        <v>0</v>
      </c>
      <c r="DQ130" s="446">
        <f t="shared" si="1808"/>
        <v>0</v>
      </c>
      <c r="DR130" s="446">
        <f t="shared" si="1808"/>
        <v>0</v>
      </c>
      <c r="DS130" s="446">
        <f t="shared" si="1808"/>
        <v>0</v>
      </c>
      <c r="DT130" s="446">
        <f t="shared" si="1808"/>
        <v>0</v>
      </c>
      <c r="DU130" s="446">
        <f t="shared" si="1808"/>
        <v>0</v>
      </c>
      <c r="DV130" s="446">
        <f t="shared" si="1808"/>
        <v>0</v>
      </c>
      <c r="DW130" s="446">
        <f t="shared" si="1808"/>
        <v>0</v>
      </c>
      <c r="DX130" s="446">
        <f t="shared" si="1808"/>
        <v>0</v>
      </c>
      <c r="DY130" s="446">
        <f t="shared" si="1808"/>
        <v>0</v>
      </c>
      <c r="DZ130" s="446">
        <f t="shared" si="1808"/>
        <v>0</v>
      </c>
      <c r="EA130" s="457">
        <f t="shared" si="1808"/>
        <v>0</v>
      </c>
      <c r="EB130" s="446">
        <f t="shared" si="1808"/>
        <v>0</v>
      </c>
      <c r="EC130" s="446">
        <f t="shared" si="1808"/>
        <v>0</v>
      </c>
      <c r="ED130" s="458">
        <f t="shared" si="1808"/>
        <v>0</v>
      </c>
    </row>
    <row r="131" spans="1:134" outlineLevel="1" x14ac:dyDescent="0.25">
      <c r="A131">
        <v>2</v>
      </c>
      <c r="B131" t="s">
        <v>288</v>
      </c>
      <c r="C131" s="475"/>
      <c r="D131" s="771" t="s">
        <v>289</v>
      </c>
      <c r="E131" s="771"/>
      <c r="F131" s="771"/>
      <c r="G131" s="771"/>
      <c r="H131" s="771"/>
      <c r="I131" s="771"/>
      <c r="J131" s="771"/>
      <c r="K131" s="771"/>
      <c r="L131" s="459"/>
      <c r="M131" s="423"/>
      <c r="N131" s="460">
        <f>M131/100</f>
        <v>0</v>
      </c>
      <c r="O131" s="461"/>
      <c r="P131" s="461"/>
      <c r="Q131" s="461"/>
      <c r="R131" s="462">
        <f>P131-N131</f>
        <v>0</v>
      </c>
      <c r="S131" s="463">
        <f>Q131*100</f>
        <v>0</v>
      </c>
      <c r="T131" s="463"/>
      <c r="U131" s="423"/>
      <c r="V131" s="464"/>
      <c r="W131" s="430">
        <f>M131</f>
        <v>0</v>
      </c>
      <c r="X131" s="431">
        <f>W131</f>
        <v>0</v>
      </c>
      <c r="Y131" s="431">
        <f>X131</f>
        <v>0</v>
      </c>
      <c r="Z131" s="431">
        <f>O131*100</f>
        <v>0</v>
      </c>
      <c r="AA131" s="431">
        <f>Z131</f>
        <v>0</v>
      </c>
      <c r="AB131" s="431">
        <f>AA131</f>
        <v>0</v>
      </c>
      <c r="AC131" s="431">
        <f>P131*100</f>
        <v>0</v>
      </c>
      <c r="AD131" s="431">
        <f>AC131</f>
        <v>0</v>
      </c>
      <c r="AE131" s="431">
        <f>AD131</f>
        <v>0</v>
      </c>
      <c r="AF131" s="431">
        <f>AE131</f>
        <v>0</v>
      </c>
      <c r="AG131" s="431">
        <f>AF131</f>
        <v>0</v>
      </c>
      <c r="AH131" s="431">
        <f>AG131</f>
        <v>0</v>
      </c>
      <c r="AI131" s="432">
        <f t="shared" ref="AI131" si="1809">(((AH131*(1+($B$36*$B$4)))-AH131)/12)+AH131</f>
        <v>0</v>
      </c>
      <c r="AJ131" s="431">
        <f t="shared" ref="AJ131" si="1810">(((AI131*(1+($B$36*$B$4)))-AI131)/12)+AI131</f>
        <v>0</v>
      </c>
      <c r="AK131" s="431">
        <f t="shared" ref="AK131" si="1811">(((AJ131*(1+($B$36*$B$4)))-AJ131)/12)+AJ131</f>
        <v>0</v>
      </c>
      <c r="AL131" s="431">
        <f t="shared" ref="AL131" si="1812">(((AK131*(1+($B$36*$B$4)))-AK131)/12)+AK131</f>
        <v>0</v>
      </c>
      <c r="AM131" s="431">
        <f t="shared" ref="AM131" si="1813">(((AL131*(1+($B$36*$B$4)))-AL131)/12)+AL131</f>
        <v>0</v>
      </c>
      <c r="AN131" s="431">
        <f t="shared" ref="AN131" si="1814">(((AM131*(1+($B$36*$B$4)))-AM131)/12)+AM131</f>
        <v>0</v>
      </c>
      <c r="AO131" s="431">
        <f t="shared" ref="AO131" si="1815">(((AN131*(1+($B$36*$B$4)))-AN131)/12)+AN131</f>
        <v>0</v>
      </c>
      <c r="AP131" s="431">
        <f t="shared" ref="AP131" si="1816">(((AO131*(1+($B$36*$B$4)))-AO131)/12)+AO131</f>
        <v>0</v>
      </c>
      <c r="AQ131" s="431">
        <f t="shared" ref="AQ131" si="1817">(((AP131*(1+($B$36*$B$4)))-AP131)/12)+AP131</f>
        <v>0</v>
      </c>
      <c r="AR131" s="431">
        <f t="shared" ref="AR131" si="1818">(((AQ131*(1+($B$36*$B$4)))-AQ131)/12)+AQ131</f>
        <v>0</v>
      </c>
      <c r="AS131" s="431">
        <f t="shared" ref="AS131" si="1819">(((AR131*(1+($B$36*$B$4)))-AR131)/12)+AR131</f>
        <v>0</v>
      </c>
      <c r="AT131" s="431">
        <f t="shared" ref="AT131" si="1820">(((AS131*(1+($B$36*$B$4)))-AS131)/12)+AS131</f>
        <v>0</v>
      </c>
      <c r="AU131" s="432">
        <f t="shared" ref="AU131" si="1821">(((AT131*(1+($B$37*$B$4)))-AT131)/12)+AT131</f>
        <v>0</v>
      </c>
      <c r="AV131" s="431">
        <f t="shared" ref="AV131" si="1822">(((AU131*(1+($B$37*$B$4)))-AU131)/12)+AU131</f>
        <v>0</v>
      </c>
      <c r="AW131" s="431">
        <f t="shared" ref="AW131" si="1823">(((AV131*(1+($B$37*$B$4)))-AV131)/12)+AV131</f>
        <v>0</v>
      </c>
      <c r="AX131" s="431">
        <f t="shared" ref="AX131" si="1824">(((AW131*(1+($B$37*$B$4)))-AW131)/12)+AW131</f>
        <v>0</v>
      </c>
      <c r="AY131" s="431">
        <f t="shared" ref="AY131" si="1825">(((AX131*(1+($B$37*$B$4)))-AX131)/12)+AX131</f>
        <v>0</v>
      </c>
      <c r="AZ131" s="431">
        <f t="shared" ref="AZ131" si="1826">(((AY131*(1+($B$37*$B$4)))-AY131)/12)+AY131</f>
        <v>0</v>
      </c>
      <c r="BA131" s="431">
        <f t="shared" ref="BA131" si="1827">(((AZ131*(1+($B$37*$B$4)))-AZ131)/12)+AZ131</f>
        <v>0</v>
      </c>
      <c r="BB131" s="431">
        <f t="shared" ref="BB131" si="1828">(((BA131*(1+($B$37*$B$4)))-BA131)/12)+BA131</f>
        <v>0</v>
      </c>
      <c r="BC131" s="431">
        <f t="shared" ref="BC131" si="1829">(((BB131*(1+($B$37*$B$4)))-BB131)/12)+BB131</f>
        <v>0</v>
      </c>
      <c r="BD131" s="431">
        <f t="shared" ref="BD131" si="1830">(((BC131*(1+($B$37*$B$4)))-BC131)/12)+BC131</f>
        <v>0</v>
      </c>
      <c r="BE131" s="431">
        <f t="shared" ref="BE131" si="1831">(((BD131*(1+($B$37*$B$4)))-BD131)/12)+BD131</f>
        <v>0</v>
      </c>
      <c r="BF131" s="431">
        <f t="shared" ref="BF131" si="1832">(((BE131*(1+($B$37*$B$4)))-BE131)/12)+BE131</f>
        <v>0</v>
      </c>
      <c r="BG131" s="432">
        <f t="shared" ref="BG131" si="1833">(((BF131*(1+($B$38*$B$4)))-BF131)/12)+BF131</f>
        <v>0</v>
      </c>
      <c r="BH131" s="431">
        <f t="shared" ref="BH131" si="1834">(((BG131*(1+($B$38*$B$4)))-BG131)/12)+BG131</f>
        <v>0</v>
      </c>
      <c r="BI131" s="431">
        <f t="shared" ref="BI131" si="1835">(((BH131*(1+($B$38*$B$4)))-BH131)/12)+BH131</f>
        <v>0</v>
      </c>
      <c r="BJ131" s="431">
        <f t="shared" ref="BJ131" si="1836">(((BI131*(1+($B$38*$B$4)))-BI131)/12)+BI131</f>
        <v>0</v>
      </c>
      <c r="BK131" s="431">
        <f t="shared" ref="BK131" si="1837">(((BJ131*(1+($B$38*$B$4)))-BJ131)/12)+BJ131</f>
        <v>0</v>
      </c>
      <c r="BL131" s="431">
        <f t="shared" ref="BL131" si="1838">(((BK131*(1+($B$38*$B$4)))-BK131)/12)+BK131</f>
        <v>0</v>
      </c>
      <c r="BM131" s="431">
        <f t="shared" ref="BM131" si="1839">(((BL131*(1+($B$38*$B$4)))-BL131)/12)+BL131</f>
        <v>0</v>
      </c>
      <c r="BN131" s="431">
        <f t="shared" ref="BN131" si="1840">(((BM131*(1+($B$38*$B$4)))-BM131)/12)+BM131</f>
        <v>0</v>
      </c>
      <c r="BO131" s="431">
        <f t="shared" ref="BO131" si="1841">(((BN131*(1+($B$38*$B$4)))-BN131)/12)+BN131</f>
        <v>0</v>
      </c>
      <c r="BP131" s="431">
        <f t="shared" ref="BP131" si="1842">(((BO131*(1+($B$38*$B$4)))-BO131)/12)+BO131</f>
        <v>0</v>
      </c>
      <c r="BQ131" s="431">
        <f t="shared" ref="BQ131" si="1843">(((BP131*(1+($B$38*$B$4)))-BP131)/12)+BP131</f>
        <v>0</v>
      </c>
      <c r="BR131" s="431">
        <f t="shared" ref="BR131" si="1844">(((BQ131*(1+($B$38*$B$4)))-BQ131)/12)+BQ131</f>
        <v>0</v>
      </c>
      <c r="BS131" s="432">
        <f t="shared" ref="BS131" si="1845">(((BR131*(1+($B$39*$B$4)))-BR131)/12)+BR131</f>
        <v>0</v>
      </c>
      <c r="BT131" s="431">
        <f t="shared" ref="BT131" si="1846">(((BS131*(1+($B$39*$B$4)))-BS131)/12)+BS131</f>
        <v>0</v>
      </c>
      <c r="BU131" s="431">
        <f t="shared" ref="BU131" si="1847">(((BT131*(1+($B$39*$B$4)))-BT131)/12)+BT131</f>
        <v>0</v>
      </c>
      <c r="BV131" s="431">
        <f t="shared" ref="BV131" si="1848">(((BU131*(1+($B$39*$B$4)))-BU131)/12)+BU131</f>
        <v>0</v>
      </c>
      <c r="BW131" s="431">
        <f t="shared" ref="BW131" si="1849">(((BV131*(1+($B$39*$B$4)))-BV131)/12)+BV131</f>
        <v>0</v>
      </c>
      <c r="BX131" s="431">
        <f t="shared" ref="BX131" si="1850">(((BW131*(1+($B$39*$B$4)))-BW131)/12)+BW131</f>
        <v>0</v>
      </c>
      <c r="BY131" s="431">
        <f t="shared" ref="BY131" si="1851">(((BX131*(1+($B$39*$B$4)))-BX131)/12)+BX131</f>
        <v>0</v>
      </c>
      <c r="BZ131" s="431">
        <f t="shared" ref="BZ131" si="1852">(((BY131*(1+($B$39*$B$4)))-BY131)/12)+BY131</f>
        <v>0</v>
      </c>
      <c r="CA131" s="431">
        <f t="shared" ref="CA131" si="1853">(((BZ131*(1+($B$39*$B$4)))-BZ131)/12)+BZ131</f>
        <v>0</v>
      </c>
      <c r="CB131" s="431">
        <f t="shared" ref="CB131" si="1854">(((CA131*(1+($B$39*$B$4)))-CA131)/12)+CA131</f>
        <v>0</v>
      </c>
      <c r="CC131" s="431">
        <f t="shared" ref="CC131" si="1855">(((CB131*(1+($B$39*$B$4)))-CB131)/12)+CB131</f>
        <v>0</v>
      </c>
      <c r="CD131" s="431">
        <f t="shared" ref="CD131" si="1856">(((CC131*(1+($B$39*$B$4)))-CC131)/12)+CC131</f>
        <v>0</v>
      </c>
      <c r="CE131" s="432">
        <f t="shared" ref="CE131" si="1857">(((CD131*(1+($B$40*$B$4)))-CD131)/12)+CD131</f>
        <v>0</v>
      </c>
      <c r="CF131" s="431">
        <f t="shared" ref="CF131" si="1858">(((CE131*(1+($B$40*$B$4)))-CE131)/12)+CE131</f>
        <v>0</v>
      </c>
      <c r="CG131" s="431">
        <f t="shared" ref="CG131" si="1859">(((CF131*(1+($B$40*$B$4)))-CF131)/12)+CF131</f>
        <v>0</v>
      </c>
      <c r="CH131" s="431">
        <f t="shared" ref="CH131" si="1860">(((CG131*(1+($B$40*$B$4)))-CG131)/12)+CG131</f>
        <v>0</v>
      </c>
      <c r="CI131" s="431">
        <f t="shared" ref="CI131" si="1861">(((CH131*(1+($B$40*$B$4)))-CH131)/12)+CH131</f>
        <v>0</v>
      </c>
      <c r="CJ131" s="431">
        <f t="shared" ref="CJ131" si="1862">(((CI131*(1+($B$40*$B$4)))-CI131)/12)+CI131</f>
        <v>0</v>
      </c>
      <c r="CK131" s="431">
        <f t="shared" ref="CK131" si="1863">(((CJ131*(1+($B$40*$B$4)))-CJ131)/12)+CJ131</f>
        <v>0</v>
      </c>
      <c r="CL131" s="431">
        <f t="shared" ref="CL131" si="1864">(((CK131*(1+($B$40*$B$4)))-CK131)/12)+CK131</f>
        <v>0</v>
      </c>
      <c r="CM131" s="431">
        <f t="shared" ref="CM131" si="1865">(((CL131*(1+($B$40*$B$4)))-CL131)/12)+CL131</f>
        <v>0</v>
      </c>
      <c r="CN131" s="431">
        <f t="shared" ref="CN131" si="1866">(((CM131*(1+($B$40*$B$4)))-CM131)/12)+CM131</f>
        <v>0</v>
      </c>
      <c r="CO131" s="431">
        <f t="shared" ref="CO131" si="1867">(((CN131*(1+($B$40*$B$4)))-CN131)/12)+CN131</f>
        <v>0</v>
      </c>
      <c r="CP131" s="431">
        <f t="shared" ref="CP131" si="1868">(((CO131*(1+($B$40*$B$4)))-CO131)/12)+CO131</f>
        <v>0</v>
      </c>
      <c r="CQ131" s="432">
        <f t="shared" ref="CQ131" si="1869">(((CP131*(1+($B$41*$B$4)))-CP131)/12)+CP131</f>
        <v>0</v>
      </c>
      <c r="CR131" s="431">
        <f t="shared" ref="CR131" si="1870">(((CQ131*(1+($B$41*$B$4)))-CQ131)/12)+CQ131</f>
        <v>0</v>
      </c>
      <c r="CS131" s="431">
        <f t="shared" ref="CS131" si="1871">(((CR131*(1+($B$41*$B$4)))-CR131)/12)+CR131</f>
        <v>0</v>
      </c>
      <c r="CT131" s="431">
        <f t="shared" ref="CT131" si="1872">(((CS131*(1+($B$41*$B$4)))-CS131)/12)+CS131</f>
        <v>0</v>
      </c>
      <c r="CU131" s="431">
        <f t="shared" ref="CU131" si="1873">(((CT131*(1+($B$41*$B$4)))-CT131)/12)+CT131</f>
        <v>0</v>
      </c>
      <c r="CV131" s="431">
        <f t="shared" ref="CV131" si="1874">(((CU131*(1+($B$41*$B$4)))-CU131)/12)+CU131</f>
        <v>0</v>
      </c>
      <c r="CW131" s="431">
        <f t="shared" ref="CW131" si="1875">(((CV131*(1+($B$41*$B$4)))-CV131)/12)+CV131</f>
        <v>0</v>
      </c>
      <c r="CX131" s="431">
        <f t="shared" ref="CX131" si="1876">(((CW131*(1+($B$41*$B$4)))-CW131)/12)+CW131</f>
        <v>0</v>
      </c>
      <c r="CY131" s="431">
        <f t="shared" ref="CY131" si="1877">(((CX131*(1+($B$41*$B$4)))-CX131)/12)+CX131</f>
        <v>0</v>
      </c>
      <c r="CZ131" s="431">
        <f t="shared" ref="CZ131" si="1878">(((CY131*(1+($B$41*$B$4)))-CY131)/12)+CY131</f>
        <v>0</v>
      </c>
      <c r="DA131" s="431">
        <f t="shared" ref="DA131" si="1879">(((CZ131*(1+($B$41*$B$4)))-CZ131)/12)+CZ131</f>
        <v>0</v>
      </c>
      <c r="DB131" s="431">
        <f t="shared" ref="DB131" si="1880">(((DA131*(1+($B$41*$B$4)))-DA131)/12)+DA131</f>
        <v>0</v>
      </c>
      <c r="DC131" s="432">
        <f t="shared" ref="DC131" si="1881">(((DB131*(1+($B$42*$B$4)))-DB131)/12)+DB131</f>
        <v>0</v>
      </c>
      <c r="DD131" s="431">
        <f t="shared" ref="DD131" si="1882">(((DC131*(1+($B$42*$B$4)))-DC131)/12)+DC131</f>
        <v>0</v>
      </c>
      <c r="DE131" s="431">
        <f t="shared" ref="DE131" si="1883">(((DD131*(1+($B$42*$B$4)))-DD131)/12)+DD131</f>
        <v>0</v>
      </c>
      <c r="DF131" s="431">
        <f t="shared" ref="DF131" si="1884">(((DE131*(1+($B$42*$B$4)))-DE131)/12)+DE131</f>
        <v>0</v>
      </c>
      <c r="DG131" s="431">
        <f t="shared" ref="DG131" si="1885">(((DF131*(1+($B$42*$B$4)))-DF131)/12)+DF131</f>
        <v>0</v>
      </c>
      <c r="DH131" s="431">
        <f t="shared" ref="DH131" si="1886">(((DG131*(1+($B$42*$B$4)))-DG131)/12)+DG131</f>
        <v>0</v>
      </c>
      <c r="DI131" s="431">
        <f t="shared" ref="DI131" si="1887">(((DH131*(1+($B$42*$B$4)))-DH131)/12)+DH131</f>
        <v>0</v>
      </c>
      <c r="DJ131" s="431">
        <f t="shared" ref="DJ131" si="1888">(((DI131*(1+($B$42*$B$4)))-DI131)/12)+DI131</f>
        <v>0</v>
      </c>
      <c r="DK131" s="431">
        <f t="shared" ref="DK131" si="1889">(((DJ131*(1+($B$42*$B$4)))-DJ131)/12)+DJ131</f>
        <v>0</v>
      </c>
      <c r="DL131" s="431">
        <f t="shared" ref="DL131" si="1890">(((DK131*(1+($B$42*$B$4)))-DK131)/12)+DK131</f>
        <v>0</v>
      </c>
      <c r="DM131" s="431">
        <f t="shared" ref="DM131" si="1891">(((DL131*(1+($B$42*$B$4)))-DL131)/12)+DL131</f>
        <v>0</v>
      </c>
      <c r="DN131" s="431">
        <f t="shared" ref="DN131" si="1892">(((DM131*(1+($B$42*$B$4)))-DM131)/12)+DM131</f>
        <v>0</v>
      </c>
      <c r="DO131" s="432">
        <f t="shared" ref="DO131" si="1893">(((DN131*(1+($B$43*$B$4)))-DN131)/12)+DN131</f>
        <v>0</v>
      </c>
      <c r="DP131" s="431">
        <f t="shared" ref="DP131" si="1894">(((DO131*(1+($B$43*$B$4)))-DO131)/12)+DO131</f>
        <v>0</v>
      </c>
      <c r="DQ131" s="431">
        <f t="shared" ref="DQ131" si="1895">(((DP131*(1+($B$43*$B$4)))-DP131)/12)+DP131</f>
        <v>0</v>
      </c>
      <c r="DR131" s="431">
        <f t="shared" ref="DR131" si="1896">(((DQ131*(1+($B$43*$B$4)))-DQ131)/12)+DQ131</f>
        <v>0</v>
      </c>
      <c r="DS131" s="431">
        <f t="shared" ref="DS131" si="1897">(((DR131*(1+($B$43*$B$4)))-DR131)/12)+DR131</f>
        <v>0</v>
      </c>
      <c r="DT131" s="431">
        <f t="shared" ref="DT131" si="1898">(((DS131*(1+($B$43*$B$4)))-DS131)/12)+DS131</f>
        <v>0</v>
      </c>
      <c r="DU131" s="431">
        <f t="shared" ref="DU131" si="1899">(((DT131*(1+($B$43*$B$4)))-DT131)/12)+DT131</f>
        <v>0</v>
      </c>
      <c r="DV131" s="431">
        <f t="shared" ref="DV131" si="1900">(((DU131*(1+($B$43*$B$4)))-DU131)/12)+DU131</f>
        <v>0</v>
      </c>
      <c r="DW131" s="431">
        <f t="shared" ref="DW131" si="1901">(((DV131*(1+($B$43*$B$4)))-DV131)/12)+DV131</f>
        <v>0</v>
      </c>
      <c r="DX131" s="431">
        <f t="shared" ref="DX131" si="1902">(((DW131*(1+($B$43*$B$4)))-DW131)/12)+DW131</f>
        <v>0</v>
      </c>
      <c r="DY131" s="431">
        <f t="shared" ref="DY131" si="1903">(((DX131*(1+($B$43*$B$4)))-DX131)/12)+DX131</f>
        <v>0</v>
      </c>
      <c r="DZ131" s="431">
        <f t="shared" ref="DZ131" si="1904">(((DY131*(1+($B$43*$B$4)))-DY131)/12)+DY131</f>
        <v>0</v>
      </c>
      <c r="EA131" s="432">
        <f>(((DZ131*(1+($B$44*$B$4)))-DZ131)/12)+DZ131</f>
        <v>0</v>
      </c>
      <c r="EB131" s="431">
        <f>(((EA131*(1+($B$44*$B$4)))-EA131)/12)+EA131</f>
        <v>0</v>
      </c>
      <c r="EC131" s="431">
        <f>(((EB131*(1+($B$44*$B$4)))-EB131)/12)+EB131</f>
        <v>0</v>
      </c>
      <c r="ED131" s="433">
        <f>(((EC131*(1+($B$44*$B$4)))-EC131)/12)+EC131</f>
        <v>0</v>
      </c>
    </row>
    <row r="132" spans="1:134" outlineLevel="1" x14ac:dyDescent="0.25">
      <c r="A132">
        <v>3</v>
      </c>
      <c r="B132" t="s">
        <v>290</v>
      </c>
      <c r="C132" s="475"/>
      <c r="D132" s="772"/>
      <c r="E132" s="772"/>
      <c r="F132" s="772"/>
      <c r="G132" s="772"/>
      <c r="H132" s="772"/>
      <c r="I132" s="772"/>
      <c r="J132" s="772"/>
      <c r="K132" s="772"/>
      <c r="L132" s="465"/>
      <c r="M132" s="442"/>
      <c r="N132" s="466"/>
      <c r="O132" s="467"/>
      <c r="P132" s="467"/>
      <c r="Q132" s="467"/>
      <c r="R132" s="468"/>
      <c r="S132" s="469"/>
      <c r="T132" s="469"/>
      <c r="U132" s="442"/>
      <c r="V132" s="470">
        <v>1</v>
      </c>
      <c r="W132" s="441">
        <f>ROUNDUP($V132*(W131/100)/0.8,0)</f>
        <v>0</v>
      </c>
      <c r="X132" s="442">
        <f t="shared" ref="X132:CI132" si="1905">ROUNDUP($V132*(X131/100)/0.8,0)</f>
        <v>0</v>
      </c>
      <c r="Y132" s="442">
        <f t="shared" si="1905"/>
        <v>0</v>
      </c>
      <c r="Z132" s="442">
        <f t="shared" si="1905"/>
        <v>0</v>
      </c>
      <c r="AA132" s="442">
        <f t="shared" si="1905"/>
        <v>0</v>
      </c>
      <c r="AB132" s="442">
        <f t="shared" si="1905"/>
        <v>0</v>
      </c>
      <c r="AC132" s="442">
        <f t="shared" si="1905"/>
        <v>0</v>
      </c>
      <c r="AD132" s="442">
        <f t="shared" si="1905"/>
        <v>0</v>
      </c>
      <c r="AE132" s="442">
        <f t="shared" si="1905"/>
        <v>0</v>
      </c>
      <c r="AF132" s="442">
        <f t="shared" si="1905"/>
        <v>0</v>
      </c>
      <c r="AG132" s="442">
        <f t="shared" si="1905"/>
        <v>0</v>
      </c>
      <c r="AH132" s="442">
        <f t="shared" si="1905"/>
        <v>0</v>
      </c>
      <c r="AI132" s="443">
        <f t="shared" si="1905"/>
        <v>0</v>
      </c>
      <c r="AJ132" s="442">
        <f t="shared" si="1905"/>
        <v>0</v>
      </c>
      <c r="AK132" s="442">
        <f t="shared" si="1905"/>
        <v>0</v>
      </c>
      <c r="AL132" s="442">
        <f t="shared" si="1905"/>
        <v>0</v>
      </c>
      <c r="AM132" s="442">
        <f t="shared" si="1905"/>
        <v>0</v>
      </c>
      <c r="AN132" s="442">
        <f t="shared" si="1905"/>
        <v>0</v>
      </c>
      <c r="AO132" s="442">
        <f t="shared" si="1905"/>
        <v>0</v>
      </c>
      <c r="AP132" s="442">
        <f t="shared" si="1905"/>
        <v>0</v>
      </c>
      <c r="AQ132" s="442">
        <f t="shared" si="1905"/>
        <v>0</v>
      </c>
      <c r="AR132" s="442">
        <f t="shared" si="1905"/>
        <v>0</v>
      </c>
      <c r="AS132" s="442">
        <f t="shared" si="1905"/>
        <v>0</v>
      </c>
      <c r="AT132" s="442">
        <f t="shared" si="1905"/>
        <v>0</v>
      </c>
      <c r="AU132" s="443">
        <f t="shared" si="1905"/>
        <v>0</v>
      </c>
      <c r="AV132" s="442">
        <f t="shared" si="1905"/>
        <v>0</v>
      </c>
      <c r="AW132" s="442">
        <f t="shared" si="1905"/>
        <v>0</v>
      </c>
      <c r="AX132" s="442">
        <f t="shared" si="1905"/>
        <v>0</v>
      </c>
      <c r="AY132" s="442">
        <f t="shared" si="1905"/>
        <v>0</v>
      </c>
      <c r="AZ132" s="442">
        <f t="shared" si="1905"/>
        <v>0</v>
      </c>
      <c r="BA132" s="442">
        <f t="shared" si="1905"/>
        <v>0</v>
      </c>
      <c r="BB132" s="442">
        <f t="shared" si="1905"/>
        <v>0</v>
      </c>
      <c r="BC132" s="442">
        <f t="shared" si="1905"/>
        <v>0</v>
      </c>
      <c r="BD132" s="442">
        <f t="shared" si="1905"/>
        <v>0</v>
      </c>
      <c r="BE132" s="442">
        <f t="shared" si="1905"/>
        <v>0</v>
      </c>
      <c r="BF132" s="442">
        <f t="shared" si="1905"/>
        <v>0</v>
      </c>
      <c r="BG132" s="443">
        <f t="shared" si="1905"/>
        <v>0</v>
      </c>
      <c r="BH132" s="442">
        <f t="shared" si="1905"/>
        <v>0</v>
      </c>
      <c r="BI132" s="442">
        <f t="shared" si="1905"/>
        <v>0</v>
      </c>
      <c r="BJ132" s="442">
        <f t="shared" si="1905"/>
        <v>0</v>
      </c>
      <c r="BK132" s="442">
        <f t="shared" si="1905"/>
        <v>0</v>
      </c>
      <c r="BL132" s="442">
        <f t="shared" si="1905"/>
        <v>0</v>
      </c>
      <c r="BM132" s="442">
        <f t="shared" si="1905"/>
        <v>0</v>
      </c>
      <c r="BN132" s="442">
        <f t="shared" si="1905"/>
        <v>0</v>
      </c>
      <c r="BO132" s="442">
        <f t="shared" si="1905"/>
        <v>0</v>
      </c>
      <c r="BP132" s="442">
        <f t="shared" si="1905"/>
        <v>0</v>
      </c>
      <c r="BQ132" s="442">
        <f t="shared" si="1905"/>
        <v>0</v>
      </c>
      <c r="BR132" s="442">
        <f t="shared" si="1905"/>
        <v>0</v>
      </c>
      <c r="BS132" s="443">
        <f t="shared" si="1905"/>
        <v>0</v>
      </c>
      <c r="BT132" s="442">
        <f t="shared" si="1905"/>
        <v>0</v>
      </c>
      <c r="BU132" s="442">
        <f t="shared" si="1905"/>
        <v>0</v>
      </c>
      <c r="BV132" s="442">
        <f t="shared" si="1905"/>
        <v>0</v>
      </c>
      <c r="BW132" s="442">
        <f t="shared" si="1905"/>
        <v>0</v>
      </c>
      <c r="BX132" s="442">
        <f t="shared" si="1905"/>
        <v>0</v>
      </c>
      <c r="BY132" s="442">
        <f t="shared" si="1905"/>
        <v>0</v>
      </c>
      <c r="BZ132" s="442">
        <f t="shared" si="1905"/>
        <v>0</v>
      </c>
      <c r="CA132" s="442">
        <f t="shared" si="1905"/>
        <v>0</v>
      </c>
      <c r="CB132" s="442">
        <f t="shared" si="1905"/>
        <v>0</v>
      </c>
      <c r="CC132" s="442">
        <f t="shared" si="1905"/>
        <v>0</v>
      </c>
      <c r="CD132" s="442">
        <f t="shared" si="1905"/>
        <v>0</v>
      </c>
      <c r="CE132" s="443">
        <f t="shared" si="1905"/>
        <v>0</v>
      </c>
      <c r="CF132" s="442">
        <f t="shared" si="1905"/>
        <v>0</v>
      </c>
      <c r="CG132" s="442">
        <f t="shared" si="1905"/>
        <v>0</v>
      </c>
      <c r="CH132" s="442">
        <f t="shared" si="1905"/>
        <v>0</v>
      </c>
      <c r="CI132" s="442">
        <f t="shared" si="1905"/>
        <v>0</v>
      </c>
      <c r="CJ132" s="442">
        <f t="shared" ref="CJ132:ED132" si="1906">ROUNDUP($V132*(CJ131/100)/0.8,0)</f>
        <v>0</v>
      </c>
      <c r="CK132" s="442">
        <f t="shared" si="1906"/>
        <v>0</v>
      </c>
      <c r="CL132" s="442">
        <f t="shared" si="1906"/>
        <v>0</v>
      </c>
      <c r="CM132" s="442">
        <f t="shared" si="1906"/>
        <v>0</v>
      </c>
      <c r="CN132" s="442">
        <f t="shared" si="1906"/>
        <v>0</v>
      </c>
      <c r="CO132" s="442">
        <f t="shared" si="1906"/>
        <v>0</v>
      </c>
      <c r="CP132" s="442">
        <f t="shared" si="1906"/>
        <v>0</v>
      </c>
      <c r="CQ132" s="443">
        <f t="shared" si="1906"/>
        <v>0</v>
      </c>
      <c r="CR132" s="442">
        <f t="shared" si="1906"/>
        <v>0</v>
      </c>
      <c r="CS132" s="442">
        <f t="shared" si="1906"/>
        <v>0</v>
      </c>
      <c r="CT132" s="442">
        <f t="shared" si="1906"/>
        <v>0</v>
      </c>
      <c r="CU132" s="442">
        <f t="shared" si="1906"/>
        <v>0</v>
      </c>
      <c r="CV132" s="442">
        <f t="shared" si="1906"/>
        <v>0</v>
      </c>
      <c r="CW132" s="442">
        <f t="shared" si="1906"/>
        <v>0</v>
      </c>
      <c r="CX132" s="442">
        <f t="shared" si="1906"/>
        <v>0</v>
      </c>
      <c r="CY132" s="442">
        <f t="shared" si="1906"/>
        <v>0</v>
      </c>
      <c r="CZ132" s="442">
        <f t="shared" si="1906"/>
        <v>0</v>
      </c>
      <c r="DA132" s="442">
        <f t="shared" si="1906"/>
        <v>0</v>
      </c>
      <c r="DB132" s="442">
        <f t="shared" si="1906"/>
        <v>0</v>
      </c>
      <c r="DC132" s="443">
        <f t="shared" si="1906"/>
        <v>0</v>
      </c>
      <c r="DD132" s="442">
        <f t="shared" si="1906"/>
        <v>0</v>
      </c>
      <c r="DE132" s="442">
        <f t="shared" si="1906"/>
        <v>0</v>
      </c>
      <c r="DF132" s="442">
        <f t="shared" si="1906"/>
        <v>0</v>
      </c>
      <c r="DG132" s="442">
        <f t="shared" si="1906"/>
        <v>0</v>
      </c>
      <c r="DH132" s="442">
        <f t="shared" si="1906"/>
        <v>0</v>
      </c>
      <c r="DI132" s="442">
        <f t="shared" si="1906"/>
        <v>0</v>
      </c>
      <c r="DJ132" s="442">
        <f t="shared" si="1906"/>
        <v>0</v>
      </c>
      <c r="DK132" s="442">
        <f t="shared" si="1906"/>
        <v>0</v>
      </c>
      <c r="DL132" s="442">
        <f t="shared" si="1906"/>
        <v>0</v>
      </c>
      <c r="DM132" s="442">
        <f t="shared" si="1906"/>
        <v>0</v>
      </c>
      <c r="DN132" s="442">
        <f t="shared" si="1906"/>
        <v>0</v>
      </c>
      <c r="DO132" s="443">
        <f t="shared" si="1906"/>
        <v>0</v>
      </c>
      <c r="DP132" s="442">
        <f t="shared" si="1906"/>
        <v>0</v>
      </c>
      <c r="DQ132" s="442">
        <f t="shared" si="1906"/>
        <v>0</v>
      </c>
      <c r="DR132" s="442">
        <f t="shared" si="1906"/>
        <v>0</v>
      </c>
      <c r="DS132" s="442">
        <f t="shared" si="1906"/>
        <v>0</v>
      </c>
      <c r="DT132" s="442">
        <f t="shared" si="1906"/>
        <v>0</v>
      </c>
      <c r="DU132" s="442">
        <f t="shared" si="1906"/>
        <v>0</v>
      </c>
      <c r="DV132" s="442">
        <f t="shared" si="1906"/>
        <v>0</v>
      </c>
      <c r="DW132" s="442">
        <f t="shared" si="1906"/>
        <v>0</v>
      </c>
      <c r="DX132" s="442">
        <f t="shared" si="1906"/>
        <v>0</v>
      </c>
      <c r="DY132" s="442">
        <f t="shared" si="1906"/>
        <v>0</v>
      </c>
      <c r="DZ132" s="442">
        <f t="shared" si="1906"/>
        <v>0</v>
      </c>
      <c r="EA132" s="443">
        <f t="shared" si="1906"/>
        <v>0</v>
      </c>
      <c r="EB132" s="442">
        <f t="shared" si="1906"/>
        <v>0</v>
      </c>
      <c r="EC132" s="442">
        <f t="shared" si="1906"/>
        <v>0</v>
      </c>
      <c r="ED132" s="444">
        <f t="shared" si="1906"/>
        <v>0</v>
      </c>
    </row>
    <row r="133" spans="1:134" outlineLevel="1" x14ac:dyDescent="0.25">
      <c r="A133">
        <v>1</v>
      </c>
      <c r="B133" t="s">
        <v>291</v>
      </c>
      <c r="C133" s="475"/>
      <c r="D133" s="770" t="s">
        <v>292</v>
      </c>
      <c r="E133" s="770"/>
      <c r="F133" s="770"/>
      <c r="G133" s="770"/>
      <c r="H133" s="770"/>
      <c r="I133" s="770"/>
      <c r="J133" s="770"/>
      <c r="K133" s="770"/>
      <c r="L133" s="445"/>
      <c r="M133" s="446"/>
      <c r="N133" s="447">
        <f>M133/100</f>
        <v>0</v>
      </c>
      <c r="O133" s="448"/>
      <c r="P133" s="448"/>
      <c r="Q133" s="448"/>
      <c r="R133" s="449">
        <f>P133-N133</f>
        <v>0</v>
      </c>
      <c r="S133" s="450">
        <f>Q133*100</f>
        <v>0</v>
      </c>
      <c r="T133" s="450"/>
      <c r="U133" s="446"/>
      <c r="V133" s="451"/>
      <c r="W133" s="452">
        <f>M133</f>
        <v>0</v>
      </c>
      <c r="X133" s="453">
        <f>W133</f>
        <v>0</v>
      </c>
      <c r="Y133" s="453">
        <f>X133</f>
        <v>0</v>
      </c>
      <c r="Z133" s="453">
        <f>O133*100</f>
        <v>0</v>
      </c>
      <c r="AA133" s="453">
        <f>Z133</f>
        <v>0</v>
      </c>
      <c r="AB133" s="453">
        <f>AA133</f>
        <v>0</v>
      </c>
      <c r="AC133" s="453">
        <f>P133*100</f>
        <v>0</v>
      </c>
      <c r="AD133" s="453">
        <f>AC133</f>
        <v>0</v>
      </c>
      <c r="AE133" s="453">
        <f>AD133</f>
        <v>0</v>
      </c>
      <c r="AF133" s="453">
        <f>AE133</f>
        <v>0</v>
      </c>
      <c r="AG133" s="453">
        <f>AF133</f>
        <v>0</v>
      </c>
      <c r="AH133" s="453">
        <f>AG133</f>
        <v>0</v>
      </c>
      <c r="AI133" s="454">
        <f t="shared" ref="AI133" si="1907">(((AH133*(1+($B$36*$B$4)))-AH133)/12)+AH133</f>
        <v>0</v>
      </c>
      <c r="AJ133" s="453">
        <f t="shared" ref="AJ133" si="1908">(((AI133*(1+($B$36*$B$4)))-AI133)/12)+AI133</f>
        <v>0</v>
      </c>
      <c r="AK133" s="453">
        <f t="shared" ref="AK133" si="1909">(((AJ133*(1+($B$36*$B$4)))-AJ133)/12)+AJ133</f>
        <v>0</v>
      </c>
      <c r="AL133" s="453">
        <f t="shared" ref="AL133" si="1910">(((AK133*(1+($B$36*$B$4)))-AK133)/12)+AK133</f>
        <v>0</v>
      </c>
      <c r="AM133" s="453">
        <f t="shared" ref="AM133" si="1911">(((AL133*(1+($B$36*$B$4)))-AL133)/12)+AL133</f>
        <v>0</v>
      </c>
      <c r="AN133" s="453">
        <f t="shared" ref="AN133" si="1912">(((AM133*(1+($B$36*$B$4)))-AM133)/12)+AM133</f>
        <v>0</v>
      </c>
      <c r="AO133" s="453">
        <f t="shared" ref="AO133" si="1913">(((AN133*(1+($B$36*$B$4)))-AN133)/12)+AN133</f>
        <v>0</v>
      </c>
      <c r="AP133" s="453">
        <f t="shared" ref="AP133" si="1914">(((AO133*(1+($B$36*$B$4)))-AO133)/12)+AO133</f>
        <v>0</v>
      </c>
      <c r="AQ133" s="453">
        <f t="shared" ref="AQ133" si="1915">(((AP133*(1+($B$36*$B$4)))-AP133)/12)+AP133</f>
        <v>0</v>
      </c>
      <c r="AR133" s="453">
        <f t="shared" ref="AR133" si="1916">(((AQ133*(1+($B$36*$B$4)))-AQ133)/12)+AQ133</f>
        <v>0</v>
      </c>
      <c r="AS133" s="453">
        <f t="shared" ref="AS133" si="1917">(((AR133*(1+($B$36*$B$4)))-AR133)/12)+AR133</f>
        <v>0</v>
      </c>
      <c r="AT133" s="453">
        <f t="shared" ref="AT133" si="1918">(((AS133*(1+($B$36*$B$4)))-AS133)/12)+AS133</f>
        <v>0</v>
      </c>
      <c r="AU133" s="454">
        <f t="shared" ref="AU133" si="1919">(((AT133*(1+($B$37*$B$4)))-AT133)/12)+AT133</f>
        <v>0</v>
      </c>
      <c r="AV133" s="453">
        <f t="shared" ref="AV133" si="1920">(((AU133*(1+($B$37*$B$4)))-AU133)/12)+AU133</f>
        <v>0</v>
      </c>
      <c r="AW133" s="453">
        <f t="shared" ref="AW133" si="1921">(((AV133*(1+($B$37*$B$4)))-AV133)/12)+AV133</f>
        <v>0</v>
      </c>
      <c r="AX133" s="453">
        <f t="shared" ref="AX133" si="1922">(((AW133*(1+($B$37*$B$4)))-AW133)/12)+AW133</f>
        <v>0</v>
      </c>
      <c r="AY133" s="453">
        <f t="shared" ref="AY133" si="1923">(((AX133*(1+($B$37*$B$4)))-AX133)/12)+AX133</f>
        <v>0</v>
      </c>
      <c r="AZ133" s="453">
        <f t="shared" ref="AZ133" si="1924">(((AY133*(1+($B$37*$B$4)))-AY133)/12)+AY133</f>
        <v>0</v>
      </c>
      <c r="BA133" s="453">
        <f t="shared" ref="BA133" si="1925">(((AZ133*(1+($B$37*$B$4)))-AZ133)/12)+AZ133</f>
        <v>0</v>
      </c>
      <c r="BB133" s="453">
        <f t="shared" ref="BB133" si="1926">(((BA133*(1+($B$37*$B$4)))-BA133)/12)+BA133</f>
        <v>0</v>
      </c>
      <c r="BC133" s="453">
        <f t="shared" ref="BC133" si="1927">(((BB133*(1+($B$37*$B$4)))-BB133)/12)+BB133</f>
        <v>0</v>
      </c>
      <c r="BD133" s="453">
        <f t="shared" ref="BD133" si="1928">(((BC133*(1+($B$37*$B$4)))-BC133)/12)+BC133</f>
        <v>0</v>
      </c>
      <c r="BE133" s="453">
        <f t="shared" ref="BE133" si="1929">(((BD133*(1+($B$37*$B$4)))-BD133)/12)+BD133</f>
        <v>0</v>
      </c>
      <c r="BF133" s="453">
        <f t="shared" ref="BF133" si="1930">(((BE133*(1+($B$37*$B$4)))-BE133)/12)+BE133</f>
        <v>0</v>
      </c>
      <c r="BG133" s="454">
        <f t="shared" ref="BG133" si="1931">(((BF133*(1+($B$38*$B$4)))-BF133)/12)+BF133</f>
        <v>0</v>
      </c>
      <c r="BH133" s="453">
        <f t="shared" ref="BH133" si="1932">(((BG133*(1+($B$38*$B$4)))-BG133)/12)+BG133</f>
        <v>0</v>
      </c>
      <c r="BI133" s="453">
        <f t="shared" ref="BI133" si="1933">(((BH133*(1+($B$38*$B$4)))-BH133)/12)+BH133</f>
        <v>0</v>
      </c>
      <c r="BJ133" s="453">
        <f t="shared" ref="BJ133" si="1934">(((BI133*(1+($B$38*$B$4)))-BI133)/12)+BI133</f>
        <v>0</v>
      </c>
      <c r="BK133" s="453">
        <f t="shared" ref="BK133" si="1935">(((BJ133*(1+($B$38*$B$4)))-BJ133)/12)+BJ133</f>
        <v>0</v>
      </c>
      <c r="BL133" s="453">
        <f t="shared" ref="BL133" si="1936">(((BK133*(1+($B$38*$B$4)))-BK133)/12)+BK133</f>
        <v>0</v>
      </c>
      <c r="BM133" s="453">
        <f t="shared" ref="BM133" si="1937">(((BL133*(1+($B$38*$B$4)))-BL133)/12)+BL133</f>
        <v>0</v>
      </c>
      <c r="BN133" s="453">
        <f t="shared" ref="BN133" si="1938">(((BM133*(1+($B$38*$B$4)))-BM133)/12)+BM133</f>
        <v>0</v>
      </c>
      <c r="BO133" s="453">
        <f t="shared" ref="BO133" si="1939">(((BN133*(1+($B$38*$B$4)))-BN133)/12)+BN133</f>
        <v>0</v>
      </c>
      <c r="BP133" s="453">
        <f t="shared" ref="BP133" si="1940">(((BO133*(1+($B$38*$B$4)))-BO133)/12)+BO133</f>
        <v>0</v>
      </c>
      <c r="BQ133" s="453">
        <f t="shared" ref="BQ133" si="1941">(((BP133*(1+($B$38*$B$4)))-BP133)/12)+BP133</f>
        <v>0</v>
      </c>
      <c r="BR133" s="453">
        <f t="shared" ref="BR133" si="1942">(((BQ133*(1+($B$38*$B$4)))-BQ133)/12)+BQ133</f>
        <v>0</v>
      </c>
      <c r="BS133" s="454">
        <f t="shared" ref="BS133" si="1943">(((BR133*(1+($B$39*$B$4)))-BR133)/12)+BR133</f>
        <v>0</v>
      </c>
      <c r="BT133" s="453">
        <f t="shared" ref="BT133" si="1944">(((BS133*(1+($B$39*$B$4)))-BS133)/12)+BS133</f>
        <v>0</v>
      </c>
      <c r="BU133" s="453">
        <f t="shared" ref="BU133" si="1945">(((BT133*(1+($B$39*$B$4)))-BT133)/12)+BT133</f>
        <v>0</v>
      </c>
      <c r="BV133" s="453">
        <f t="shared" ref="BV133" si="1946">(((BU133*(1+($B$39*$B$4)))-BU133)/12)+BU133</f>
        <v>0</v>
      </c>
      <c r="BW133" s="453">
        <f t="shared" ref="BW133" si="1947">(((BV133*(1+($B$39*$B$4)))-BV133)/12)+BV133</f>
        <v>0</v>
      </c>
      <c r="BX133" s="453">
        <f t="shared" ref="BX133" si="1948">(((BW133*(1+($B$39*$B$4)))-BW133)/12)+BW133</f>
        <v>0</v>
      </c>
      <c r="BY133" s="453">
        <f t="shared" ref="BY133" si="1949">(((BX133*(1+($B$39*$B$4)))-BX133)/12)+BX133</f>
        <v>0</v>
      </c>
      <c r="BZ133" s="453">
        <f t="shared" ref="BZ133" si="1950">(((BY133*(1+($B$39*$B$4)))-BY133)/12)+BY133</f>
        <v>0</v>
      </c>
      <c r="CA133" s="453">
        <f t="shared" ref="CA133" si="1951">(((BZ133*(1+($B$39*$B$4)))-BZ133)/12)+BZ133</f>
        <v>0</v>
      </c>
      <c r="CB133" s="453">
        <f t="shared" ref="CB133" si="1952">(((CA133*(1+($B$39*$B$4)))-CA133)/12)+CA133</f>
        <v>0</v>
      </c>
      <c r="CC133" s="453">
        <f t="shared" ref="CC133" si="1953">(((CB133*(1+($B$39*$B$4)))-CB133)/12)+CB133</f>
        <v>0</v>
      </c>
      <c r="CD133" s="453">
        <f t="shared" ref="CD133" si="1954">(((CC133*(1+($B$39*$B$4)))-CC133)/12)+CC133</f>
        <v>0</v>
      </c>
      <c r="CE133" s="454">
        <f t="shared" ref="CE133" si="1955">(((CD133*(1+($B$40*$B$4)))-CD133)/12)+CD133</f>
        <v>0</v>
      </c>
      <c r="CF133" s="453">
        <f t="shared" ref="CF133" si="1956">(((CE133*(1+($B$40*$B$4)))-CE133)/12)+CE133</f>
        <v>0</v>
      </c>
      <c r="CG133" s="453">
        <f t="shared" ref="CG133" si="1957">(((CF133*(1+($B$40*$B$4)))-CF133)/12)+CF133</f>
        <v>0</v>
      </c>
      <c r="CH133" s="453">
        <f t="shared" ref="CH133" si="1958">(((CG133*(1+($B$40*$B$4)))-CG133)/12)+CG133</f>
        <v>0</v>
      </c>
      <c r="CI133" s="453">
        <f t="shared" ref="CI133" si="1959">(((CH133*(1+($B$40*$B$4)))-CH133)/12)+CH133</f>
        <v>0</v>
      </c>
      <c r="CJ133" s="453">
        <f t="shared" ref="CJ133" si="1960">(((CI133*(1+($B$40*$B$4)))-CI133)/12)+CI133</f>
        <v>0</v>
      </c>
      <c r="CK133" s="453">
        <f t="shared" ref="CK133" si="1961">(((CJ133*(1+($B$40*$B$4)))-CJ133)/12)+CJ133</f>
        <v>0</v>
      </c>
      <c r="CL133" s="453">
        <f t="shared" ref="CL133" si="1962">(((CK133*(1+($B$40*$B$4)))-CK133)/12)+CK133</f>
        <v>0</v>
      </c>
      <c r="CM133" s="453">
        <f t="shared" ref="CM133" si="1963">(((CL133*(1+($B$40*$B$4)))-CL133)/12)+CL133</f>
        <v>0</v>
      </c>
      <c r="CN133" s="453">
        <f t="shared" ref="CN133" si="1964">(((CM133*(1+($B$40*$B$4)))-CM133)/12)+CM133</f>
        <v>0</v>
      </c>
      <c r="CO133" s="453">
        <f t="shared" ref="CO133" si="1965">(((CN133*(1+($B$40*$B$4)))-CN133)/12)+CN133</f>
        <v>0</v>
      </c>
      <c r="CP133" s="453">
        <f t="shared" ref="CP133" si="1966">(((CO133*(1+($B$40*$B$4)))-CO133)/12)+CO133</f>
        <v>0</v>
      </c>
      <c r="CQ133" s="454">
        <f t="shared" ref="CQ133" si="1967">(((CP133*(1+($B$41*$B$4)))-CP133)/12)+CP133</f>
        <v>0</v>
      </c>
      <c r="CR133" s="453">
        <f t="shared" ref="CR133" si="1968">(((CQ133*(1+($B$41*$B$4)))-CQ133)/12)+CQ133</f>
        <v>0</v>
      </c>
      <c r="CS133" s="453">
        <f t="shared" ref="CS133" si="1969">(((CR133*(1+($B$41*$B$4)))-CR133)/12)+CR133</f>
        <v>0</v>
      </c>
      <c r="CT133" s="453">
        <f t="shared" ref="CT133" si="1970">(((CS133*(1+($B$41*$B$4)))-CS133)/12)+CS133</f>
        <v>0</v>
      </c>
      <c r="CU133" s="453">
        <f t="shared" ref="CU133" si="1971">(((CT133*(1+($B$41*$B$4)))-CT133)/12)+CT133</f>
        <v>0</v>
      </c>
      <c r="CV133" s="453">
        <f t="shared" ref="CV133" si="1972">(((CU133*(1+($B$41*$B$4)))-CU133)/12)+CU133</f>
        <v>0</v>
      </c>
      <c r="CW133" s="453">
        <f t="shared" ref="CW133" si="1973">(((CV133*(1+($B$41*$B$4)))-CV133)/12)+CV133</f>
        <v>0</v>
      </c>
      <c r="CX133" s="453">
        <f t="shared" ref="CX133" si="1974">(((CW133*(1+($B$41*$B$4)))-CW133)/12)+CW133</f>
        <v>0</v>
      </c>
      <c r="CY133" s="453">
        <f t="shared" ref="CY133" si="1975">(((CX133*(1+($B$41*$B$4)))-CX133)/12)+CX133</f>
        <v>0</v>
      </c>
      <c r="CZ133" s="453">
        <f t="shared" ref="CZ133" si="1976">(((CY133*(1+($B$41*$B$4)))-CY133)/12)+CY133</f>
        <v>0</v>
      </c>
      <c r="DA133" s="453">
        <f t="shared" ref="DA133" si="1977">(((CZ133*(1+($B$41*$B$4)))-CZ133)/12)+CZ133</f>
        <v>0</v>
      </c>
      <c r="DB133" s="453">
        <f t="shared" ref="DB133" si="1978">(((DA133*(1+($B$41*$B$4)))-DA133)/12)+DA133</f>
        <v>0</v>
      </c>
      <c r="DC133" s="454">
        <f t="shared" ref="DC133" si="1979">(((DB133*(1+($B$42*$B$4)))-DB133)/12)+DB133</f>
        <v>0</v>
      </c>
      <c r="DD133" s="453">
        <f t="shared" ref="DD133" si="1980">(((DC133*(1+($B$42*$B$4)))-DC133)/12)+DC133</f>
        <v>0</v>
      </c>
      <c r="DE133" s="453">
        <f t="shared" ref="DE133" si="1981">(((DD133*(1+($B$42*$B$4)))-DD133)/12)+DD133</f>
        <v>0</v>
      </c>
      <c r="DF133" s="453">
        <f t="shared" ref="DF133" si="1982">(((DE133*(1+($B$42*$B$4)))-DE133)/12)+DE133</f>
        <v>0</v>
      </c>
      <c r="DG133" s="453">
        <f t="shared" ref="DG133" si="1983">(((DF133*(1+($B$42*$B$4)))-DF133)/12)+DF133</f>
        <v>0</v>
      </c>
      <c r="DH133" s="453">
        <f t="shared" ref="DH133" si="1984">(((DG133*(1+($B$42*$B$4)))-DG133)/12)+DG133</f>
        <v>0</v>
      </c>
      <c r="DI133" s="453">
        <f t="shared" ref="DI133" si="1985">(((DH133*(1+($B$42*$B$4)))-DH133)/12)+DH133</f>
        <v>0</v>
      </c>
      <c r="DJ133" s="453">
        <f t="shared" ref="DJ133" si="1986">(((DI133*(1+($B$42*$B$4)))-DI133)/12)+DI133</f>
        <v>0</v>
      </c>
      <c r="DK133" s="453">
        <f t="shared" ref="DK133" si="1987">(((DJ133*(1+($B$42*$B$4)))-DJ133)/12)+DJ133</f>
        <v>0</v>
      </c>
      <c r="DL133" s="453">
        <f t="shared" ref="DL133" si="1988">(((DK133*(1+($B$42*$B$4)))-DK133)/12)+DK133</f>
        <v>0</v>
      </c>
      <c r="DM133" s="453">
        <f t="shared" ref="DM133" si="1989">(((DL133*(1+($B$42*$B$4)))-DL133)/12)+DL133</f>
        <v>0</v>
      </c>
      <c r="DN133" s="453">
        <f t="shared" ref="DN133" si="1990">(((DM133*(1+($B$42*$B$4)))-DM133)/12)+DM133</f>
        <v>0</v>
      </c>
      <c r="DO133" s="454">
        <f t="shared" ref="DO133" si="1991">(((DN133*(1+($B$43*$B$4)))-DN133)/12)+DN133</f>
        <v>0</v>
      </c>
      <c r="DP133" s="453">
        <f t="shared" ref="DP133" si="1992">(((DO133*(1+($B$43*$B$4)))-DO133)/12)+DO133</f>
        <v>0</v>
      </c>
      <c r="DQ133" s="453">
        <f t="shared" ref="DQ133" si="1993">(((DP133*(1+($B$43*$B$4)))-DP133)/12)+DP133</f>
        <v>0</v>
      </c>
      <c r="DR133" s="453">
        <f t="shared" ref="DR133" si="1994">(((DQ133*(1+($B$43*$B$4)))-DQ133)/12)+DQ133</f>
        <v>0</v>
      </c>
      <c r="DS133" s="453">
        <f t="shared" ref="DS133" si="1995">(((DR133*(1+($B$43*$B$4)))-DR133)/12)+DR133</f>
        <v>0</v>
      </c>
      <c r="DT133" s="453">
        <f t="shared" ref="DT133" si="1996">(((DS133*(1+($B$43*$B$4)))-DS133)/12)+DS133</f>
        <v>0</v>
      </c>
      <c r="DU133" s="453">
        <f t="shared" ref="DU133" si="1997">(((DT133*(1+($B$43*$B$4)))-DT133)/12)+DT133</f>
        <v>0</v>
      </c>
      <c r="DV133" s="453">
        <f t="shared" ref="DV133" si="1998">(((DU133*(1+($B$43*$B$4)))-DU133)/12)+DU133</f>
        <v>0</v>
      </c>
      <c r="DW133" s="453">
        <f t="shared" ref="DW133" si="1999">(((DV133*(1+($B$43*$B$4)))-DV133)/12)+DV133</f>
        <v>0</v>
      </c>
      <c r="DX133" s="453">
        <f t="shared" ref="DX133" si="2000">(((DW133*(1+($B$43*$B$4)))-DW133)/12)+DW133</f>
        <v>0</v>
      </c>
      <c r="DY133" s="453">
        <f t="shared" ref="DY133" si="2001">(((DX133*(1+($B$43*$B$4)))-DX133)/12)+DX133</f>
        <v>0</v>
      </c>
      <c r="DZ133" s="453">
        <f t="shared" ref="DZ133" si="2002">(((DY133*(1+($B$43*$B$4)))-DY133)/12)+DY133</f>
        <v>0</v>
      </c>
      <c r="EA133" s="454">
        <f>(((DZ133*(1+($B$44*$B$4)))-DZ133)/12)+DZ133</f>
        <v>0</v>
      </c>
      <c r="EB133" s="453">
        <f>(((EA133*(1+($B$44*$B$4)))-EA133)/12)+EA133</f>
        <v>0</v>
      </c>
      <c r="EC133" s="453">
        <f>(((EB133*(1+($B$44*$B$4)))-EB133)/12)+EB133</f>
        <v>0</v>
      </c>
      <c r="ED133" s="455">
        <f>(((EC133*(1+($B$44*$B$4)))-EC133)/12)+EC133</f>
        <v>0</v>
      </c>
    </row>
    <row r="134" spans="1:134" outlineLevel="1" x14ac:dyDescent="0.25">
      <c r="A134">
        <v>6</v>
      </c>
      <c r="B134" t="s">
        <v>293</v>
      </c>
      <c r="C134" s="475"/>
      <c r="D134" s="744"/>
      <c r="E134" s="744"/>
      <c r="F134" s="744"/>
      <c r="G134" s="744"/>
      <c r="H134" s="744"/>
      <c r="I134" s="744"/>
      <c r="J134" s="744"/>
      <c r="K134" s="744"/>
      <c r="L134" s="434"/>
      <c r="M134" s="435"/>
      <c r="N134" s="436"/>
      <c r="O134" s="437"/>
      <c r="P134" s="437"/>
      <c r="Q134" s="437"/>
      <c r="R134" s="438"/>
      <c r="S134" s="439"/>
      <c r="T134" s="439"/>
      <c r="U134" s="435"/>
      <c r="V134" s="440">
        <v>1</v>
      </c>
      <c r="W134" s="456">
        <f>ROUNDUP($V134*(W133/100)/0.8,0)</f>
        <v>0</v>
      </c>
      <c r="X134" s="446">
        <f t="shared" ref="X134:CI134" si="2003">ROUNDUP($V134*(X133/100)/0.8,0)</f>
        <v>0</v>
      </c>
      <c r="Y134" s="446">
        <f t="shared" si="2003"/>
        <v>0</v>
      </c>
      <c r="Z134" s="446">
        <f t="shared" si="2003"/>
        <v>0</v>
      </c>
      <c r="AA134" s="446">
        <f t="shared" si="2003"/>
        <v>0</v>
      </c>
      <c r="AB134" s="446">
        <f t="shared" si="2003"/>
        <v>0</v>
      </c>
      <c r="AC134" s="446">
        <f t="shared" si="2003"/>
        <v>0</v>
      </c>
      <c r="AD134" s="446">
        <f t="shared" si="2003"/>
        <v>0</v>
      </c>
      <c r="AE134" s="446">
        <f t="shared" si="2003"/>
        <v>0</v>
      </c>
      <c r="AF134" s="446">
        <f t="shared" si="2003"/>
        <v>0</v>
      </c>
      <c r="AG134" s="446">
        <f t="shared" si="2003"/>
        <v>0</v>
      </c>
      <c r="AH134" s="446">
        <f t="shared" si="2003"/>
        <v>0</v>
      </c>
      <c r="AI134" s="457">
        <f t="shared" si="2003"/>
        <v>0</v>
      </c>
      <c r="AJ134" s="446">
        <f t="shared" si="2003"/>
        <v>0</v>
      </c>
      <c r="AK134" s="446">
        <f t="shared" si="2003"/>
        <v>0</v>
      </c>
      <c r="AL134" s="446">
        <f t="shared" si="2003"/>
        <v>0</v>
      </c>
      <c r="AM134" s="446">
        <f t="shared" si="2003"/>
        <v>0</v>
      </c>
      <c r="AN134" s="446">
        <f t="shared" si="2003"/>
        <v>0</v>
      </c>
      <c r="AO134" s="446">
        <f t="shared" si="2003"/>
        <v>0</v>
      </c>
      <c r="AP134" s="446">
        <f t="shared" si="2003"/>
        <v>0</v>
      </c>
      <c r="AQ134" s="446">
        <f t="shared" si="2003"/>
        <v>0</v>
      </c>
      <c r="AR134" s="446">
        <f t="shared" si="2003"/>
        <v>0</v>
      </c>
      <c r="AS134" s="446">
        <f t="shared" si="2003"/>
        <v>0</v>
      </c>
      <c r="AT134" s="446">
        <f t="shared" si="2003"/>
        <v>0</v>
      </c>
      <c r="AU134" s="457">
        <f t="shared" si="2003"/>
        <v>0</v>
      </c>
      <c r="AV134" s="446">
        <f t="shared" si="2003"/>
        <v>0</v>
      </c>
      <c r="AW134" s="446">
        <f t="shared" si="2003"/>
        <v>0</v>
      </c>
      <c r="AX134" s="446">
        <f t="shared" si="2003"/>
        <v>0</v>
      </c>
      <c r="AY134" s="446">
        <f t="shared" si="2003"/>
        <v>0</v>
      </c>
      <c r="AZ134" s="446">
        <f t="shared" si="2003"/>
        <v>0</v>
      </c>
      <c r="BA134" s="446">
        <f t="shared" si="2003"/>
        <v>0</v>
      </c>
      <c r="BB134" s="446">
        <f t="shared" si="2003"/>
        <v>0</v>
      </c>
      <c r="BC134" s="446">
        <f t="shared" si="2003"/>
        <v>0</v>
      </c>
      <c r="BD134" s="446">
        <f t="shared" si="2003"/>
        <v>0</v>
      </c>
      <c r="BE134" s="446">
        <f t="shared" si="2003"/>
        <v>0</v>
      </c>
      <c r="BF134" s="446">
        <f t="shared" si="2003"/>
        <v>0</v>
      </c>
      <c r="BG134" s="457">
        <f t="shared" si="2003"/>
        <v>0</v>
      </c>
      <c r="BH134" s="446">
        <f t="shared" si="2003"/>
        <v>0</v>
      </c>
      <c r="BI134" s="446">
        <f t="shared" si="2003"/>
        <v>0</v>
      </c>
      <c r="BJ134" s="446">
        <f t="shared" si="2003"/>
        <v>0</v>
      </c>
      <c r="BK134" s="446">
        <f t="shared" si="2003"/>
        <v>0</v>
      </c>
      <c r="BL134" s="446">
        <f t="shared" si="2003"/>
        <v>0</v>
      </c>
      <c r="BM134" s="446">
        <f t="shared" si="2003"/>
        <v>0</v>
      </c>
      <c r="BN134" s="446">
        <f t="shared" si="2003"/>
        <v>0</v>
      </c>
      <c r="BO134" s="446">
        <f t="shared" si="2003"/>
        <v>0</v>
      </c>
      <c r="BP134" s="446">
        <f t="shared" si="2003"/>
        <v>0</v>
      </c>
      <c r="BQ134" s="446">
        <f t="shared" si="2003"/>
        <v>0</v>
      </c>
      <c r="BR134" s="446">
        <f t="shared" si="2003"/>
        <v>0</v>
      </c>
      <c r="BS134" s="457">
        <f t="shared" si="2003"/>
        <v>0</v>
      </c>
      <c r="BT134" s="446">
        <f t="shared" si="2003"/>
        <v>0</v>
      </c>
      <c r="BU134" s="446">
        <f t="shared" si="2003"/>
        <v>0</v>
      </c>
      <c r="BV134" s="446">
        <f t="shared" si="2003"/>
        <v>0</v>
      </c>
      <c r="BW134" s="446">
        <f t="shared" si="2003"/>
        <v>0</v>
      </c>
      <c r="BX134" s="446">
        <f t="shared" si="2003"/>
        <v>0</v>
      </c>
      <c r="BY134" s="446">
        <f t="shared" si="2003"/>
        <v>0</v>
      </c>
      <c r="BZ134" s="446">
        <f t="shared" si="2003"/>
        <v>0</v>
      </c>
      <c r="CA134" s="446">
        <f t="shared" si="2003"/>
        <v>0</v>
      </c>
      <c r="CB134" s="446">
        <f t="shared" si="2003"/>
        <v>0</v>
      </c>
      <c r="CC134" s="446">
        <f t="shared" si="2003"/>
        <v>0</v>
      </c>
      <c r="CD134" s="446">
        <f t="shared" si="2003"/>
        <v>0</v>
      </c>
      <c r="CE134" s="457">
        <f t="shared" si="2003"/>
        <v>0</v>
      </c>
      <c r="CF134" s="446">
        <f t="shared" si="2003"/>
        <v>0</v>
      </c>
      <c r="CG134" s="446">
        <f t="shared" si="2003"/>
        <v>0</v>
      </c>
      <c r="CH134" s="446">
        <f t="shared" si="2003"/>
        <v>0</v>
      </c>
      <c r="CI134" s="446">
        <f t="shared" si="2003"/>
        <v>0</v>
      </c>
      <c r="CJ134" s="446">
        <f t="shared" ref="CJ134:ED134" si="2004">ROUNDUP($V134*(CJ133/100)/0.8,0)</f>
        <v>0</v>
      </c>
      <c r="CK134" s="446">
        <f t="shared" si="2004"/>
        <v>0</v>
      </c>
      <c r="CL134" s="446">
        <f t="shared" si="2004"/>
        <v>0</v>
      </c>
      <c r="CM134" s="446">
        <f t="shared" si="2004"/>
        <v>0</v>
      </c>
      <c r="CN134" s="446">
        <f t="shared" si="2004"/>
        <v>0</v>
      </c>
      <c r="CO134" s="446">
        <f t="shared" si="2004"/>
        <v>0</v>
      </c>
      <c r="CP134" s="446">
        <f t="shared" si="2004"/>
        <v>0</v>
      </c>
      <c r="CQ134" s="457">
        <f t="shared" si="2004"/>
        <v>0</v>
      </c>
      <c r="CR134" s="446">
        <f t="shared" si="2004"/>
        <v>0</v>
      </c>
      <c r="CS134" s="446">
        <f t="shared" si="2004"/>
        <v>0</v>
      </c>
      <c r="CT134" s="446">
        <f t="shared" si="2004"/>
        <v>0</v>
      </c>
      <c r="CU134" s="446">
        <f t="shared" si="2004"/>
        <v>0</v>
      </c>
      <c r="CV134" s="446">
        <f t="shared" si="2004"/>
        <v>0</v>
      </c>
      <c r="CW134" s="446">
        <f t="shared" si="2004"/>
        <v>0</v>
      </c>
      <c r="CX134" s="446">
        <f t="shared" si="2004"/>
        <v>0</v>
      </c>
      <c r="CY134" s="446">
        <f t="shared" si="2004"/>
        <v>0</v>
      </c>
      <c r="CZ134" s="446">
        <f t="shared" si="2004"/>
        <v>0</v>
      </c>
      <c r="DA134" s="446">
        <f t="shared" si="2004"/>
        <v>0</v>
      </c>
      <c r="DB134" s="446">
        <f t="shared" si="2004"/>
        <v>0</v>
      </c>
      <c r="DC134" s="457">
        <f t="shared" si="2004"/>
        <v>0</v>
      </c>
      <c r="DD134" s="446">
        <f t="shared" si="2004"/>
        <v>0</v>
      </c>
      <c r="DE134" s="446">
        <f t="shared" si="2004"/>
        <v>0</v>
      </c>
      <c r="DF134" s="446">
        <f t="shared" si="2004"/>
        <v>0</v>
      </c>
      <c r="DG134" s="446">
        <f t="shared" si="2004"/>
        <v>0</v>
      </c>
      <c r="DH134" s="446">
        <f t="shared" si="2004"/>
        <v>0</v>
      </c>
      <c r="DI134" s="446">
        <f t="shared" si="2004"/>
        <v>0</v>
      </c>
      <c r="DJ134" s="446">
        <f t="shared" si="2004"/>
        <v>0</v>
      </c>
      <c r="DK134" s="446">
        <f t="shared" si="2004"/>
        <v>0</v>
      </c>
      <c r="DL134" s="446">
        <f t="shared" si="2004"/>
        <v>0</v>
      </c>
      <c r="DM134" s="446">
        <f t="shared" si="2004"/>
        <v>0</v>
      </c>
      <c r="DN134" s="446">
        <f t="shared" si="2004"/>
        <v>0</v>
      </c>
      <c r="DO134" s="457">
        <f t="shared" si="2004"/>
        <v>0</v>
      </c>
      <c r="DP134" s="446">
        <f t="shared" si="2004"/>
        <v>0</v>
      </c>
      <c r="DQ134" s="446">
        <f t="shared" si="2004"/>
        <v>0</v>
      </c>
      <c r="DR134" s="446">
        <f t="shared" si="2004"/>
        <v>0</v>
      </c>
      <c r="DS134" s="446">
        <f t="shared" si="2004"/>
        <v>0</v>
      </c>
      <c r="DT134" s="446">
        <f t="shared" si="2004"/>
        <v>0</v>
      </c>
      <c r="DU134" s="446">
        <f t="shared" si="2004"/>
        <v>0</v>
      </c>
      <c r="DV134" s="446">
        <f t="shared" si="2004"/>
        <v>0</v>
      </c>
      <c r="DW134" s="446">
        <f t="shared" si="2004"/>
        <v>0</v>
      </c>
      <c r="DX134" s="446">
        <f t="shared" si="2004"/>
        <v>0</v>
      </c>
      <c r="DY134" s="446">
        <f t="shared" si="2004"/>
        <v>0</v>
      </c>
      <c r="DZ134" s="446">
        <f t="shared" si="2004"/>
        <v>0</v>
      </c>
      <c r="EA134" s="457">
        <f t="shared" si="2004"/>
        <v>0</v>
      </c>
      <c r="EB134" s="446">
        <f t="shared" si="2004"/>
        <v>0</v>
      </c>
      <c r="EC134" s="446">
        <f t="shared" si="2004"/>
        <v>0</v>
      </c>
      <c r="ED134" s="458">
        <f t="shared" si="2004"/>
        <v>0</v>
      </c>
    </row>
    <row r="135" spans="1:134" outlineLevel="1" x14ac:dyDescent="0.25">
      <c r="A135">
        <v>0.5</v>
      </c>
      <c r="B135" t="s">
        <v>294</v>
      </c>
      <c r="C135" s="475"/>
      <c r="D135" s="770" t="s">
        <v>295</v>
      </c>
      <c r="E135" s="770"/>
      <c r="F135" s="770"/>
      <c r="G135" s="770"/>
      <c r="H135" s="770"/>
      <c r="I135" s="770"/>
      <c r="J135" s="770"/>
      <c r="K135" s="770"/>
      <c r="L135" s="445"/>
      <c r="M135" s="446"/>
      <c r="N135" s="447">
        <f>M135/100</f>
        <v>0</v>
      </c>
      <c r="O135" s="448"/>
      <c r="P135" s="448"/>
      <c r="Q135" s="448"/>
      <c r="R135" s="449">
        <f>P135-N135</f>
        <v>0</v>
      </c>
      <c r="S135" s="450">
        <f>Q135*100</f>
        <v>0</v>
      </c>
      <c r="T135" s="450"/>
      <c r="U135" s="446"/>
      <c r="V135" s="451"/>
      <c r="W135" s="430">
        <f>M135</f>
        <v>0</v>
      </c>
      <c r="X135" s="431">
        <f>W135</f>
        <v>0</v>
      </c>
      <c r="Y135" s="431">
        <f>X135</f>
        <v>0</v>
      </c>
      <c r="Z135" s="431">
        <f>O135*100</f>
        <v>0</v>
      </c>
      <c r="AA135" s="431">
        <f>Z135</f>
        <v>0</v>
      </c>
      <c r="AB135" s="431">
        <f>AA135</f>
        <v>0</v>
      </c>
      <c r="AC135" s="431">
        <f>P135*100</f>
        <v>0</v>
      </c>
      <c r="AD135" s="431">
        <f>AC135</f>
        <v>0</v>
      </c>
      <c r="AE135" s="431">
        <f>AD135</f>
        <v>0</v>
      </c>
      <c r="AF135" s="431">
        <f>AE135</f>
        <v>0</v>
      </c>
      <c r="AG135" s="431">
        <f>AF135</f>
        <v>0</v>
      </c>
      <c r="AH135" s="431">
        <f>AG135</f>
        <v>0</v>
      </c>
      <c r="AI135" s="432">
        <f t="shared" ref="AI135" si="2005">(((AH135*(1+($B$36*$B$4)))-AH135)/12)+AH135</f>
        <v>0</v>
      </c>
      <c r="AJ135" s="431">
        <f t="shared" ref="AJ135" si="2006">(((AI135*(1+($B$36*$B$4)))-AI135)/12)+AI135</f>
        <v>0</v>
      </c>
      <c r="AK135" s="431">
        <f t="shared" ref="AK135" si="2007">(((AJ135*(1+($B$36*$B$4)))-AJ135)/12)+AJ135</f>
        <v>0</v>
      </c>
      <c r="AL135" s="431">
        <f t="shared" ref="AL135" si="2008">(((AK135*(1+($B$36*$B$4)))-AK135)/12)+AK135</f>
        <v>0</v>
      </c>
      <c r="AM135" s="431">
        <f t="shared" ref="AM135" si="2009">(((AL135*(1+($B$36*$B$4)))-AL135)/12)+AL135</f>
        <v>0</v>
      </c>
      <c r="AN135" s="431">
        <f t="shared" ref="AN135" si="2010">(((AM135*(1+($B$36*$B$4)))-AM135)/12)+AM135</f>
        <v>0</v>
      </c>
      <c r="AO135" s="431">
        <f t="shared" ref="AO135" si="2011">(((AN135*(1+($B$36*$B$4)))-AN135)/12)+AN135</f>
        <v>0</v>
      </c>
      <c r="AP135" s="431">
        <f t="shared" ref="AP135" si="2012">(((AO135*(1+($B$36*$B$4)))-AO135)/12)+AO135</f>
        <v>0</v>
      </c>
      <c r="AQ135" s="431">
        <f t="shared" ref="AQ135" si="2013">(((AP135*(1+($B$36*$B$4)))-AP135)/12)+AP135</f>
        <v>0</v>
      </c>
      <c r="AR135" s="431">
        <f t="shared" ref="AR135" si="2014">(((AQ135*(1+($B$36*$B$4)))-AQ135)/12)+AQ135</f>
        <v>0</v>
      </c>
      <c r="AS135" s="431">
        <f t="shared" ref="AS135" si="2015">(((AR135*(1+($B$36*$B$4)))-AR135)/12)+AR135</f>
        <v>0</v>
      </c>
      <c r="AT135" s="431">
        <f t="shared" ref="AT135" si="2016">(((AS135*(1+($B$36*$B$4)))-AS135)/12)+AS135</f>
        <v>0</v>
      </c>
      <c r="AU135" s="432">
        <f t="shared" ref="AU135" si="2017">(((AT135*(1+($B$37*$B$4)))-AT135)/12)+AT135</f>
        <v>0</v>
      </c>
      <c r="AV135" s="431">
        <f t="shared" ref="AV135" si="2018">(((AU135*(1+($B$37*$B$4)))-AU135)/12)+AU135</f>
        <v>0</v>
      </c>
      <c r="AW135" s="431">
        <f t="shared" ref="AW135" si="2019">(((AV135*(1+($B$37*$B$4)))-AV135)/12)+AV135</f>
        <v>0</v>
      </c>
      <c r="AX135" s="431">
        <f t="shared" ref="AX135" si="2020">(((AW135*(1+($B$37*$B$4)))-AW135)/12)+AW135</f>
        <v>0</v>
      </c>
      <c r="AY135" s="431">
        <f t="shared" ref="AY135" si="2021">(((AX135*(1+($B$37*$B$4)))-AX135)/12)+AX135</f>
        <v>0</v>
      </c>
      <c r="AZ135" s="431">
        <f t="shared" ref="AZ135" si="2022">(((AY135*(1+($B$37*$B$4)))-AY135)/12)+AY135</f>
        <v>0</v>
      </c>
      <c r="BA135" s="431">
        <f t="shared" ref="BA135" si="2023">(((AZ135*(1+($B$37*$B$4)))-AZ135)/12)+AZ135</f>
        <v>0</v>
      </c>
      <c r="BB135" s="431">
        <f t="shared" ref="BB135" si="2024">(((BA135*(1+($B$37*$B$4)))-BA135)/12)+BA135</f>
        <v>0</v>
      </c>
      <c r="BC135" s="431">
        <f t="shared" ref="BC135" si="2025">(((BB135*(1+($B$37*$B$4)))-BB135)/12)+BB135</f>
        <v>0</v>
      </c>
      <c r="BD135" s="431">
        <f t="shared" ref="BD135" si="2026">(((BC135*(1+($B$37*$B$4)))-BC135)/12)+BC135</f>
        <v>0</v>
      </c>
      <c r="BE135" s="431">
        <f t="shared" ref="BE135" si="2027">(((BD135*(1+($B$37*$B$4)))-BD135)/12)+BD135</f>
        <v>0</v>
      </c>
      <c r="BF135" s="431">
        <f t="shared" ref="BF135" si="2028">(((BE135*(1+($B$37*$B$4)))-BE135)/12)+BE135</f>
        <v>0</v>
      </c>
      <c r="BG135" s="432">
        <f t="shared" ref="BG135" si="2029">(((BF135*(1+($B$38*$B$4)))-BF135)/12)+BF135</f>
        <v>0</v>
      </c>
      <c r="BH135" s="431">
        <f t="shared" ref="BH135" si="2030">(((BG135*(1+($B$38*$B$4)))-BG135)/12)+BG135</f>
        <v>0</v>
      </c>
      <c r="BI135" s="431">
        <f t="shared" ref="BI135" si="2031">(((BH135*(1+($B$38*$B$4)))-BH135)/12)+BH135</f>
        <v>0</v>
      </c>
      <c r="BJ135" s="431">
        <f t="shared" ref="BJ135" si="2032">(((BI135*(1+($B$38*$B$4)))-BI135)/12)+BI135</f>
        <v>0</v>
      </c>
      <c r="BK135" s="431">
        <f t="shared" ref="BK135" si="2033">(((BJ135*(1+($B$38*$B$4)))-BJ135)/12)+BJ135</f>
        <v>0</v>
      </c>
      <c r="BL135" s="431">
        <f t="shared" ref="BL135" si="2034">(((BK135*(1+($B$38*$B$4)))-BK135)/12)+BK135</f>
        <v>0</v>
      </c>
      <c r="BM135" s="431">
        <f t="shared" ref="BM135" si="2035">(((BL135*(1+($B$38*$B$4)))-BL135)/12)+BL135</f>
        <v>0</v>
      </c>
      <c r="BN135" s="431">
        <f t="shared" ref="BN135" si="2036">(((BM135*(1+($B$38*$B$4)))-BM135)/12)+BM135</f>
        <v>0</v>
      </c>
      <c r="BO135" s="431">
        <f t="shared" ref="BO135" si="2037">(((BN135*(1+($B$38*$B$4)))-BN135)/12)+BN135</f>
        <v>0</v>
      </c>
      <c r="BP135" s="431">
        <f t="shared" ref="BP135" si="2038">(((BO135*(1+($B$38*$B$4)))-BO135)/12)+BO135</f>
        <v>0</v>
      </c>
      <c r="BQ135" s="431">
        <f t="shared" ref="BQ135" si="2039">(((BP135*(1+($B$38*$B$4)))-BP135)/12)+BP135</f>
        <v>0</v>
      </c>
      <c r="BR135" s="431">
        <f t="shared" ref="BR135" si="2040">(((BQ135*(1+($B$38*$B$4)))-BQ135)/12)+BQ135</f>
        <v>0</v>
      </c>
      <c r="BS135" s="432">
        <f t="shared" ref="BS135" si="2041">(((BR135*(1+($B$39*$B$4)))-BR135)/12)+BR135</f>
        <v>0</v>
      </c>
      <c r="BT135" s="431">
        <f t="shared" ref="BT135" si="2042">(((BS135*(1+($B$39*$B$4)))-BS135)/12)+BS135</f>
        <v>0</v>
      </c>
      <c r="BU135" s="431">
        <f t="shared" ref="BU135" si="2043">(((BT135*(1+($B$39*$B$4)))-BT135)/12)+BT135</f>
        <v>0</v>
      </c>
      <c r="BV135" s="431">
        <f t="shared" ref="BV135" si="2044">(((BU135*(1+($B$39*$B$4)))-BU135)/12)+BU135</f>
        <v>0</v>
      </c>
      <c r="BW135" s="431">
        <f t="shared" ref="BW135" si="2045">(((BV135*(1+($B$39*$B$4)))-BV135)/12)+BV135</f>
        <v>0</v>
      </c>
      <c r="BX135" s="431">
        <f t="shared" ref="BX135" si="2046">(((BW135*(1+($B$39*$B$4)))-BW135)/12)+BW135</f>
        <v>0</v>
      </c>
      <c r="BY135" s="431">
        <f t="shared" ref="BY135" si="2047">(((BX135*(1+($B$39*$B$4)))-BX135)/12)+BX135</f>
        <v>0</v>
      </c>
      <c r="BZ135" s="431">
        <f t="shared" ref="BZ135" si="2048">(((BY135*(1+($B$39*$B$4)))-BY135)/12)+BY135</f>
        <v>0</v>
      </c>
      <c r="CA135" s="431">
        <f t="shared" ref="CA135" si="2049">(((BZ135*(1+($B$39*$B$4)))-BZ135)/12)+BZ135</f>
        <v>0</v>
      </c>
      <c r="CB135" s="431">
        <f t="shared" ref="CB135" si="2050">(((CA135*(1+($B$39*$B$4)))-CA135)/12)+CA135</f>
        <v>0</v>
      </c>
      <c r="CC135" s="431">
        <f t="shared" ref="CC135" si="2051">(((CB135*(1+($B$39*$B$4)))-CB135)/12)+CB135</f>
        <v>0</v>
      </c>
      <c r="CD135" s="431">
        <f t="shared" ref="CD135" si="2052">(((CC135*(1+($B$39*$B$4)))-CC135)/12)+CC135</f>
        <v>0</v>
      </c>
      <c r="CE135" s="432">
        <f t="shared" ref="CE135" si="2053">(((CD135*(1+($B$40*$B$4)))-CD135)/12)+CD135</f>
        <v>0</v>
      </c>
      <c r="CF135" s="431">
        <f t="shared" ref="CF135" si="2054">(((CE135*(1+($B$40*$B$4)))-CE135)/12)+CE135</f>
        <v>0</v>
      </c>
      <c r="CG135" s="431">
        <f t="shared" ref="CG135" si="2055">(((CF135*(1+($B$40*$B$4)))-CF135)/12)+CF135</f>
        <v>0</v>
      </c>
      <c r="CH135" s="431">
        <f t="shared" ref="CH135" si="2056">(((CG135*(1+($B$40*$B$4)))-CG135)/12)+CG135</f>
        <v>0</v>
      </c>
      <c r="CI135" s="431">
        <f t="shared" ref="CI135" si="2057">(((CH135*(1+($B$40*$B$4)))-CH135)/12)+CH135</f>
        <v>0</v>
      </c>
      <c r="CJ135" s="431">
        <f t="shared" ref="CJ135" si="2058">(((CI135*(1+($B$40*$B$4)))-CI135)/12)+CI135</f>
        <v>0</v>
      </c>
      <c r="CK135" s="431">
        <f t="shared" ref="CK135" si="2059">(((CJ135*(1+($B$40*$B$4)))-CJ135)/12)+CJ135</f>
        <v>0</v>
      </c>
      <c r="CL135" s="431">
        <f t="shared" ref="CL135" si="2060">(((CK135*(1+($B$40*$B$4)))-CK135)/12)+CK135</f>
        <v>0</v>
      </c>
      <c r="CM135" s="431">
        <f t="shared" ref="CM135" si="2061">(((CL135*(1+($B$40*$B$4)))-CL135)/12)+CL135</f>
        <v>0</v>
      </c>
      <c r="CN135" s="431">
        <f t="shared" ref="CN135" si="2062">(((CM135*(1+($B$40*$B$4)))-CM135)/12)+CM135</f>
        <v>0</v>
      </c>
      <c r="CO135" s="431">
        <f t="shared" ref="CO135" si="2063">(((CN135*(1+($B$40*$B$4)))-CN135)/12)+CN135</f>
        <v>0</v>
      </c>
      <c r="CP135" s="431">
        <f t="shared" ref="CP135" si="2064">(((CO135*(1+($B$40*$B$4)))-CO135)/12)+CO135</f>
        <v>0</v>
      </c>
      <c r="CQ135" s="432">
        <f t="shared" ref="CQ135" si="2065">(((CP135*(1+($B$41*$B$4)))-CP135)/12)+CP135</f>
        <v>0</v>
      </c>
      <c r="CR135" s="431">
        <f t="shared" ref="CR135" si="2066">(((CQ135*(1+($B$41*$B$4)))-CQ135)/12)+CQ135</f>
        <v>0</v>
      </c>
      <c r="CS135" s="431">
        <f t="shared" ref="CS135" si="2067">(((CR135*(1+($B$41*$B$4)))-CR135)/12)+CR135</f>
        <v>0</v>
      </c>
      <c r="CT135" s="431">
        <f t="shared" ref="CT135" si="2068">(((CS135*(1+($B$41*$B$4)))-CS135)/12)+CS135</f>
        <v>0</v>
      </c>
      <c r="CU135" s="431">
        <f t="shared" ref="CU135" si="2069">(((CT135*(1+($B$41*$B$4)))-CT135)/12)+CT135</f>
        <v>0</v>
      </c>
      <c r="CV135" s="431">
        <f t="shared" ref="CV135" si="2070">(((CU135*(1+($B$41*$B$4)))-CU135)/12)+CU135</f>
        <v>0</v>
      </c>
      <c r="CW135" s="431">
        <f t="shared" ref="CW135" si="2071">(((CV135*(1+($B$41*$B$4)))-CV135)/12)+CV135</f>
        <v>0</v>
      </c>
      <c r="CX135" s="431">
        <f t="shared" ref="CX135" si="2072">(((CW135*(1+($B$41*$B$4)))-CW135)/12)+CW135</f>
        <v>0</v>
      </c>
      <c r="CY135" s="431">
        <f t="shared" ref="CY135" si="2073">(((CX135*(1+($B$41*$B$4)))-CX135)/12)+CX135</f>
        <v>0</v>
      </c>
      <c r="CZ135" s="431">
        <f t="shared" ref="CZ135" si="2074">(((CY135*(1+($B$41*$B$4)))-CY135)/12)+CY135</f>
        <v>0</v>
      </c>
      <c r="DA135" s="431">
        <f t="shared" ref="DA135" si="2075">(((CZ135*(1+($B$41*$B$4)))-CZ135)/12)+CZ135</f>
        <v>0</v>
      </c>
      <c r="DB135" s="431">
        <f t="shared" ref="DB135" si="2076">(((DA135*(1+($B$41*$B$4)))-DA135)/12)+DA135</f>
        <v>0</v>
      </c>
      <c r="DC135" s="432">
        <f t="shared" ref="DC135" si="2077">(((DB135*(1+($B$42*$B$4)))-DB135)/12)+DB135</f>
        <v>0</v>
      </c>
      <c r="DD135" s="431">
        <f t="shared" ref="DD135" si="2078">(((DC135*(1+($B$42*$B$4)))-DC135)/12)+DC135</f>
        <v>0</v>
      </c>
      <c r="DE135" s="431">
        <f t="shared" ref="DE135" si="2079">(((DD135*(1+($B$42*$B$4)))-DD135)/12)+DD135</f>
        <v>0</v>
      </c>
      <c r="DF135" s="431">
        <f t="shared" ref="DF135" si="2080">(((DE135*(1+($B$42*$B$4)))-DE135)/12)+DE135</f>
        <v>0</v>
      </c>
      <c r="DG135" s="431">
        <f t="shared" ref="DG135" si="2081">(((DF135*(1+($B$42*$B$4)))-DF135)/12)+DF135</f>
        <v>0</v>
      </c>
      <c r="DH135" s="431">
        <f t="shared" ref="DH135" si="2082">(((DG135*(1+($B$42*$B$4)))-DG135)/12)+DG135</f>
        <v>0</v>
      </c>
      <c r="DI135" s="431">
        <f t="shared" ref="DI135" si="2083">(((DH135*(1+($B$42*$B$4)))-DH135)/12)+DH135</f>
        <v>0</v>
      </c>
      <c r="DJ135" s="431">
        <f t="shared" ref="DJ135" si="2084">(((DI135*(1+($B$42*$B$4)))-DI135)/12)+DI135</f>
        <v>0</v>
      </c>
      <c r="DK135" s="431">
        <f t="shared" ref="DK135" si="2085">(((DJ135*(1+($B$42*$B$4)))-DJ135)/12)+DJ135</f>
        <v>0</v>
      </c>
      <c r="DL135" s="431">
        <f t="shared" ref="DL135" si="2086">(((DK135*(1+($B$42*$B$4)))-DK135)/12)+DK135</f>
        <v>0</v>
      </c>
      <c r="DM135" s="431">
        <f t="shared" ref="DM135" si="2087">(((DL135*(1+($B$42*$B$4)))-DL135)/12)+DL135</f>
        <v>0</v>
      </c>
      <c r="DN135" s="431">
        <f t="shared" ref="DN135" si="2088">(((DM135*(1+($B$42*$B$4)))-DM135)/12)+DM135</f>
        <v>0</v>
      </c>
      <c r="DO135" s="432">
        <f t="shared" ref="DO135" si="2089">(((DN135*(1+($B$43*$B$4)))-DN135)/12)+DN135</f>
        <v>0</v>
      </c>
      <c r="DP135" s="431">
        <f t="shared" ref="DP135" si="2090">(((DO135*(1+($B$43*$B$4)))-DO135)/12)+DO135</f>
        <v>0</v>
      </c>
      <c r="DQ135" s="431">
        <f t="shared" ref="DQ135" si="2091">(((DP135*(1+($B$43*$B$4)))-DP135)/12)+DP135</f>
        <v>0</v>
      </c>
      <c r="DR135" s="431">
        <f t="shared" ref="DR135" si="2092">(((DQ135*(1+($B$43*$B$4)))-DQ135)/12)+DQ135</f>
        <v>0</v>
      </c>
      <c r="DS135" s="431">
        <f t="shared" ref="DS135" si="2093">(((DR135*(1+($B$43*$B$4)))-DR135)/12)+DR135</f>
        <v>0</v>
      </c>
      <c r="DT135" s="431">
        <f t="shared" ref="DT135" si="2094">(((DS135*(1+($B$43*$B$4)))-DS135)/12)+DS135</f>
        <v>0</v>
      </c>
      <c r="DU135" s="431">
        <f t="shared" ref="DU135" si="2095">(((DT135*(1+($B$43*$B$4)))-DT135)/12)+DT135</f>
        <v>0</v>
      </c>
      <c r="DV135" s="431">
        <f t="shared" ref="DV135" si="2096">(((DU135*(1+($B$43*$B$4)))-DU135)/12)+DU135</f>
        <v>0</v>
      </c>
      <c r="DW135" s="431">
        <f t="shared" ref="DW135" si="2097">(((DV135*(1+($B$43*$B$4)))-DV135)/12)+DV135</f>
        <v>0</v>
      </c>
      <c r="DX135" s="431">
        <f t="shared" ref="DX135" si="2098">(((DW135*(1+($B$43*$B$4)))-DW135)/12)+DW135</f>
        <v>0</v>
      </c>
      <c r="DY135" s="431">
        <f t="shared" ref="DY135" si="2099">(((DX135*(1+($B$43*$B$4)))-DX135)/12)+DX135</f>
        <v>0</v>
      </c>
      <c r="DZ135" s="431">
        <f t="shared" ref="DZ135" si="2100">(((DY135*(1+($B$43*$B$4)))-DY135)/12)+DY135</f>
        <v>0</v>
      </c>
      <c r="EA135" s="432">
        <f>(((DZ135*(1+($B$44*$B$4)))-DZ135)/12)+DZ135</f>
        <v>0</v>
      </c>
      <c r="EB135" s="431">
        <f>(((EA135*(1+($B$44*$B$4)))-EA135)/12)+EA135</f>
        <v>0</v>
      </c>
      <c r="EC135" s="431">
        <f>(((EB135*(1+($B$44*$B$4)))-EB135)/12)+EB135</f>
        <v>0</v>
      </c>
      <c r="ED135" s="433">
        <f>(((EC135*(1+($B$44*$B$4)))-EC135)/12)+EC135</f>
        <v>0</v>
      </c>
    </row>
    <row r="136" spans="1:134" outlineLevel="1" x14ac:dyDescent="0.25">
      <c r="A136">
        <v>3</v>
      </c>
      <c r="B136" t="s">
        <v>296</v>
      </c>
      <c r="C136" s="475"/>
      <c r="D136" s="770"/>
      <c r="E136" s="770"/>
      <c r="F136" s="770"/>
      <c r="G136" s="770"/>
      <c r="H136" s="770"/>
      <c r="I136" s="770"/>
      <c r="J136" s="770"/>
      <c r="K136" s="770"/>
      <c r="L136" s="445"/>
      <c r="M136" s="446"/>
      <c r="N136" s="447"/>
      <c r="O136" s="448"/>
      <c r="P136" s="448"/>
      <c r="Q136" s="448"/>
      <c r="R136" s="449"/>
      <c r="S136" s="450"/>
      <c r="T136" s="450"/>
      <c r="U136" s="446"/>
      <c r="V136" s="451">
        <v>1</v>
      </c>
      <c r="W136" s="441">
        <f>ROUNDUP($V136*(W135/100)/0.8,0)</f>
        <v>0</v>
      </c>
      <c r="X136" s="442">
        <f t="shared" ref="X136:CI136" si="2101">ROUNDUP($V136*(X135/100)/0.8,0)</f>
        <v>0</v>
      </c>
      <c r="Y136" s="442">
        <f t="shared" si="2101"/>
        <v>0</v>
      </c>
      <c r="Z136" s="442">
        <f t="shared" si="2101"/>
        <v>0</v>
      </c>
      <c r="AA136" s="442">
        <f t="shared" si="2101"/>
        <v>0</v>
      </c>
      <c r="AB136" s="442">
        <f t="shared" si="2101"/>
        <v>0</v>
      </c>
      <c r="AC136" s="442">
        <f t="shared" si="2101"/>
        <v>0</v>
      </c>
      <c r="AD136" s="442">
        <f t="shared" si="2101"/>
        <v>0</v>
      </c>
      <c r="AE136" s="442">
        <f t="shared" si="2101"/>
        <v>0</v>
      </c>
      <c r="AF136" s="442">
        <f t="shared" si="2101"/>
        <v>0</v>
      </c>
      <c r="AG136" s="442">
        <f t="shared" si="2101"/>
        <v>0</v>
      </c>
      <c r="AH136" s="442">
        <f t="shared" si="2101"/>
        <v>0</v>
      </c>
      <c r="AI136" s="443">
        <f t="shared" si="2101"/>
        <v>0</v>
      </c>
      <c r="AJ136" s="442">
        <f t="shared" si="2101"/>
        <v>0</v>
      </c>
      <c r="AK136" s="442">
        <f t="shared" si="2101"/>
        <v>0</v>
      </c>
      <c r="AL136" s="442">
        <f t="shared" si="2101"/>
        <v>0</v>
      </c>
      <c r="AM136" s="442">
        <f t="shared" si="2101"/>
        <v>0</v>
      </c>
      <c r="AN136" s="442">
        <f t="shared" si="2101"/>
        <v>0</v>
      </c>
      <c r="AO136" s="442">
        <f t="shared" si="2101"/>
        <v>0</v>
      </c>
      <c r="AP136" s="442">
        <f t="shared" si="2101"/>
        <v>0</v>
      </c>
      <c r="AQ136" s="442">
        <f t="shared" si="2101"/>
        <v>0</v>
      </c>
      <c r="AR136" s="442">
        <f t="shared" si="2101"/>
        <v>0</v>
      </c>
      <c r="AS136" s="442">
        <f t="shared" si="2101"/>
        <v>0</v>
      </c>
      <c r="AT136" s="442">
        <f t="shared" si="2101"/>
        <v>0</v>
      </c>
      <c r="AU136" s="443">
        <f t="shared" si="2101"/>
        <v>0</v>
      </c>
      <c r="AV136" s="442">
        <f t="shared" si="2101"/>
        <v>0</v>
      </c>
      <c r="AW136" s="442">
        <f t="shared" si="2101"/>
        <v>0</v>
      </c>
      <c r="AX136" s="442">
        <f t="shared" si="2101"/>
        <v>0</v>
      </c>
      <c r="AY136" s="442">
        <f t="shared" si="2101"/>
        <v>0</v>
      </c>
      <c r="AZ136" s="442">
        <f t="shared" si="2101"/>
        <v>0</v>
      </c>
      <c r="BA136" s="442">
        <f t="shared" si="2101"/>
        <v>0</v>
      </c>
      <c r="BB136" s="442">
        <f t="shared" si="2101"/>
        <v>0</v>
      </c>
      <c r="BC136" s="442">
        <f t="shared" si="2101"/>
        <v>0</v>
      </c>
      <c r="BD136" s="442">
        <f t="shared" si="2101"/>
        <v>0</v>
      </c>
      <c r="BE136" s="442">
        <f t="shared" si="2101"/>
        <v>0</v>
      </c>
      <c r="BF136" s="442">
        <f t="shared" si="2101"/>
        <v>0</v>
      </c>
      <c r="BG136" s="443">
        <f t="shared" si="2101"/>
        <v>0</v>
      </c>
      <c r="BH136" s="442">
        <f t="shared" si="2101"/>
        <v>0</v>
      </c>
      <c r="BI136" s="442">
        <f t="shared" si="2101"/>
        <v>0</v>
      </c>
      <c r="BJ136" s="442">
        <f t="shared" si="2101"/>
        <v>0</v>
      </c>
      <c r="BK136" s="442">
        <f t="shared" si="2101"/>
        <v>0</v>
      </c>
      <c r="BL136" s="442">
        <f t="shared" si="2101"/>
        <v>0</v>
      </c>
      <c r="BM136" s="442">
        <f t="shared" si="2101"/>
        <v>0</v>
      </c>
      <c r="BN136" s="442">
        <f t="shared" si="2101"/>
        <v>0</v>
      </c>
      <c r="BO136" s="442">
        <f t="shared" si="2101"/>
        <v>0</v>
      </c>
      <c r="BP136" s="442">
        <f t="shared" si="2101"/>
        <v>0</v>
      </c>
      <c r="BQ136" s="442">
        <f t="shared" si="2101"/>
        <v>0</v>
      </c>
      <c r="BR136" s="442">
        <f t="shared" si="2101"/>
        <v>0</v>
      </c>
      <c r="BS136" s="443">
        <f t="shared" si="2101"/>
        <v>0</v>
      </c>
      <c r="BT136" s="442">
        <f t="shared" si="2101"/>
        <v>0</v>
      </c>
      <c r="BU136" s="442">
        <f t="shared" si="2101"/>
        <v>0</v>
      </c>
      <c r="BV136" s="442">
        <f t="shared" si="2101"/>
        <v>0</v>
      </c>
      <c r="BW136" s="442">
        <f t="shared" si="2101"/>
        <v>0</v>
      </c>
      <c r="BX136" s="442">
        <f t="shared" si="2101"/>
        <v>0</v>
      </c>
      <c r="BY136" s="442">
        <f t="shared" si="2101"/>
        <v>0</v>
      </c>
      <c r="BZ136" s="442">
        <f t="shared" si="2101"/>
        <v>0</v>
      </c>
      <c r="CA136" s="442">
        <f t="shared" si="2101"/>
        <v>0</v>
      </c>
      <c r="CB136" s="442">
        <f t="shared" si="2101"/>
        <v>0</v>
      </c>
      <c r="CC136" s="442">
        <f t="shared" si="2101"/>
        <v>0</v>
      </c>
      <c r="CD136" s="442">
        <f t="shared" si="2101"/>
        <v>0</v>
      </c>
      <c r="CE136" s="443">
        <f t="shared" si="2101"/>
        <v>0</v>
      </c>
      <c r="CF136" s="442">
        <f t="shared" si="2101"/>
        <v>0</v>
      </c>
      <c r="CG136" s="442">
        <f t="shared" si="2101"/>
        <v>0</v>
      </c>
      <c r="CH136" s="442">
        <f t="shared" si="2101"/>
        <v>0</v>
      </c>
      <c r="CI136" s="442">
        <f t="shared" si="2101"/>
        <v>0</v>
      </c>
      <c r="CJ136" s="442">
        <f t="shared" ref="CJ136:ED136" si="2102">ROUNDUP($V136*(CJ135/100)/0.8,0)</f>
        <v>0</v>
      </c>
      <c r="CK136" s="442">
        <f t="shared" si="2102"/>
        <v>0</v>
      </c>
      <c r="CL136" s="442">
        <f t="shared" si="2102"/>
        <v>0</v>
      </c>
      <c r="CM136" s="442">
        <f t="shared" si="2102"/>
        <v>0</v>
      </c>
      <c r="CN136" s="442">
        <f t="shared" si="2102"/>
        <v>0</v>
      </c>
      <c r="CO136" s="442">
        <f t="shared" si="2102"/>
        <v>0</v>
      </c>
      <c r="CP136" s="442">
        <f t="shared" si="2102"/>
        <v>0</v>
      </c>
      <c r="CQ136" s="443">
        <f t="shared" si="2102"/>
        <v>0</v>
      </c>
      <c r="CR136" s="442">
        <f t="shared" si="2102"/>
        <v>0</v>
      </c>
      <c r="CS136" s="442">
        <f t="shared" si="2102"/>
        <v>0</v>
      </c>
      <c r="CT136" s="442">
        <f t="shared" si="2102"/>
        <v>0</v>
      </c>
      <c r="CU136" s="442">
        <f t="shared" si="2102"/>
        <v>0</v>
      </c>
      <c r="CV136" s="442">
        <f t="shared" si="2102"/>
        <v>0</v>
      </c>
      <c r="CW136" s="442">
        <f t="shared" si="2102"/>
        <v>0</v>
      </c>
      <c r="CX136" s="442">
        <f t="shared" si="2102"/>
        <v>0</v>
      </c>
      <c r="CY136" s="442">
        <f t="shared" si="2102"/>
        <v>0</v>
      </c>
      <c r="CZ136" s="442">
        <f t="shared" si="2102"/>
        <v>0</v>
      </c>
      <c r="DA136" s="442">
        <f t="shared" si="2102"/>
        <v>0</v>
      </c>
      <c r="DB136" s="442">
        <f t="shared" si="2102"/>
        <v>0</v>
      </c>
      <c r="DC136" s="443">
        <f t="shared" si="2102"/>
        <v>0</v>
      </c>
      <c r="DD136" s="442">
        <f t="shared" si="2102"/>
        <v>0</v>
      </c>
      <c r="DE136" s="442">
        <f t="shared" si="2102"/>
        <v>0</v>
      </c>
      <c r="DF136" s="442">
        <f t="shared" si="2102"/>
        <v>0</v>
      </c>
      <c r="DG136" s="442">
        <f t="shared" si="2102"/>
        <v>0</v>
      </c>
      <c r="DH136" s="442">
        <f t="shared" si="2102"/>
        <v>0</v>
      </c>
      <c r="DI136" s="442">
        <f t="shared" si="2102"/>
        <v>0</v>
      </c>
      <c r="DJ136" s="442">
        <f t="shared" si="2102"/>
        <v>0</v>
      </c>
      <c r="DK136" s="442">
        <f t="shared" si="2102"/>
        <v>0</v>
      </c>
      <c r="DL136" s="442">
        <f t="shared" si="2102"/>
        <v>0</v>
      </c>
      <c r="DM136" s="442">
        <f t="shared" si="2102"/>
        <v>0</v>
      </c>
      <c r="DN136" s="442">
        <f t="shared" si="2102"/>
        <v>0</v>
      </c>
      <c r="DO136" s="443">
        <f t="shared" si="2102"/>
        <v>0</v>
      </c>
      <c r="DP136" s="442">
        <f t="shared" si="2102"/>
        <v>0</v>
      </c>
      <c r="DQ136" s="442">
        <f t="shared" si="2102"/>
        <v>0</v>
      </c>
      <c r="DR136" s="442">
        <f t="shared" si="2102"/>
        <v>0</v>
      </c>
      <c r="DS136" s="442">
        <f t="shared" si="2102"/>
        <v>0</v>
      </c>
      <c r="DT136" s="442">
        <f t="shared" si="2102"/>
        <v>0</v>
      </c>
      <c r="DU136" s="442">
        <f t="shared" si="2102"/>
        <v>0</v>
      </c>
      <c r="DV136" s="442">
        <f t="shared" si="2102"/>
        <v>0</v>
      </c>
      <c r="DW136" s="442">
        <f t="shared" si="2102"/>
        <v>0</v>
      </c>
      <c r="DX136" s="442">
        <f t="shared" si="2102"/>
        <v>0</v>
      </c>
      <c r="DY136" s="442">
        <f t="shared" si="2102"/>
        <v>0</v>
      </c>
      <c r="DZ136" s="442">
        <f t="shared" si="2102"/>
        <v>0</v>
      </c>
      <c r="EA136" s="443">
        <f t="shared" si="2102"/>
        <v>0</v>
      </c>
      <c r="EB136" s="442">
        <f t="shared" si="2102"/>
        <v>0</v>
      </c>
      <c r="EC136" s="442">
        <f t="shared" si="2102"/>
        <v>0</v>
      </c>
      <c r="ED136" s="444">
        <f t="shared" si="2102"/>
        <v>0</v>
      </c>
    </row>
    <row r="137" spans="1:134" outlineLevel="1" x14ac:dyDescent="0.25">
      <c r="A137">
        <v>4</v>
      </c>
      <c r="B137" t="s">
        <v>297</v>
      </c>
      <c r="C137" s="475"/>
      <c r="D137" s="743" t="s">
        <v>298</v>
      </c>
      <c r="E137" s="743"/>
      <c r="F137" s="743"/>
      <c r="G137" s="743"/>
      <c r="H137" s="743"/>
      <c r="I137" s="743"/>
      <c r="J137" s="743"/>
      <c r="K137" s="743"/>
      <c r="L137" s="420"/>
      <c r="M137" s="419"/>
      <c r="N137" s="426">
        <f>M137/100</f>
        <v>0</v>
      </c>
      <c r="O137" s="427"/>
      <c r="P137" s="427"/>
      <c r="Q137" s="427"/>
      <c r="R137" s="428">
        <f>P137-N137</f>
        <v>0</v>
      </c>
      <c r="S137" s="429">
        <f>Q137*100</f>
        <v>0</v>
      </c>
      <c r="T137" s="429"/>
      <c r="U137" s="419"/>
      <c r="V137" s="123"/>
      <c r="W137" s="452">
        <f>M137</f>
        <v>0</v>
      </c>
      <c r="X137" s="453">
        <f>W137</f>
        <v>0</v>
      </c>
      <c r="Y137" s="453">
        <f>X137</f>
        <v>0</v>
      </c>
      <c r="Z137" s="453">
        <f>O137*100</f>
        <v>0</v>
      </c>
      <c r="AA137" s="453">
        <f>Z137</f>
        <v>0</v>
      </c>
      <c r="AB137" s="453">
        <f>AA137</f>
        <v>0</v>
      </c>
      <c r="AC137" s="453">
        <f>P137*100</f>
        <v>0</v>
      </c>
      <c r="AD137" s="453">
        <f>AC137</f>
        <v>0</v>
      </c>
      <c r="AE137" s="453">
        <f>AD137</f>
        <v>0</v>
      </c>
      <c r="AF137" s="453">
        <f>AE137</f>
        <v>0</v>
      </c>
      <c r="AG137" s="453">
        <f>AF137</f>
        <v>0</v>
      </c>
      <c r="AH137" s="453">
        <f>AG137</f>
        <v>0</v>
      </c>
      <c r="AI137" s="454">
        <f t="shared" ref="AI137" si="2103">(((AH137*(1+($B$36*$B$4)))-AH137)/12)+AH137</f>
        <v>0</v>
      </c>
      <c r="AJ137" s="453">
        <f t="shared" ref="AJ137" si="2104">(((AI137*(1+($B$36*$B$4)))-AI137)/12)+AI137</f>
        <v>0</v>
      </c>
      <c r="AK137" s="453">
        <f t="shared" ref="AK137" si="2105">(((AJ137*(1+($B$36*$B$4)))-AJ137)/12)+AJ137</f>
        <v>0</v>
      </c>
      <c r="AL137" s="453">
        <f t="shared" ref="AL137" si="2106">(((AK137*(1+($B$36*$B$4)))-AK137)/12)+AK137</f>
        <v>0</v>
      </c>
      <c r="AM137" s="453">
        <f t="shared" ref="AM137" si="2107">(((AL137*(1+($B$36*$B$4)))-AL137)/12)+AL137</f>
        <v>0</v>
      </c>
      <c r="AN137" s="453">
        <f t="shared" ref="AN137" si="2108">(((AM137*(1+($B$36*$B$4)))-AM137)/12)+AM137</f>
        <v>0</v>
      </c>
      <c r="AO137" s="453">
        <f t="shared" ref="AO137" si="2109">(((AN137*(1+($B$36*$B$4)))-AN137)/12)+AN137</f>
        <v>0</v>
      </c>
      <c r="AP137" s="453">
        <f t="shared" ref="AP137" si="2110">(((AO137*(1+($B$36*$B$4)))-AO137)/12)+AO137</f>
        <v>0</v>
      </c>
      <c r="AQ137" s="453">
        <f t="shared" ref="AQ137" si="2111">(((AP137*(1+($B$36*$B$4)))-AP137)/12)+AP137</f>
        <v>0</v>
      </c>
      <c r="AR137" s="453">
        <f t="shared" ref="AR137" si="2112">(((AQ137*(1+($B$36*$B$4)))-AQ137)/12)+AQ137</f>
        <v>0</v>
      </c>
      <c r="AS137" s="453">
        <f t="shared" ref="AS137" si="2113">(((AR137*(1+($B$36*$B$4)))-AR137)/12)+AR137</f>
        <v>0</v>
      </c>
      <c r="AT137" s="453">
        <f t="shared" ref="AT137" si="2114">(((AS137*(1+($B$36*$B$4)))-AS137)/12)+AS137</f>
        <v>0</v>
      </c>
      <c r="AU137" s="454">
        <f t="shared" ref="AU137" si="2115">(((AT137*(1+($B$37*$B$4)))-AT137)/12)+AT137</f>
        <v>0</v>
      </c>
      <c r="AV137" s="453">
        <f t="shared" ref="AV137" si="2116">(((AU137*(1+($B$37*$B$4)))-AU137)/12)+AU137</f>
        <v>0</v>
      </c>
      <c r="AW137" s="453">
        <f t="shared" ref="AW137" si="2117">(((AV137*(1+($B$37*$B$4)))-AV137)/12)+AV137</f>
        <v>0</v>
      </c>
      <c r="AX137" s="453">
        <f t="shared" ref="AX137" si="2118">(((AW137*(1+($B$37*$B$4)))-AW137)/12)+AW137</f>
        <v>0</v>
      </c>
      <c r="AY137" s="453">
        <f t="shared" ref="AY137" si="2119">(((AX137*(1+($B$37*$B$4)))-AX137)/12)+AX137</f>
        <v>0</v>
      </c>
      <c r="AZ137" s="453">
        <f t="shared" ref="AZ137" si="2120">(((AY137*(1+($B$37*$B$4)))-AY137)/12)+AY137</f>
        <v>0</v>
      </c>
      <c r="BA137" s="453">
        <f t="shared" ref="BA137" si="2121">(((AZ137*(1+($B$37*$B$4)))-AZ137)/12)+AZ137</f>
        <v>0</v>
      </c>
      <c r="BB137" s="453">
        <f t="shared" ref="BB137" si="2122">(((BA137*(1+($B$37*$B$4)))-BA137)/12)+BA137</f>
        <v>0</v>
      </c>
      <c r="BC137" s="453">
        <f t="shared" ref="BC137" si="2123">(((BB137*(1+($B$37*$B$4)))-BB137)/12)+BB137</f>
        <v>0</v>
      </c>
      <c r="BD137" s="453">
        <f t="shared" ref="BD137" si="2124">(((BC137*(1+($B$37*$B$4)))-BC137)/12)+BC137</f>
        <v>0</v>
      </c>
      <c r="BE137" s="453">
        <f t="shared" ref="BE137" si="2125">(((BD137*(1+($B$37*$B$4)))-BD137)/12)+BD137</f>
        <v>0</v>
      </c>
      <c r="BF137" s="453">
        <f t="shared" ref="BF137" si="2126">(((BE137*(1+($B$37*$B$4)))-BE137)/12)+BE137</f>
        <v>0</v>
      </c>
      <c r="BG137" s="454">
        <f t="shared" ref="BG137" si="2127">(((BF137*(1+($B$38*$B$4)))-BF137)/12)+BF137</f>
        <v>0</v>
      </c>
      <c r="BH137" s="453">
        <f t="shared" ref="BH137" si="2128">(((BG137*(1+($B$38*$B$4)))-BG137)/12)+BG137</f>
        <v>0</v>
      </c>
      <c r="BI137" s="453">
        <f t="shared" ref="BI137" si="2129">(((BH137*(1+($B$38*$B$4)))-BH137)/12)+BH137</f>
        <v>0</v>
      </c>
      <c r="BJ137" s="453">
        <f t="shared" ref="BJ137" si="2130">(((BI137*(1+($B$38*$B$4)))-BI137)/12)+BI137</f>
        <v>0</v>
      </c>
      <c r="BK137" s="453">
        <f t="shared" ref="BK137" si="2131">(((BJ137*(1+($B$38*$B$4)))-BJ137)/12)+BJ137</f>
        <v>0</v>
      </c>
      <c r="BL137" s="453">
        <f t="shared" ref="BL137" si="2132">(((BK137*(1+($B$38*$B$4)))-BK137)/12)+BK137</f>
        <v>0</v>
      </c>
      <c r="BM137" s="453">
        <f t="shared" ref="BM137" si="2133">(((BL137*(1+($B$38*$B$4)))-BL137)/12)+BL137</f>
        <v>0</v>
      </c>
      <c r="BN137" s="453">
        <f t="shared" ref="BN137" si="2134">(((BM137*(1+($B$38*$B$4)))-BM137)/12)+BM137</f>
        <v>0</v>
      </c>
      <c r="BO137" s="453">
        <f t="shared" ref="BO137" si="2135">(((BN137*(1+($B$38*$B$4)))-BN137)/12)+BN137</f>
        <v>0</v>
      </c>
      <c r="BP137" s="453">
        <f t="shared" ref="BP137" si="2136">(((BO137*(1+($B$38*$B$4)))-BO137)/12)+BO137</f>
        <v>0</v>
      </c>
      <c r="BQ137" s="453">
        <f t="shared" ref="BQ137" si="2137">(((BP137*(1+($B$38*$B$4)))-BP137)/12)+BP137</f>
        <v>0</v>
      </c>
      <c r="BR137" s="453">
        <f t="shared" ref="BR137" si="2138">(((BQ137*(1+($B$38*$B$4)))-BQ137)/12)+BQ137</f>
        <v>0</v>
      </c>
      <c r="BS137" s="454">
        <f t="shared" ref="BS137" si="2139">(((BR137*(1+($B$39*$B$4)))-BR137)/12)+BR137</f>
        <v>0</v>
      </c>
      <c r="BT137" s="453">
        <f t="shared" ref="BT137" si="2140">(((BS137*(1+($B$39*$B$4)))-BS137)/12)+BS137</f>
        <v>0</v>
      </c>
      <c r="BU137" s="453">
        <f t="shared" ref="BU137" si="2141">(((BT137*(1+($B$39*$B$4)))-BT137)/12)+BT137</f>
        <v>0</v>
      </c>
      <c r="BV137" s="453">
        <f t="shared" ref="BV137" si="2142">(((BU137*(1+($B$39*$B$4)))-BU137)/12)+BU137</f>
        <v>0</v>
      </c>
      <c r="BW137" s="453">
        <f t="shared" ref="BW137" si="2143">(((BV137*(1+($B$39*$B$4)))-BV137)/12)+BV137</f>
        <v>0</v>
      </c>
      <c r="BX137" s="453">
        <f t="shared" ref="BX137" si="2144">(((BW137*(1+($B$39*$B$4)))-BW137)/12)+BW137</f>
        <v>0</v>
      </c>
      <c r="BY137" s="453">
        <f t="shared" ref="BY137" si="2145">(((BX137*(1+($B$39*$B$4)))-BX137)/12)+BX137</f>
        <v>0</v>
      </c>
      <c r="BZ137" s="453">
        <f t="shared" ref="BZ137" si="2146">(((BY137*(1+($B$39*$B$4)))-BY137)/12)+BY137</f>
        <v>0</v>
      </c>
      <c r="CA137" s="453">
        <f t="shared" ref="CA137" si="2147">(((BZ137*(1+($B$39*$B$4)))-BZ137)/12)+BZ137</f>
        <v>0</v>
      </c>
      <c r="CB137" s="453">
        <f t="shared" ref="CB137" si="2148">(((CA137*(1+($B$39*$B$4)))-CA137)/12)+CA137</f>
        <v>0</v>
      </c>
      <c r="CC137" s="453">
        <f t="shared" ref="CC137" si="2149">(((CB137*(1+($B$39*$B$4)))-CB137)/12)+CB137</f>
        <v>0</v>
      </c>
      <c r="CD137" s="453">
        <f t="shared" ref="CD137" si="2150">(((CC137*(1+($B$39*$B$4)))-CC137)/12)+CC137</f>
        <v>0</v>
      </c>
      <c r="CE137" s="454">
        <f t="shared" ref="CE137" si="2151">(((CD137*(1+($B$40*$B$4)))-CD137)/12)+CD137</f>
        <v>0</v>
      </c>
      <c r="CF137" s="453">
        <f t="shared" ref="CF137" si="2152">(((CE137*(1+($B$40*$B$4)))-CE137)/12)+CE137</f>
        <v>0</v>
      </c>
      <c r="CG137" s="453">
        <f t="shared" ref="CG137" si="2153">(((CF137*(1+($B$40*$B$4)))-CF137)/12)+CF137</f>
        <v>0</v>
      </c>
      <c r="CH137" s="453">
        <f t="shared" ref="CH137" si="2154">(((CG137*(1+($B$40*$B$4)))-CG137)/12)+CG137</f>
        <v>0</v>
      </c>
      <c r="CI137" s="453">
        <f t="shared" ref="CI137" si="2155">(((CH137*(1+($B$40*$B$4)))-CH137)/12)+CH137</f>
        <v>0</v>
      </c>
      <c r="CJ137" s="453">
        <f t="shared" ref="CJ137" si="2156">(((CI137*(1+($B$40*$B$4)))-CI137)/12)+CI137</f>
        <v>0</v>
      </c>
      <c r="CK137" s="453">
        <f t="shared" ref="CK137" si="2157">(((CJ137*(1+($B$40*$B$4)))-CJ137)/12)+CJ137</f>
        <v>0</v>
      </c>
      <c r="CL137" s="453">
        <f t="shared" ref="CL137" si="2158">(((CK137*(1+($B$40*$B$4)))-CK137)/12)+CK137</f>
        <v>0</v>
      </c>
      <c r="CM137" s="453">
        <f t="shared" ref="CM137" si="2159">(((CL137*(1+($B$40*$B$4)))-CL137)/12)+CL137</f>
        <v>0</v>
      </c>
      <c r="CN137" s="453">
        <f t="shared" ref="CN137" si="2160">(((CM137*(1+($B$40*$B$4)))-CM137)/12)+CM137</f>
        <v>0</v>
      </c>
      <c r="CO137" s="453">
        <f t="shared" ref="CO137" si="2161">(((CN137*(1+($B$40*$B$4)))-CN137)/12)+CN137</f>
        <v>0</v>
      </c>
      <c r="CP137" s="453">
        <f t="shared" ref="CP137" si="2162">(((CO137*(1+($B$40*$B$4)))-CO137)/12)+CO137</f>
        <v>0</v>
      </c>
      <c r="CQ137" s="454">
        <f t="shared" ref="CQ137" si="2163">(((CP137*(1+($B$41*$B$4)))-CP137)/12)+CP137</f>
        <v>0</v>
      </c>
      <c r="CR137" s="453">
        <f t="shared" ref="CR137" si="2164">(((CQ137*(1+($B$41*$B$4)))-CQ137)/12)+CQ137</f>
        <v>0</v>
      </c>
      <c r="CS137" s="453">
        <f t="shared" ref="CS137" si="2165">(((CR137*(1+($B$41*$B$4)))-CR137)/12)+CR137</f>
        <v>0</v>
      </c>
      <c r="CT137" s="453">
        <f t="shared" ref="CT137" si="2166">(((CS137*(1+($B$41*$B$4)))-CS137)/12)+CS137</f>
        <v>0</v>
      </c>
      <c r="CU137" s="453">
        <f t="shared" ref="CU137" si="2167">(((CT137*(1+($B$41*$B$4)))-CT137)/12)+CT137</f>
        <v>0</v>
      </c>
      <c r="CV137" s="453">
        <f t="shared" ref="CV137" si="2168">(((CU137*(1+($B$41*$B$4)))-CU137)/12)+CU137</f>
        <v>0</v>
      </c>
      <c r="CW137" s="453">
        <f t="shared" ref="CW137" si="2169">(((CV137*(1+($B$41*$B$4)))-CV137)/12)+CV137</f>
        <v>0</v>
      </c>
      <c r="CX137" s="453">
        <f t="shared" ref="CX137" si="2170">(((CW137*(1+($B$41*$B$4)))-CW137)/12)+CW137</f>
        <v>0</v>
      </c>
      <c r="CY137" s="453">
        <f t="shared" ref="CY137" si="2171">(((CX137*(1+($B$41*$B$4)))-CX137)/12)+CX137</f>
        <v>0</v>
      </c>
      <c r="CZ137" s="453">
        <f t="shared" ref="CZ137" si="2172">(((CY137*(1+($B$41*$B$4)))-CY137)/12)+CY137</f>
        <v>0</v>
      </c>
      <c r="DA137" s="453">
        <f t="shared" ref="DA137" si="2173">(((CZ137*(1+($B$41*$B$4)))-CZ137)/12)+CZ137</f>
        <v>0</v>
      </c>
      <c r="DB137" s="453">
        <f t="shared" ref="DB137" si="2174">(((DA137*(1+($B$41*$B$4)))-DA137)/12)+DA137</f>
        <v>0</v>
      </c>
      <c r="DC137" s="454">
        <f t="shared" ref="DC137" si="2175">(((DB137*(1+($B$42*$B$4)))-DB137)/12)+DB137</f>
        <v>0</v>
      </c>
      <c r="DD137" s="453">
        <f t="shared" ref="DD137" si="2176">(((DC137*(1+($B$42*$B$4)))-DC137)/12)+DC137</f>
        <v>0</v>
      </c>
      <c r="DE137" s="453">
        <f t="shared" ref="DE137" si="2177">(((DD137*(1+($B$42*$B$4)))-DD137)/12)+DD137</f>
        <v>0</v>
      </c>
      <c r="DF137" s="453">
        <f t="shared" ref="DF137" si="2178">(((DE137*(1+($B$42*$B$4)))-DE137)/12)+DE137</f>
        <v>0</v>
      </c>
      <c r="DG137" s="453">
        <f t="shared" ref="DG137" si="2179">(((DF137*(1+($B$42*$B$4)))-DF137)/12)+DF137</f>
        <v>0</v>
      </c>
      <c r="DH137" s="453">
        <f t="shared" ref="DH137" si="2180">(((DG137*(1+($B$42*$B$4)))-DG137)/12)+DG137</f>
        <v>0</v>
      </c>
      <c r="DI137" s="453">
        <f t="shared" ref="DI137" si="2181">(((DH137*(1+($B$42*$B$4)))-DH137)/12)+DH137</f>
        <v>0</v>
      </c>
      <c r="DJ137" s="453">
        <f t="shared" ref="DJ137" si="2182">(((DI137*(1+($B$42*$B$4)))-DI137)/12)+DI137</f>
        <v>0</v>
      </c>
      <c r="DK137" s="453">
        <f t="shared" ref="DK137" si="2183">(((DJ137*(1+($B$42*$B$4)))-DJ137)/12)+DJ137</f>
        <v>0</v>
      </c>
      <c r="DL137" s="453">
        <f t="shared" ref="DL137" si="2184">(((DK137*(1+($B$42*$B$4)))-DK137)/12)+DK137</f>
        <v>0</v>
      </c>
      <c r="DM137" s="453">
        <f t="shared" ref="DM137" si="2185">(((DL137*(1+($B$42*$B$4)))-DL137)/12)+DL137</f>
        <v>0</v>
      </c>
      <c r="DN137" s="453">
        <f t="shared" ref="DN137" si="2186">(((DM137*(1+($B$42*$B$4)))-DM137)/12)+DM137</f>
        <v>0</v>
      </c>
      <c r="DO137" s="454">
        <f t="shared" ref="DO137" si="2187">(((DN137*(1+($B$43*$B$4)))-DN137)/12)+DN137</f>
        <v>0</v>
      </c>
      <c r="DP137" s="453">
        <f t="shared" ref="DP137" si="2188">(((DO137*(1+($B$43*$B$4)))-DO137)/12)+DO137</f>
        <v>0</v>
      </c>
      <c r="DQ137" s="453">
        <f t="shared" ref="DQ137" si="2189">(((DP137*(1+($B$43*$B$4)))-DP137)/12)+DP137</f>
        <v>0</v>
      </c>
      <c r="DR137" s="453">
        <f t="shared" ref="DR137" si="2190">(((DQ137*(1+($B$43*$B$4)))-DQ137)/12)+DQ137</f>
        <v>0</v>
      </c>
      <c r="DS137" s="453">
        <f t="shared" ref="DS137" si="2191">(((DR137*(1+($B$43*$B$4)))-DR137)/12)+DR137</f>
        <v>0</v>
      </c>
      <c r="DT137" s="453">
        <f t="shared" ref="DT137" si="2192">(((DS137*(1+($B$43*$B$4)))-DS137)/12)+DS137</f>
        <v>0</v>
      </c>
      <c r="DU137" s="453">
        <f t="shared" ref="DU137" si="2193">(((DT137*(1+($B$43*$B$4)))-DT137)/12)+DT137</f>
        <v>0</v>
      </c>
      <c r="DV137" s="453">
        <f t="shared" ref="DV137" si="2194">(((DU137*(1+($B$43*$B$4)))-DU137)/12)+DU137</f>
        <v>0</v>
      </c>
      <c r="DW137" s="453">
        <f t="shared" ref="DW137" si="2195">(((DV137*(1+($B$43*$B$4)))-DV137)/12)+DV137</f>
        <v>0</v>
      </c>
      <c r="DX137" s="453">
        <f t="shared" ref="DX137" si="2196">(((DW137*(1+($B$43*$B$4)))-DW137)/12)+DW137</f>
        <v>0</v>
      </c>
      <c r="DY137" s="453">
        <f t="shared" ref="DY137" si="2197">(((DX137*(1+($B$43*$B$4)))-DX137)/12)+DX137</f>
        <v>0</v>
      </c>
      <c r="DZ137" s="453">
        <f t="shared" ref="DZ137" si="2198">(((DY137*(1+($B$43*$B$4)))-DY137)/12)+DY137</f>
        <v>0</v>
      </c>
      <c r="EA137" s="454">
        <f>(((DZ137*(1+($B$44*$B$4)))-DZ137)/12)+DZ137</f>
        <v>0</v>
      </c>
      <c r="EB137" s="453">
        <f>(((EA137*(1+($B$44*$B$4)))-EA137)/12)+EA137</f>
        <v>0</v>
      </c>
      <c r="EC137" s="453">
        <f>(((EB137*(1+($B$44*$B$4)))-EB137)/12)+EB137</f>
        <v>0</v>
      </c>
      <c r="ED137" s="455">
        <f>(((EC137*(1+($B$44*$B$4)))-EC137)/12)+EC137</f>
        <v>0</v>
      </c>
    </row>
    <row r="138" spans="1:134" outlineLevel="1" x14ac:dyDescent="0.25">
      <c r="A138">
        <v>4</v>
      </c>
      <c r="B138" t="s">
        <v>299</v>
      </c>
      <c r="C138" s="475"/>
      <c r="D138" s="744"/>
      <c r="E138" s="744"/>
      <c r="F138" s="744"/>
      <c r="G138" s="744"/>
      <c r="H138" s="744"/>
      <c r="I138" s="744"/>
      <c r="J138" s="744"/>
      <c r="K138" s="744"/>
      <c r="L138" s="434"/>
      <c r="M138" s="435"/>
      <c r="N138" s="436"/>
      <c r="O138" s="437"/>
      <c r="P138" s="437"/>
      <c r="Q138" s="437"/>
      <c r="R138" s="438"/>
      <c r="S138" s="439"/>
      <c r="T138" s="439"/>
      <c r="U138" s="435"/>
      <c r="V138" s="440">
        <v>0.5</v>
      </c>
      <c r="W138" s="456">
        <f>ROUNDUP($V138*(W137/100)/0.8,0)</f>
        <v>0</v>
      </c>
      <c r="X138" s="446">
        <f t="shared" ref="X138:CI138" si="2199">ROUNDUP($V138*(X137/100)/0.8,0)</f>
        <v>0</v>
      </c>
      <c r="Y138" s="446">
        <f t="shared" si="2199"/>
        <v>0</v>
      </c>
      <c r="Z138" s="446">
        <f t="shared" si="2199"/>
        <v>0</v>
      </c>
      <c r="AA138" s="446">
        <f t="shared" si="2199"/>
        <v>0</v>
      </c>
      <c r="AB138" s="446">
        <f t="shared" si="2199"/>
        <v>0</v>
      </c>
      <c r="AC138" s="446">
        <f t="shared" si="2199"/>
        <v>0</v>
      </c>
      <c r="AD138" s="446">
        <f t="shared" si="2199"/>
        <v>0</v>
      </c>
      <c r="AE138" s="446">
        <f t="shared" si="2199"/>
        <v>0</v>
      </c>
      <c r="AF138" s="446">
        <f t="shared" si="2199"/>
        <v>0</v>
      </c>
      <c r="AG138" s="446">
        <f t="shared" si="2199"/>
        <v>0</v>
      </c>
      <c r="AH138" s="446">
        <f t="shared" si="2199"/>
        <v>0</v>
      </c>
      <c r="AI138" s="457">
        <f t="shared" si="2199"/>
        <v>0</v>
      </c>
      <c r="AJ138" s="446">
        <f t="shared" si="2199"/>
        <v>0</v>
      </c>
      <c r="AK138" s="446">
        <f t="shared" si="2199"/>
        <v>0</v>
      </c>
      <c r="AL138" s="446">
        <f t="shared" si="2199"/>
        <v>0</v>
      </c>
      <c r="AM138" s="446">
        <f t="shared" si="2199"/>
        <v>0</v>
      </c>
      <c r="AN138" s="446">
        <f t="shared" si="2199"/>
        <v>0</v>
      </c>
      <c r="AO138" s="446">
        <f t="shared" si="2199"/>
        <v>0</v>
      </c>
      <c r="AP138" s="446">
        <f t="shared" si="2199"/>
        <v>0</v>
      </c>
      <c r="AQ138" s="446">
        <f t="shared" si="2199"/>
        <v>0</v>
      </c>
      <c r="AR138" s="446">
        <f t="shared" si="2199"/>
        <v>0</v>
      </c>
      <c r="AS138" s="446">
        <f t="shared" si="2199"/>
        <v>0</v>
      </c>
      <c r="AT138" s="446">
        <f t="shared" si="2199"/>
        <v>0</v>
      </c>
      <c r="AU138" s="457">
        <f t="shared" si="2199"/>
        <v>0</v>
      </c>
      <c r="AV138" s="446">
        <f t="shared" si="2199"/>
        <v>0</v>
      </c>
      <c r="AW138" s="446">
        <f t="shared" si="2199"/>
        <v>0</v>
      </c>
      <c r="AX138" s="446">
        <f t="shared" si="2199"/>
        <v>0</v>
      </c>
      <c r="AY138" s="446">
        <f t="shared" si="2199"/>
        <v>0</v>
      </c>
      <c r="AZ138" s="446">
        <f t="shared" si="2199"/>
        <v>0</v>
      </c>
      <c r="BA138" s="446">
        <f t="shared" si="2199"/>
        <v>0</v>
      </c>
      <c r="BB138" s="446">
        <f t="shared" si="2199"/>
        <v>0</v>
      </c>
      <c r="BC138" s="446">
        <f t="shared" si="2199"/>
        <v>0</v>
      </c>
      <c r="BD138" s="446">
        <f t="shared" si="2199"/>
        <v>0</v>
      </c>
      <c r="BE138" s="446">
        <f t="shared" si="2199"/>
        <v>0</v>
      </c>
      <c r="BF138" s="446">
        <f t="shared" si="2199"/>
        <v>0</v>
      </c>
      <c r="BG138" s="457">
        <f t="shared" si="2199"/>
        <v>0</v>
      </c>
      <c r="BH138" s="446">
        <f t="shared" si="2199"/>
        <v>0</v>
      </c>
      <c r="BI138" s="446">
        <f t="shared" si="2199"/>
        <v>0</v>
      </c>
      <c r="BJ138" s="446">
        <f t="shared" si="2199"/>
        <v>0</v>
      </c>
      <c r="BK138" s="446">
        <f t="shared" si="2199"/>
        <v>0</v>
      </c>
      <c r="BL138" s="446">
        <f t="shared" si="2199"/>
        <v>0</v>
      </c>
      <c r="BM138" s="446">
        <f t="shared" si="2199"/>
        <v>0</v>
      </c>
      <c r="BN138" s="446">
        <f t="shared" si="2199"/>
        <v>0</v>
      </c>
      <c r="BO138" s="446">
        <f t="shared" si="2199"/>
        <v>0</v>
      </c>
      <c r="BP138" s="446">
        <f t="shared" si="2199"/>
        <v>0</v>
      </c>
      <c r="BQ138" s="446">
        <f t="shared" si="2199"/>
        <v>0</v>
      </c>
      <c r="BR138" s="446">
        <f t="shared" si="2199"/>
        <v>0</v>
      </c>
      <c r="BS138" s="457">
        <f t="shared" si="2199"/>
        <v>0</v>
      </c>
      <c r="BT138" s="446">
        <f t="shared" si="2199"/>
        <v>0</v>
      </c>
      <c r="BU138" s="446">
        <f t="shared" si="2199"/>
        <v>0</v>
      </c>
      <c r="BV138" s="446">
        <f t="shared" si="2199"/>
        <v>0</v>
      </c>
      <c r="BW138" s="446">
        <f t="shared" si="2199"/>
        <v>0</v>
      </c>
      <c r="BX138" s="446">
        <f t="shared" si="2199"/>
        <v>0</v>
      </c>
      <c r="BY138" s="446">
        <f t="shared" si="2199"/>
        <v>0</v>
      </c>
      <c r="BZ138" s="446">
        <f t="shared" si="2199"/>
        <v>0</v>
      </c>
      <c r="CA138" s="446">
        <f t="shared" si="2199"/>
        <v>0</v>
      </c>
      <c r="CB138" s="446">
        <f t="shared" si="2199"/>
        <v>0</v>
      </c>
      <c r="CC138" s="446">
        <f t="shared" si="2199"/>
        <v>0</v>
      </c>
      <c r="CD138" s="446">
        <f t="shared" si="2199"/>
        <v>0</v>
      </c>
      <c r="CE138" s="457">
        <f t="shared" si="2199"/>
        <v>0</v>
      </c>
      <c r="CF138" s="446">
        <f t="shared" si="2199"/>
        <v>0</v>
      </c>
      <c r="CG138" s="446">
        <f t="shared" si="2199"/>
        <v>0</v>
      </c>
      <c r="CH138" s="446">
        <f t="shared" si="2199"/>
        <v>0</v>
      </c>
      <c r="CI138" s="446">
        <f t="shared" si="2199"/>
        <v>0</v>
      </c>
      <c r="CJ138" s="446">
        <f t="shared" ref="CJ138:ED138" si="2200">ROUNDUP($V138*(CJ137/100)/0.8,0)</f>
        <v>0</v>
      </c>
      <c r="CK138" s="446">
        <f t="shared" si="2200"/>
        <v>0</v>
      </c>
      <c r="CL138" s="446">
        <f t="shared" si="2200"/>
        <v>0</v>
      </c>
      <c r="CM138" s="446">
        <f t="shared" si="2200"/>
        <v>0</v>
      </c>
      <c r="CN138" s="446">
        <f t="shared" si="2200"/>
        <v>0</v>
      </c>
      <c r="CO138" s="446">
        <f t="shared" si="2200"/>
        <v>0</v>
      </c>
      <c r="CP138" s="446">
        <f t="shared" si="2200"/>
        <v>0</v>
      </c>
      <c r="CQ138" s="457">
        <f t="shared" si="2200"/>
        <v>0</v>
      </c>
      <c r="CR138" s="446">
        <f t="shared" si="2200"/>
        <v>0</v>
      </c>
      <c r="CS138" s="446">
        <f t="shared" si="2200"/>
        <v>0</v>
      </c>
      <c r="CT138" s="446">
        <f t="shared" si="2200"/>
        <v>0</v>
      </c>
      <c r="CU138" s="446">
        <f t="shared" si="2200"/>
        <v>0</v>
      </c>
      <c r="CV138" s="446">
        <f t="shared" si="2200"/>
        <v>0</v>
      </c>
      <c r="CW138" s="446">
        <f t="shared" si="2200"/>
        <v>0</v>
      </c>
      <c r="CX138" s="446">
        <f t="shared" si="2200"/>
        <v>0</v>
      </c>
      <c r="CY138" s="446">
        <f t="shared" si="2200"/>
        <v>0</v>
      </c>
      <c r="CZ138" s="446">
        <f t="shared" si="2200"/>
        <v>0</v>
      </c>
      <c r="DA138" s="446">
        <f t="shared" si="2200"/>
        <v>0</v>
      </c>
      <c r="DB138" s="446">
        <f t="shared" si="2200"/>
        <v>0</v>
      </c>
      <c r="DC138" s="457">
        <f t="shared" si="2200"/>
        <v>0</v>
      </c>
      <c r="DD138" s="446">
        <f t="shared" si="2200"/>
        <v>0</v>
      </c>
      <c r="DE138" s="446">
        <f t="shared" si="2200"/>
        <v>0</v>
      </c>
      <c r="DF138" s="446">
        <f t="shared" si="2200"/>
        <v>0</v>
      </c>
      <c r="DG138" s="446">
        <f t="shared" si="2200"/>
        <v>0</v>
      </c>
      <c r="DH138" s="446">
        <f t="shared" si="2200"/>
        <v>0</v>
      </c>
      <c r="DI138" s="446">
        <f t="shared" si="2200"/>
        <v>0</v>
      </c>
      <c r="DJ138" s="446">
        <f t="shared" si="2200"/>
        <v>0</v>
      </c>
      <c r="DK138" s="446">
        <f t="shared" si="2200"/>
        <v>0</v>
      </c>
      <c r="DL138" s="446">
        <f t="shared" si="2200"/>
        <v>0</v>
      </c>
      <c r="DM138" s="446">
        <f t="shared" si="2200"/>
        <v>0</v>
      </c>
      <c r="DN138" s="446">
        <f t="shared" si="2200"/>
        <v>0</v>
      </c>
      <c r="DO138" s="457">
        <f t="shared" si="2200"/>
        <v>0</v>
      </c>
      <c r="DP138" s="446">
        <f t="shared" si="2200"/>
        <v>0</v>
      </c>
      <c r="DQ138" s="446">
        <f t="shared" si="2200"/>
        <v>0</v>
      </c>
      <c r="DR138" s="446">
        <f t="shared" si="2200"/>
        <v>0</v>
      </c>
      <c r="DS138" s="446">
        <f t="shared" si="2200"/>
        <v>0</v>
      </c>
      <c r="DT138" s="446">
        <f t="shared" si="2200"/>
        <v>0</v>
      </c>
      <c r="DU138" s="446">
        <f t="shared" si="2200"/>
        <v>0</v>
      </c>
      <c r="DV138" s="446">
        <f t="shared" si="2200"/>
        <v>0</v>
      </c>
      <c r="DW138" s="446">
        <f t="shared" si="2200"/>
        <v>0</v>
      </c>
      <c r="DX138" s="446">
        <f t="shared" si="2200"/>
        <v>0</v>
      </c>
      <c r="DY138" s="446">
        <f t="shared" si="2200"/>
        <v>0</v>
      </c>
      <c r="DZ138" s="446">
        <f t="shared" si="2200"/>
        <v>0</v>
      </c>
      <c r="EA138" s="457">
        <f t="shared" si="2200"/>
        <v>0</v>
      </c>
      <c r="EB138" s="446">
        <f t="shared" si="2200"/>
        <v>0</v>
      </c>
      <c r="EC138" s="446">
        <f t="shared" si="2200"/>
        <v>0</v>
      </c>
      <c r="ED138" s="458">
        <f t="shared" si="2200"/>
        <v>0</v>
      </c>
    </row>
    <row r="139" spans="1:134" outlineLevel="1" x14ac:dyDescent="0.25">
      <c r="A139">
        <v>4</v>
      </c>
      <c r="B139" t="s">
        <v>300</v>
      </c>
      <c r="C139" s="475"/>
      <c r="D139" s="770" t="s">
        <v>301</v>
      </c>
      <c r="E139" s="770"/>
      <c r="F139" s="770"/>
      <c r="G139" s="770"/>
      <c r="H139" s="770"/>
      <c r="I139" s="770"/>
      <c r="J139" s="770"/>
      <c r="K139" s="770"/>
      <c r="L139" s="445"/>
      <c r="M139" s="446"/>
      <c r="N139" s="447">
        <f>M139/100</f>
        <v>0</v>
      </c>
      <c r="O139" s="448"/>
      <c r="P139" s="448"/>
      <c r="Q139" s="448"/>
      <c r="R139" s="449">
        <f>P139-N139</f>
        <v>0</v>
      </c>
      <c r="S139" s="450">
        <f>Q139*100</f>
        <v>0</v>
      </c>
      <c r="T139" s="450"/>
      <c r="U139" s="446"/>
      <c r="V139" s="451"/>
      <c r="W139" s="430">
        <f>M139</f>
        <v>0</v>
      </c>
      <c r="X139" s="431">
        <f>W139</f>
        <v>0</v>
      </c>
      <c r="Y139" s="431">
        <f>X139</f>
        <v>0</v>
      </c>
      <c r="Z139" s="431">
        <f>O139*100</f>
        <v>0</v>
      </c>
      <c r="AA139" s="431">
        <f>Z139</f>
        <v>0</v>
      </c>
      <c r="AB139" s="431">
        <f>AA139</f>
        <v>0</v>
      </c>
      <c r="AC139" s="431">
        <f>P139*100</f>
        <v>0</v>
      </c>
      <c r="AD139" s="431">
        <f>AC139</f>
        <v>0</v>
      </c>
      <c r="AE139" s="431">
        <f>AD139</f>
        <v>0</v>
      </c>
      <c r="AF139" s="431">
        <f>AE139</f>
        <v>0</v>
      </c>
      <c r="AG139" s="431">
        <f>AF139</f>
        <v>0</v>
      </c>
      <c r="AH139" s="431">
        <f>AG139</f>
        <v>0</v>
      </c>
      <c r="AI139" s="432">
        <f t="shared" ref="AI139" si="2201">(((AH139*(1+($B$36*$B$4)))-AH139)/12)+AH139</f>
        <v>0</v>
      </c>
      <c r="AJ139" s="431">
        <f t="shared" ref="AJ139" si="2202">(((AI139*(1+($B$36*$B$4)))-AI139)/12)+AI139</f>
        <v>0</v>
      </c>
      <c r="AK139" s="431">
        <f t="shared" ref="AK139" si="2203">(((AJ139*(1+($B$36*$B$4)))-AJ139)/12)+AJ139</f>
        <v>0</v>
      </c>
      <c r="AL139" s="431">
        <f t="shared" ref="AL139" si="2204">(((AK139*(1+($B$36*$B$4)))-AK139)/12)+AK139</f>
        <v>0</v>
      </c>
      <c r="AM139" s="431">
        <f t="shared" ref="AM139" si="2205">(((AL139*(1+($B$36*$B$4)))-AL139)/12)+AL139</f>
        <v>0</v>
      </c>
      <c r="AN139" s="431">
        <f t="shared" ref="AN139" si="2206">(((AM139*(1+($B$36*$B$4)))-AM139)/12)+AM139</f>
        <v>0</v>
      </c>
      <c r="AO139" s="431">
        <f t="shared" ref="AO139" si="2207">(((AN139*(1+($B$36*$B$4)))-AN139)/12)+AN139</f>
        <v>0</v>
      </c>
      <c r="AP139" s="431">
        <f t="shared" ref="AP139" si="2208">(((AO139*(1+($B$36*$B$4)))-AO139)/12)+AO139</f>
        <v>0</v>
      </c>
      <c r="AQ139" s="431">
        <f t="shared" ref="AQ139" si="2209">(((AP139*(1+($B$36*$B$4)))-AP139)/12)+AP139</f>
        <v>0</v>
      </c>
      <c r="AR139" s="431">
        <f t="shared" ref="AR139" si="2210">(((AQ139*(1+($B$36*$B$4)))-AQ139)/12)+AQ139</f>
        <v>0</v>
      </c>
      <c r="AS139" s="431">
        <f t="shared" ref="AS139" si="2211">(((AR139*(1+($B$36*$B$4)))-AR139)/12)+AR139</f>
        <v>0</v>
      </c>
      <c r="AT139" s="431">
        <f t="shared" ref="AT139" si="2212">(((AS139*(1+($B$36*$B$4)))-AS139)/12)+AS139</f>
        <v>0</v>
      </c>
      <c r="AU139" s="432">
        <f t="shared" ref="AU139" si="2213">(((AT139*(1+($B$37*$B$4)))-AT139)/12)+AT139</f>
        <v>0</v>
      </c>
      <c r="AV139" s="431">
        <f t="shared" ref="AV139" si="2214">(((AU139*(1+($B$37*$B$4)))-AU139)/12)+AU139</f>
        <v>0</v>
      </c>
      <c r="AW139" s="431">
        <f t="shared" ref="AW139" si="2215">(((AV139*(1+($B$37*$B$4)))-AV139)/12)+AV139</f>
        <v>0</v>
      </c>
      <c r="AX139" s="431">
        <f t="shared" ref="AX139" si="2216">(((AW139*(1+($B$37*$B$4)))-AW139)/12)+AW139</f>
        <v>0</v>
      </c>
      <c r="AY139" s="431">
        <f t="shared" ref="AY139" si="2217">(((AX139*(1+($B$37*$B$4)))-AX139)/12)+AX139</f>
        <v>0</v>
      </c>
      <c r="AZ139" s="431">
        <f t="shared" ref="AZ139" si="2218">(((AY139*(1+($B$37*$B$4)))-AY139)/12)+AY139</f>
        <v>0</v>
      </c>
      <c r="BA139" s="431">
        <f t="shared" ref="BA139" si="2219">(((AZ139*(1+($B$37*$B$4)))-AZ139)/12)+AZ139</f>
        <v>0</v>
      </c>
      <c r="BB139" s="431">
        <f t="shared" ref="BB139" si="2220">(((BA139*(1+($B$37*$B$4)))-BA139)/12)+BA139</f>
        <v>0</v>
      </c>
      <c r="BC139" s="431">
        <f t="shared" ref="BC139" si="2221">(((BB139*(1+($B$37*$B$4)))-BB139)/12)+BB139</f>
        <v>0</v>
      </c>
      <c r="BD139" s="431">
        <f t="shared" ref="BD139" si="2222">(((BC139*(1+($B$37*$B$4)))-BC139)/12)+BC139</f>
        <v>0</v>
      </c>
      <c r="BE139" s="431">
        <f t="shared" ref="BE139" si="2223">(((BD139*(1+($B$37*$B$4)))-BD139)/12)+BD139</f>
        <v>0</v>
      </c>
      <c r="BF139" s="431">
        <f t="shared" ref="BF139" si="2224">(((BE139*(1+($B$37*$B$4)))-BE139)/12)+BE139</f>
        <v>0</v>
      </c>
      <c r="BG139" s="432">
        <f t="shared" ref="BG139" si="2225">(((BF139*(1+($B$38*$B$4)))-BF139)/12)+BF139</f>
        <v>0</v>
      </c>
      <c r="BH139" s="431">
        <f t="shared" ref="BH139" si="2226">(((BG139*(1+($B$38*$B$4)))-BG139)/12)+BG139</f>
        <v>0</v>
      </c>
      <c r="BI139" s="431">
        <f t="shared" ref="BI139" si="2227">(((BH139*(1+($B$38*$B$4)))-BH139)/12)+BH139</f>
        <v>0</v>
      </c>
      <c r="BJ139" s="431">
        <f t="shared" ref="BJ139" si="2228">(((BI139*(1+($B$38*$B$4)))-BI139)/12)+BI139</f>
        <v>0</v>
      </c>
      <c r="BK139" s="431">
        <f t="shared" ref="BK139" si="2229">(((BJ139*(1+($B$38*$B$4)))-BJ139)/12)+BJ139</f>
        <v>0</v>
      </c>
      <c r="BL139" s="431">
        <f t="shared" ref="BL139" si="2230">(((BK139*(1+($B$38*$B$4)))-BK139)/12)+BK139</f>
        <v>0</v>
      </c>
      <c r="BM139" s="431">
        <f t="shared" ref="BM139" si="2231">(((BL139*(1+($B$38*$B$4)))-BL139)/12)+BL139</f>
        <v>0</v>
      </c>
      <c r="BN139" s="431">
        <f t="shared" ref="BN139" si="2232">(((BM139*(1+($B$38*$B$4)))-BM139)/12)+BM139</f>
        <v>0</v>
      </c>
      <c r="BO139" s="431">
        <f t="shared" ref="BO139" si="2233">(((BN139*(1+($B$38*$B$4)))-BN139)/12)+BN139</f>
        <v>0</v>
      </c>
      <c r="BP139" s="431">
        <f t="shared" ref="BP139" si="2234">(((BO139*(1+($B$38*$B$4)))-BO139)/12)+BO139</f>
        <v>0</v>
      </c>
      <c r="BQ139" s="431">
        <f t="shared" ref="BQ139" si="2235">(((BP139*(1+($B$38*$B$4)))-BP139)/12)+BP139</f>
        <v>0</v>
      </c>
      <c r="BR139" s="431">
        <f t="shared" ref="BR139" si="2236">(((BQ139*(1+($B$38*$B$4)))-BQ139)/12)+BQ139</f>
        <v>0</v>
      </c>
      <c r="BS139" s="432">
        <f t="shared" ref="BS139" si="2237">(((BR139*(1+($B$39*$B$4)))-BR139)/12)+BR139</f>
        <v>0</v>
      </c>
      <c r="BT139" s="431">
        <f t="shared" ref="BT139" si="2238">(((BS139*(1+($B$39*$B$4)))-BS139)/12)+BS139</f>
        <v>0</v>
      </c>
      <c r="BU139" s="431">
        <f t="shared" ref="BU139" si="2239">(((BT139*(1+($B$39*$B$4)))-BT139)/12)+BT139</f>
        <v>0</v>
      </c>
      <c r="BV139" s="431">
        <f t="shared" ref="BV139" si="2240">(((BU139*(1+($B$39*$B$4)))-BU139)/12)+BU139</f>
        <v>0</v>
      </c>
      <c r="BW139" s="431">
        <f t="shared" ref="BW139" si="2241">(((BV139*(1+($B$39*$B$4)))-BV139)/12)+BV139</f>
        <v>0</v>
      </c>
      <c r="BX139" s="431">
        <f t="shared" ref="BX139" si="2242">(((BW139*(1+($B$39*$B$4)))-BW139)/12)+BW139</f>
        <v>0</v>
      </c>
      <c r="BY139" s="431">
        <f t="shared" ref="BY139" si="2243">(((BX139*(1+($B$39*$B$4)))-BX139)/12)+BX139</f>
        <v>0</v>
      </c>
      <c r="BZ139" s="431">
        <f t="shared" ref="BZ139" si="2244">(((BY139*(1+($B$39*$B$4)))-BY139)/12)+BY139</f>
        <v>0</v>
      </c>
      <c r="CA139" s="431">
        <f t="shared" ref="CA139" si="2245">(((BZ139*(1+($B$39*$B$4)))-BZ139)/12)+BZ139</f>
        <v>0</v>
      </c>
      <c r="CB139" s="431">
        <f t="shared" ref="CB139" si="2246">(((CA139*(1+($B$39*$B$4)))-CA139)/12)+CA139</f>
        <v>0</v>
      </c>
      <c r="CC139" s="431">
        <f t="shared" ref="CC139" si="2247">(((CB139*(1+($B$39*$B$4)))-CB139)/12)+CB139</f>
        <v>0</v>
      </c>
      <c r="CD139" s="431">
        <f t="shared" ref="CD139" si="2248">(((CC139*(1+($B$39*$B$4)))-CC139)/12)+CC139</f>
        <v>0</v>
      </c>
      <c r="CE139" s="432">
        <f t="shared" ref="CE139" si="2249">(((CD139*(1+($B$40*$B$4)))-CD139)/12)+CD139</f>
        <v>0</v>
      </c>
      <c r="CF139" s="431">
        <f t="shared" ref="CF139" si="2250">(((CE139*(1+($B$40*$B$4)))-CE139)/12)+CE139</f>
        <v>0</v>
      </c>
      <c r="CG139" s="431">
        <f t="shared" ref="CG139" si="2251">(((CF139*(1+($B$40*$B$4)))-CF139)/12)+CF139</f>
        <v>0</v>
      </c>
      <c r="CH139" s="431">
        <f t="shared" ref="CH139" si="2252">(((CG139*(1+($B$40*$B$4)))-CG139)/12)+CG139</f>
        <v>0</v>
      </c>
      <c r="CI139" s="431">
        <f t="shared" ref="CI139" si="2253">(((CH139*(1+($B$40*$B$4)))-CH139)/12)+CH139</f>
        <v>0</v>
      </c>
      <c r="CJ139" s="431">
        <f t="shared" ref="CJ139" si="2254">(((CI139*(1+($B$40*$B$4)))-CI139)/12)+CI139</f>
        <v>0</v>
      </c>
      <c r="CK139" s="431">
        <f t="shared" ref="CK139" si="2255">(((CJ139*(1+($B$40*$B$4)))-CJ139)/12)+CJ139</f>
        <v>0</v>
      </c>
      <c r="CL139" s="431">
        <f t="shared" ref="CL139" si="2256">(((CK139*(1+($B$40*$B$4)))-CK139)/12)+CK139</f>
        <v>0</v>
      </c>
      <c r="CM139" s="431">
        <f t="shared" ref="CM139" si="2257">(((CL139*(1+($B$40*$B$4)))-CL139)/12)+CL139</f>
        <v>0</v>
      </c>
      <c r="CN139" s="431">
        <f t="shared" ref="CN139" si="2258">(((CM139*(1+($B$40*$B$4)))-CM139)/12)+CM139</f>
        <v>0</v>
      </c>
      <c r="CO139" s="431">
        <f t="shared" ref="CO139" si="2259">(((CN139*(1+($B$40*$B$4)))-CN139)/12)+CN139</f>
        <v>0</v>
      </c>
      <c r="CP139" s="431">
        <f t="shared" ref="CP139" si="2260">(((CO139*(1+($B$40*$B$4)))-CO139)/12)+CO139</f>
        <v>0</v>
      </c>
      <c r="CQ139" s="432">
        <f t="shared" ref="CQ139" si="2261">(((CP139*(1+($B$41*$B$4)))-CP139)/12)+CP139</f>
        <v>0</v>
      </c>
      <c r="CR139" s="431">
        <f t="shared" ref="CR139" si="2262">(((CQ139*(1+($B$41*$B$4)))-CQ139)/12)+CQ139</f>
        <v>0</v>
      </c>
      <c r="CS139" s="431">
        <f t="shared" ref="CS139" si="2263">(((CR139*(1+($B$41*$B$4)))-CR139)/12)+CR139</f>
        <v>0</v>
      </c>
      <c r="CT139" s="431">
        <f t="shared" ref="CT139" si="2264">(((CS139*(1+($B$41*$B$4)))-CS139)/12)+CS139</f>
        <v>0</v>
      </c>
      <c r="CU139" s="431">
        <f t="shared" ref="CU139" si="2265">(((CT139*(1+($B$41*$B$4)))-CT139)/12)+CT139</f>
        <v>0</v>
      </c>
      <c r="CV139" s="431">
        <f t="shared" ref="CV139" si="2266">(((CU139*(1+($B$41*$B$4)))-CU139)/12)+CU139</f>
        <v>0</v>
      </c>
      <c r="CW139" s="431">
        <f t="shared" ref="CW139" si="2267">(((CV139*(1+($B$41*$B$4)))-CV139)/12)+CV139</f>
        <v>0</v>
      </c>
      <c r="CX139" s="431">
        <f t="shared" ref="CX139" si="2268">(((CW139*(1+($B$41*$B$4)))-CW139)/12)+CW139</f>
        <v>0</v>
      </c>
      <c r="CY139" s="431">
        <f t="shared" ref="CY139" si="2269">(((CX139*(1+($B$41*$B$4)))-CX139)/12)+CX139</f>
        <v>0</v>
      </c>
      <c r="CZ139" s="431">
        <f t="shared" ref="CZ139" si="2270">(((CY139*(1+($B$41*$B$4)))-CY139)/12)+CY139</f>
        <v>0</v>
      </c>
      <c r="DA139" s="431">
        <f t="shared" ref="DA139" si="2271">(((CZ139*(1+($B$41*$B$4)))-CZ139)/12)+CZ139</f>
        <v>0</v>
      </c>
      <c r="DB139" s="431">
        <f t="shared" ref="DB139" si="2272">(((DA139*(1+($B$41*$B$4)))-DA139)/12)+DA139</f>
        <v>0</v>
      </c>
      <c r="DC139" s="432">
        <f t="shared" ref="DC139" si="2273">(((DB139*(1+($B$42*$B$4)))-DB139)/12)+DB139</f>
        <v>0</v>
      </c>
      <c r="DD139" s="431">
        <f t="shared" ref="DD139" si="2274">(((DC139*(1+($B$42*$B$4)))-DC139)/12)+DC139</f>
        <v>0</v>
      </c>
      <c r="DE139" s="431">
        <f t="shared" ref="DE139" si="2275">(((DD139*(1+($B$42*$B$4)))-DD139)/12)+DD139</f>
        <v>0</v>
      </c>
      <c r="DF139" s="431">
        <f t="shared" ref="DF139" si="2276">(((DE139*(1+($B$42*$B$4)))-DE139)/12)+DE139</f>
        <v>0</v>
      </c>
      <c r="DG139" s="431">
        <f t="shared" ref="DG139" si="2277">(((DF139*(1+($B$42*$B$4)))-DF139)/12)+DF139</f>
        <v>0</v>
      </c>
      <c r="DH139" s="431">
        <f t="shared" ref="DH139" si="2278">(((DG139*(1+($B$42*$B$4)))-DG139)/12)+DG139</f>
        <v>0</v>
      </c>
      <c r="DI139" s="431">
        <f t="shared" ref="DI139" si="2279">(((DH139*(1+($B$42*$B$4)))-DH139)/12)+DH139</f>
        <v>0</v>
      </c>
      <c r="DJ139" s="431">
        <f t="shared" ref="DJ139" si="2280">(((DI139*(1+($B$42*$B$4)))-DI139)/12)+DI139</f>
        <v>0</v>
      </c>
      <c r="DK139" s="431">
        <f t="shared" ref="DK139" si="2281">(((DJ139*(1+($B$42*$B$4)))-DJ139)/12)+DJ139</f>
        <v>0</v>
      </c>
      <c r="DL139" s="431">
        <f t="shared" ref="DL139" si="2282">(((DK139*(1+($B$42*$B$4)))-DK139)/12)+DK139</f>
        <v>0</v>
      </c>
      <c r="DM139" s="431">
        <f t="shared" ref="DM139" si="2283">(((DL139*(1+($B$42*$B$4)))-DL139)/12)+DL139</f>
        <v>0</v>
      </c>
      <c r="DN139" s="431">
        <f t="shared" ref="DN139" si="2284">(((DM139*(1+($B$42*$B$4)))-DM139)/12)+DM139</f>
        <v>0</v>
      </c>
      <c r="DO139" s="432">
        <f t="shared" ref="DO139" si="2285">(((DN139*(1+($B$43*$B$4)))-DN139)/12)+DN139</f>
        <v>0</v>
      </c>
      <c r="DP139" s="431">
        <f t="shared" ref="DP139" si="2286">(((DO139*(1+($B$43*$B$4)))-DO139)/12)+DO139</f>
        <v>0</v>
      </c>
      <c r="DQ139" s="431">
        <f t="shared" ref="DQ139" si="2287">(((DP139*(1+($B$43*$B$4)))-DP139)/12)+DP139</f>
        <v>0</v>
      </c>
      <c r="DR139" s="431">
        <f t="shared" ref="DR139" si="2288">(((DQ139*(1+($B$43*$B$4)))-DQ139)/12)+DQ139</f>
        <v>0</v>
      </c>
      <c r="DS139" s="431">
        <f t="shared" ref="DS139" si="2289">(((DR139*(1+($B$43*$B$4)))-DR139)/12)+DR139</f>
        <v>0</v>
      </c>
      <c r="DT139" s="431">
        <f t="shared" ref="DT139" si="2290">(((DS139*(1+($B$43*$B$4)))-DS139)/12)+DS139</f>
        <v>0</v>
      </c>
      <c r="DU139" s="431">
        <f t="shared" ref="DU139" si="2291">(((DT139*(1+($B$43*$B$4)))-DT139)/12)+DT139</f>
        <v>0</v>
      </c>
      <c r="DV139" s="431">
        <f t="shared" ref="DV139" si="2292">(((DU139*(1+($B$43*$B$4)))-DU139)/12)+DU139</f>
        <v>0</v>
      </c>
      <c r="DW139" s="431">
        <f t="shared" ref="DW139" si="2293">(((DV139*(1+($B$43*$B$4)))-DV139)/12)+DV139</f>
        <v>0</v>
      </c>
      <c r="DX139" s="431">
        <f t="shared" ref="DX139" si="2294">(((DW139*(1+($B$43*$B$4)))-DW139)/12)+DW139</f>
        <v>0</v>
      </c>
      <c r="DY139" s="431">
        <f t="shared" ref="DY139" si="2295">(((DX139*(1+($B$43*$B$4)))-DX139)/12)+DX139</f>
        <v>0</v>
      </c>
      <c r="DZ139" s="431">
        <f t="shared" ref="DZ139" si="2296">(((DY139*(1+($B$43*$B$4)))-DY139)/12)+DY139</f>
        <v>0</v>
      </c>
      <c r="EA139" s="432">
        <f>(((DZ139*(1+($B$44*$B$4)))-DZ139)/12)+DZ139</f>
        <v>0</v>
      </c>
      <c r="EB139" s="431">
        <f>(((EA139*(1+($B$44*$B$4)))-EA139)/12)+EA139</f>
        <v>0</v>
      </c>
      <c r="EC139" s="431">
        <f>(((EB139*(1+($B$44*$B$4)))-EB139)/12)+EB139</f>
        <v>0</v>
      </c>
      <c r="ED139" s="433">
        <f>(((EC139*(1+($B$44*$B$4)))-EC139)/12)+EC139</f>
        <v>0</v>
      </c>
    </row>
    <row r="140" spans="1:134" outlineLevel="1" x14ac:dyDescent="0.25">
      <c r="C140" s="475"/>
      <c r="D140" s="770"/>
      <c r="E140" s="770"/>
      <c r="F140" s="770"/>
      <c r="G140" s="770"/>
      <c r="H140" s="770"/>
      <c r="I140" s="770"/>
      <c r="J140" s="770"/>
      <c r="K140" s="770"/>
      <c r="L140" s="445"/>
      <c r="M140" s="446"/>
      <c r="N140" s="447"/>
      <c r="O140" s="448"/>
      <c r="P140" s="448"/>
      <c r="Q140" s="448"/>
      <c r="R140" s="449"/>
      <c r="S140" s="450"/>
      <c r="T140" s="450"/>
      <c r="U140" s="446"/>
      <c r="V140" s="451">
        <v>1</v>
      </c>
      <c r="W140" s="441">
        <f>ROUNDUP($V140*(W139/100)/0.8,0)</f>
        <v>0</v>
      </c>
      <c r="X140" s="442">
        <f t="shared" ref="X140:CI140" si="2297">ROUNDUP($V140*(X139/100)/0.8,0)</f>
        <v>0</v>
      </c>
      <c r="Y140" s="442">
        <f t="shared" si="2297"/>
        <v>0</v>
      </c>
      <c r="Z140" s="442">
        <f t="shared" si="2297"/>
        <v>0</v>
      </c>
      <c r="AA140" s="442">
        <f t="shared" si="2297"/>
        <v>0</v>
      </c>
      <c r="AB140" s="442">
        <f t="shared" si="2297"/>
        <v>0</v>
      </c>
      <c r="AC140" s="442">
        <f t="shared" si="2297"/>
        <v>0</v>
      </c>
      <c r="AD140" s="442">
        <f t="shared" si="2297"/>
        <v>0</v>
      </c>
      <c r="AE140" s="442">
        <f t="shared" si="2297"/>
        <v>0</v>
      </c>
      <c r="AF140" s="442">
        <f t="shared" si="2297"/>
        <v>0</v>
      </c>
      <c r="AG140" s="442">
        <f t="shared" si="2297"/>
        <v>0</v>
      </c>
      <c r="AH140" s="442">
        <f t="shared" si="2297"/>
        <v>0</v>
      </c>
      <c r="AI140" s="443">
        <f t="shared" si="2297"/>
        <v>0</v>
      </c>
      <c r="AJ140" s="442">
        <f t="shared" si="2297"/>
        <v>0</v>
      </c>
      <c r="AK140" s="442">
        <f t="shared" si="2297"/>
        <v>0</v>
      </c>
      <c r="AL140" s="442">
        <f t="shared" si="2297"/>
        <v>0</v>
      </c>
      <c r="AM140" s="442">
        <f t="shared" si="2297"/>
        <v>0</v>
      </c>
      <c r="AN140" s="442">
        <f t="shared" si="2297"/>
        <v>0</v>
      </c>
      <c r="AO140" s="442">
        <f t="shared" si="2297"/>
        <v>0</v>
      </c>
      <c r="AP140" s="442">
        <f t="shared" si="2297"/>
        <v>0</v>
      </c>
      <c r="AQ140" s="442">
        <f t="shared" si="2297"/>
        <v>0</v>
      </c>
      <c r="AR140" s="442">
        <f t="shared" si="2297"/>
        <v>0</v>
      </c>
      <c r="AS140" s="442">
        <f t="shared" si="2297"/>
        <v>0</v>
      </c>
      <c r="AT140" s="442">
        <f t="shared" si="2297"/>
        <v>0</v>
      </c>
      <c r="AU140" s="443">
        <f t="shared" si="2297"/>
        <v>0</v>
      </c>
      <c r="AV140" s="442">
        <f t="shared" si="2297"/>
        <v>0</v>
      </c>
      <c r="AW140" s="442">
        <f t="shared" si="2297"/>
        <v>0</v>
      </c>
      <c r="AX140" s="442">
        <f t="shared" si="2297"/>
        <v>0</v>
      </c>
      <c r="AY140" s="442">
        <f t="shared" si="2297"/>
        <v>0</v>
      </c>
      <c r="AZ140" s="442">
        <f t="shared" si="2297"/>
        <v>0</v>
      </c>
      <c r="BA140" s="442">
        <f t="shared" si="2297"/>
        <v>0</v>
      </c>
      <c r="BB140" s="442">
        <f t="shared" si="2297"/>
        <v>0</v>
      </c>
      <c r="BC140" s="442">
        <f t="shared" si="2297"/>
        <v>0</v>
      </c>
      <c r="BD140" s="442">
        <f t="shared" si="2297"/>
        <v>0</v>
      </c>
      <c r="BE140" s="442">
        <f t="shared" si="2297"/>
        <v>0</v>
      </c>
      <c r="BF140" s="442">
        <f t="shared" si="2297"/>
        <v>0</v>
      </c>
      <c r="BG140" s="443">
        <f t="shared" si="2297"/>
        <v>0</v>
      </c>
      <c r="BH140" s="442">
        <f t="shared" si="2297"/>
        <v>0</v>
      </c>
      <c r="BI140" s="442">
        <f t="shared" si="2297"/>
        <v>0</v>
      </c>
      <c r="BJ140" s="442">
        <f t="shared" si="2297"/>
        <v>0</v>
      </c>
      <c r="BK140" s="442">
        <f t="shared" si="2297"/>
        <v>0</v>
      </c>
      <c r="BL140" s="442">
        <f t="shared" si="2297"/>
        <v>0</v>
      </c>
      <c r="BM140" s="442">
        <f t="shared" si="2297"/>
        <v>0</v>
      </c>
      <c r="BN140" s="442">
        <f t="shared" si="2297"/>
        <v>0</v>
      </c>
      <c r="BO140" s="442">
        <f t="shared" si="2297"/>
        <v>0</v>
      </c>
      <c r="BP140" s="442">
        <f t="shared" si="2297"/>
        <v>0</v>
      </c>
      <c r="BQ140" s="442">
        <f t="shared" si="2297"/>
        <v>0</v>
      </c>
      <c r="BR140" s="442">
        <f t="shared" si="2297"/>
        <v>0</v>
      </c>
      <c r="BS140" s="443">
        <f t="shared" si="2297"/>
        <v>0</v>
      </c>
      <c r="BT140" s="442">
        <f t="shared" si="2297"/>
        <v>0</v>
      </c>
      <c r="BU140" s="442">
        <f t="shared" si="2297"/>
        <v>0</v>
      </c>
      <c r="BV140" s="442">
        <f t="shared" si="2297"/>
        <v>0</v>
      </c>
      <c r="BW140" s="442">
        <f t="shared" si="2297"/>
        <v>0</v>
      </c>
      <c r="BX140" s="442">
        <f t="shared" si="2297"/>
        <v>0</v>
      </c>
      <c r="BY140" s="442">
        <f t="shared" si="2297"/>
        <v>0</v>
      </c>
      <c r="BZ140" s="442">
        <f t="shared" si="2297"/>
        <v>0</v>
      </c>
      <c r="CA140" s="442">
        <f t="shared" si="2297"/>
        <v>0</v>
      </c>
      <c r="CB140" s="442">
        <f t="shared" si="2297"/>
        <v>0</v>
      </c>
      <c r="CC140" s="442">
        <f t="shared" si="2297"/>
        <v>0</v>
      </c>
      <c r="CD140" s="442">
        <f t="shared" si="2297"/>
        <v>0</v>
      </c>
      <c r="CE140" s="443">
        <f t="shared" si="2297"/>
        <v>0</v>
      </c>
      <c r="CF140" s="442">
        <f t="shared" si="2297"/>
        <v>0</v>
      </c>
      <c r="CG140" s="442">
        <f t="shared" si="2297"/>
        <v>0</v>
      </c>
      <c r="CH140" s="442">
        <f t="shared" si="2297"/>
        <v>0</v>
      </c>
      <c r="CI140" s="442">
        <f t="shared" si="2297"/>
        <v>0</v>
      </c>
      <c r="CJ140" s="442">
        <f t="shared" ref="CJ140:ED140" si="2298">ROUNDUP($V140*(CJ139/100)/0.8,0)</f>
        <v>0</v>
      </c>
      <c r="CK140" s="442">
        <f t="shared" si="2298"/>
        <v>0</v>
      </c>
      <c r="CL140" s="442">
        <f t="shared" si="2298"/>
        <v>0</v>
      </c>
      <c r="CM140" s="442">
        <f t="shared" si="2298"/>
        <v>0</v>
      </c>
      <c r="CN140" s="442">
        <f t="shared" si="2298"/>
        <v>0</v>
      </c>
      <c r="CO140" s="442">
        <f t="shared" si="2298"/>
        <v>0</v>
      </c>
      <c r="CP140" s="442">
        <f t="shared" si="2298"/>
        <v>0</v>
      </c>
      <c r="CQ140" s="443">
        <f t="shared" si="2298"/>
        <v>0</v>
      </c>
      <c r="CR140" s="442">
        <f t="shared" si="2298"/>
        <v>0</v>
      </c>
      <c r="CS140" s="442">
        <f t="shared" si="2298"/>
        <v>0</v>
      </c>
      <c r="CT140" s="442">
        <f t="shared" si="2298"/>
        <v>0</v>
      </c>
      <c r="CU140" s="442">
        <f t="shared" si="2298"/>
        <v>0</v>
      </c>
      <c r="CV140" s="442">
        <f t="shared" si="2298"/>
        <v>0</v>
      </c>
      <c r="CW140" s="442">
        <f t="shared" si="2298"/>
        <v>0</v>
      </c>
      <c r="CX140" s="442">
        <f t="shared" si="2298"/>
        <v>0</v>
      </c>
      <c r="CY140" s="442">
        <f t="shared" si="2298"/>
        <v>0</v>
      </c>
      <c r="CZ140" s="442">
        <f t="shared" si="2298"/>
        <v>0</v>
      </c>
      <c r="DA140" s="442">
        <f t="shared" si="2298"/>
        <v>0</v>
      </c>
      <c r="DB140" s="442">
        <f t="shared" si="2298"/>
        <v>0</v>
      </c>
      <c r="DC140" s="443">
        <f t="shared" si="2298"/>
        <v>0</v>
      </c>
      <c r="DD140" s="442">
        <f t="shared" si="2298"/>
        <v>0</v>
      </c>
      <c r="DE140" s="442">
        <f t="shared" si="2298"/>
        <v>0</v>
      </c>
      <c r="DF140" s="442">
        <f t="shared" si="2298"/>
        <v>0</v>
      </c>
      <c r="DG140" s="442">
        <f t="shared" si="2298"/>
        <v>0</v>
      </c>
      <c r="DH140" s="442">
        <f t="shared" si="2298"/>
        <v>0</v>
      </c>
      <c r="DI140" s="442">
        <f t="shared" si="2298"/>
        <v>0</v>
      </c>
      <c r="DJ140" s="442">
        <f t="shared" si="2298"/>
        <v>0</v>
      </c>
      <c r="DK140" s="442">
        <f t="shared" si="2298"/>
        <v>0</v>
      </c>
      <c r="DL140" s="442">
        <f t="shared" si="2298"/>
        <v>0</v>
      </c>
      <c r="DM140" s="442">
        <f t="shared" si="2298"/>
        <v>0</v>
      </c>
      <c r="DN140" s="442">
        <f t="shared" si="2298"/>
        <v>0</v>
      </c>
      <c r="DO140" s="443">
        <f t="shared" si="2298"/>
        <v>0</v>
      </c>
      <c r="DP140" s="442">
        <f t="shared" si="2298"/>
        <v>0</v>
      </c>
      <c r="DQ140" s="442">
        <f t="shared" si="2298"/>
        <v>0</v>
      </c>
      <c r="DR140" s="442">
        <f t="shared" si="2298"/>
        <v>0</v>
      </c>
      <c r="DS140" s="442">
        <f t="shared" si="2298"/>
        <v>0</v>
      </c>
      <c r="DT140" s="442">
        <f t="shared" si="2298"/>
        <v>0</v>
      </c>
      <c r="DU140" s="442">
        <f t="shared" si="2298"/>
        <v>0</v>
      </c>
      <c r="DV140" s="442">
        <f t="shared" si="2298"/>
        <v>0</v>
      </c>
      <c r="DW140" s="442">
        <f t="shared" si="2298"/>
        <v>0</v>
      </c>
      <c r="DX140" s="442">
        <f t="shared" si="2298"/>
        <v>0</v>
      </c>
      <c r="DY140" s="442">
        <f t="shared" si="2298"/>
        <v>0</v>
      </c>
      <c r="DZ140" s="442">
        <f t="shared" si="2298"/>
        <v>0</v>
      </c>
      <c r="EA140" s="443">
        <f t="shared" si="2298"/>
        <v>0</v>
      </c>
      <c r="EB140" s="442">
        <f t="shared" si="2298"/>
        <v>0</v>
      </c>
      <c r="EC140" s="442">
        <f t="shared" si="2298"/>
        <v>0</v>
      </c>
      <c r="ED140" s="444">
        <f t="shared" si="2298"/>
        <v>0</v>
      </c>
    </row>
    <row r="141" spans="1:134" outlineLevel="1" x14ac:dyDescent="0.25">
      <c r="C141" s="475"/>
      <c r="D141" s="743" t="s">
        <v>302</v>
      </c>
      <c r="E141" s="743"/>
      <c r="F141" s="743"/>
      <c r="G141" s="743"/>
      <c r="H141" s="743"/>
      <c r="I141" s="743"/>
      <c r="J141" s="743"/>
      <c r="K141" s="743"/>
      <c r="L141" s="420"/>
      <c r="M141" s="419"/>
      <c r="N141" s="426">
        <f>M141/100</f>
        <v>0</v>
      </c>
      <c r="O141" s="427"/>
      <c r="P141" s="427"/>
      <c r="Q141" s="427"/>
      <c r="R141" s="428">
        <f>P141-N141</f>
        <v>0</v>
      </c>
      <c r="S141" s="429">
        <f>Q141*100</f>
        <v>0</v>
      </c>
      <c r="T141" s="429"/>
      <c r="U141" s="419"/>
      <c r="V141" s="471"/>
      <c r="W141" s="430">
        <f>M141</f>
        <v>0</v>
      </c>
      <c r="X141" s="431">
        <f>W141</f>
        <v>0</v>
      </c>
      <c r="Y141" s="431">
        <f>X141</f>
        <v>0</v>
      </c>
      <c r="Z141" s="431">
        <f>O141*100</f>
        <v>0</v>
      </c>
      <c r="AA141" s="431">
        <f>Z141</f>
        <v>0</v>
      </c>
      <c r="AB141" s="431">
        <f>AA141</f>
        <v>0</v>
      </c>
      <c r="AC141" s="431">
        <f>P141*100</f>
        <v>0</v>
      </c>
      <c r="AD141" s="431">
        <f>AC141</f>
        <v>0</v>
      </c>
      <c r="AE141" s="431">
        <f>AD141</f>
        <v>0</v>
      </c>
      <c r="AF141" s="431">
        <f>AE141</f>
        <v>0</v>
      </c>
      <c r="AG141" s="431">
        <f>AF141</f>
        <v>0</v>
      </c>
      <c r="AH141" s="431">
        <f>AG141</f>
        <v>0</v>
      </c>
      <c r="AI141" s="432">
        <f t="shared" ref="AI141" si="2299">(((AH141*(1+($B$36*$B$4)))-AH141)/12)+AH141</f>
        <v>0</v>
      </c>
      <c r="AJ141" s="431">
        <f t="shared" ref="AJ141" si="2300">(((AI141*(1+($B$36*$B$4)))-AI141)/12)+AI141</f>
        <v>0</v>
      </c>
      <c r="AK141" s="431">
        <f t="shared" ref="AK141" si="2301">(((AJ141*(1+($B$36*$B$4)))-AJ141)/12)+AJ141</f>
        <v>0</v>
      </c>
      <c r="AL141" s="431">
        <f t="shared" ref="AL141" si="2302">(((AK141*(1+($B$36*$B$4)))-AK141)/12)+AK141</f>
        <v>0</v>
      </c>
      <c r="AM141" s="431">
        <f t="shared" ref="AM141" si="2303">(((AL141*(1+($B$36*$B$4)))-AL141)/12)+AL141</f>
        <v>0</v>
      </c>
      <c r="AN141" s="431">
        <f t="shared" ref="AN141" si="2304">(((AM141*(1+($B$36*$B$4)))-AM141)/12)+AM141</f>
        <v>0</v>
      </c>
      <c r="AO141" s="431">
        <f t="shared" ref="AO141" si="2305">(((AN141*(1+($B$36*$B$4)))-AN141)/12)+AN141</f>
        <v>0</v>
      </c>
      <c r="AP141" s="431">
        <f t="shared" ref="AP141" si="2306">(((AO141*(1+($B$36*$B$4)))-AO141)/12)+AO141</f>
        <v>0</v>
      </c>
      <c r="AQ141" s="431">
        <f t="shared" ref="AQ141" si="2307">(((AP141*(1+($B$36*$B$4)))-AP141)/12)+AP141</f>
        <v>0</v>
      </c>
      <c r="AR141" s="431">
        <f t="shared" ref="AR141" si="2308">(((AQ141*(1+($B$36*$B$4)))-AQ141)/12)+AQ141</f>
        <v>0</v>
      </c>
      <c r="AS141" s="431">
        <f t="shared" ref="AS141" si="2309">(((AR141*(1+($B$36*$B$4)))-AR141)/12)+AR141</f>
        <v>0</v>
      </c>
      <c r="AT141" s="431">
        <f t="shared" ref="AT141" si="2310">(((AS141*(1+($B$36*$B$4)))-AS141)/12)+AS141</f>
        <v>0</v>
      </c>
      <c r="AU141" s="432">
        <f t="shared" ref="AU141" si="2311">(((AT141*(1+($B$37*$B$4)))-AT141)/12)+AT141</f>
        <v>0</v>
      </c>
      <c r="AV141" s="431">
        <f t="shared" ref="AV141" si="2312">(((AU141*(1+($B$37*$B$4)))-AU141)/12)+AU141</f>
        <v>0</v>
      </c>
      <c r="AW141" s="431">
        <f t="shared" ref="AW141" si="2313">(((AV141*(1+($B$37*$B$4)))-AV141)/12)+AV141</f>
        <v>0</v>
      </c>
      <c r="AX141" s="431">
        <f t="shared" ref="AX141" si="2314">(((AW141*(1+($B$37*$B$4)))-AW141)/12)+AW141</f>
        <v>0</v>
      </c>
      <c r="AY141" s="431">
        <f t="shared" ref="AY141" si="2315">(((AX141*(1+($B$37*$B$4)))-AX141)/12)+AX141</f>
        <v>0</v>
      </c>
      <c r="AZ141" s="431">
        <f t="shared" ref="AZ141" si="2316">(((AY141*(1+($B$37*$B$4)))-AY141)/12)+AY141</f>
        <v>0</v>
      </c>
      <c r="BA141" s="431">
        <f t="shared" ref="BA141" si="2317">(((AZ141*(1+($B$37*$B$4)))-AZ141)/12)+AZ141</f>
        <v>0</v>
      </c>
      <c r="BB141" s="431">
        <f t="shared" ref="BB141" si="2318">(((BA141*(1+($B$37*$B$4)))-BA141)/12)+BA141</f>
        <v>0</v>
      </c>
      <c r="BC141" s="431">
        <f t="shared" ref="BC141" si="2319">(((BB141*(1+($B$37*$B$4)))-BB141)/12)+BB141</f>
        <v>0</v>
      </c>
      <c r="BD141" s="431">
        <f t="shared" ref="BD141" si="2320">(((BC141*(1+($B$37*$B$4)))-BC141)/12)+BC141</f>
        <v>0</v>
      </c>
      <c r="BE141" s="431">
        <f t="shared" ref="BE141" si="2321">(((BD141*(1+($B$37*$B$4)))-BD141)/12)+BD141</f>
        <v>0</v>
      </c>
      <c r="BF141" s="431">
        <f t="shared" ref="BF141" si="2322">(((BE141*(1+($B$37*$B$4)))-BE141)/12)+BE141</f>
        <v>0</v>
      </c>
      <c r="BG141" s="432">
        <f t="shared" ref="BG141" si="2323">(((BF141*(1+($B$38*$B$4)))-BF141)/12)+BF141</f>
        <v>0</v>
      </c>
      <c r="BH141" s="431">
        <f t="shared" ref="BH141" si="2324">(((BG141*(1+($B$38*$B$4)))-BG141)/12)+BG141</f>
        <v>0</v>
      </c>
      <c r="BI141" s="431">
        <f t="shared" ref="BI141" si="2325">(((BH141*(1+($B$38*$B$4)))-BH141)/12)+BH141</f>
        <v>0</v>
      </c>
      <c r="BJ141" s="431">
        <f t="shared" ref="BJ141" si="2326">(((BI141*(1+($B$38*$B$4)))-BI141)/12)+BI141</f>
        <v>0</v>
      </c>
      <c r="BK141" s="431">
        <f t="shared" ref="BK141" si="2327">(((BJ141*(1+($B$38*$B$4)))-BJ141)/12)+BJ141</f>
        <v>0</v>
      </c>
      <c r="BL141" s="431">
        <f t="shared" ref="BL141" si="2328">(((BK141*(1+($B$38*$B$4)))-BK141)/12)+BK141</f>
        <v>0</v>
      </c>
      <c r="BM141" s="431">
        <f t="shared" ref="BM141" si="2329">(((BL141*(1+($B$38*$B$4)))-BL141)/12)+BL141</f>
        <v>0</v>
      </c>
      <c r="BN141" s="431">
        <f t="shared" ref="BN141" si="2330">(((BM141*(1+($B$38*$B$4)))-BM141)/12)+BM141</f>
        <v>0</v>
      </c>
      <c r="BO141" s="431">
        <f t="shared" ref="BO141" si="2331">(((BN141*(1+($B$38*$B$4)))-BN141)/12)+BN141</f>
        <v>0</v>
      </c>
      <c r="BP141" s="431">
        <f t="shared" ref="BP141" si="2332">(((BO141*(1+($B$38*$B$4)))-BO141)/12)+BO141</f>
        <v>0</v>
      </c>
      <c r="BQ141" s="431">
        <f t="shared" ref="BQ141" si="2333">(((BP141*(1+($B$38*$B$4)))-BP141)/12)+BP141</f>
        <v>0</v>
      </c>
      <c r="BR141" s="431">
        <f t="shared" ref="BR141" si="2334">(((BQ141*(1+($B$38*$B$4)))-BQ141)/12)+BQ141</f>
        <v>0</v>
      </c>
      <c r="BS141" s="432">
        <f t="shared" ref="BS141" si="2335">(((BR141*(1+($B$39*$B$4)))-BR141)/12)+BR141</f>
        <v>0</v>
      </c>
      <c r="BT141" s="431">
        <f t="shared" ref="BT141" si="2336">(((BS141*(1+($B$39*$B$4)))-BS141)/12)+BS141</f>
        <v>0</v>
      </c>
      <c r="BU141" s="431">
        <f t="shared" ref="BU141" si="2337">(((BT141*(1+($B$39*$B$4)))-BT141)/12)+BT141</f>
        <v>0</v>
      </c>
      <c r="BV141" s="431">
        <f t="shared" ref="BV141" si="2338">(((BU141*(1+($B$39*$B$4)))-BU141)/12)+BU141</f>
        <v>0</v>
      </c>
      <c r="BW141" s="431">
        <f t="shared" ref="BW141" si="2339">(((BV141*(1+($B$39*$B$4)))-BV141)/12)+BV141</f>
        <v>0</v>
      </c>
      <c r="BX141" s="431">
        <f t="shared" ref="BX141" si="2340">(((BW141*(1+($B$39*$B$4)))-BW141)/12)+BW141</f>
        <v>0</v>
      </c>
      <c r="BY141" s="431">
        <f t="shared" ref="BY141" si="2341">(((BX141*(1+($B$39*$B$4)))-BX141)/12)+BX141</f>
        <v>0</v>
      </c>
      <c r="BZ141" s="431">
        <f t="shared" ref="BZ141" si="2342">(((BY141*(1+($B$39*$B$4)))-BY141)/12)+BY141</f>
        <v>0</v>
      </c>
      <c r="CA141" s="431">
        <f t="shared" ref="CA141" si="2343">(((BZ141*(1+($B$39*$B$4)))-BZ141)/12)+BZ141</f>
        <v>0</v>
      </c>
      <c r="CB141" s="431">
        <f t="shared" ref="CB141" si="2344">(((CA141*(1+($B$39*$B$4)))-CA141)/12)+CA141</f>
        <v>0</v>
      </c>
      <c r="CC141" s="431">
        <f t="shared" ref="CC141" si="2345">(((CB141*(1+($B$39*$B$4)))-CB141)/12)+CB141</f>
        <v>0</v>
      </c>
      <c r="CD141" s="431">
        <f t="shared" ref="CD141" si="2346">(((CC141*(1+($B$39*$B$4)))-CC141)/12)+CC141</f>
        <v>0</v>
      </c>
      <c r="CE141" s="432">
        <f t="shared" ref="CE141" si="2347">(((CD141*(1+($B$40*$B$4)))-CD141)/12)+CD141</f>
        <v>0</v>
      </c>
      <c r="CF141" s="431">
        <f t="shared" ref="CF141" si="2348">(((CE141*(1+($B$40*$B$4)))-CE141)/12)+CE141</f>
        <v>0</v>
      </c>
      <c r="CG141" s="431">
        <f t="shared" ref="CG141" si="2349">(((CF141*(1+($B$40*$B$4)))-CF141)/12)+CF141</f>
        <v>0</v>
      </c>
      <c r="CH141" s="431">
        <f t="shared" ref="CH141" si="2350">(((CG141*(1+($B$40*$B$4)))-CG141)/12)+CG141</f>
        <v>0</v>
      </c>
      <c r="CI141" s="431">
        <f t="shared" ref="CI141" si="2351">(((CH141*(1+($B$40*$B$4)))-CH141)/12)+CH141</f>
        <v>0</v>
      </c>
      <c r="CJ141" s="431">
        <f t="shared" ref="CJ141" si="2352">(((CI141*(1+($B$40*$B$4)))-CI141)/12)+CI141</f>
        <v>0</v>
      </c>
      <c r="CK141" s="431">
        <f t="shared" ref="CK141" si="2353">(((CJ141*(1+($B$40*$B$4)))-CJ141)/12)+CJ141</f>
        <v>0</v>
      </c>
      <c r="CL141" s="431">
        <f t="shared" ref="CL141" si="2354">(((CK141*(1+($B$40*$B$4)))-CK141)/12)+CK141</f>
        <v>0</v>
      </c>
      <c r="CM141" s="431">
        <f t="shared" ref="CM141" si="2355">(((CL141*(1+($B$40*$B$4)))-CL141)/12)+CL141</f>
        <v>0</v>
      </c>
      <c r="CN141" s="431">
        <f t="shared" ref="CN141" si="2356">(((CM141*(1+($B$40*$B$4)))-CM141)/12)+CM141</f>
        <v>0</v>
      </c>
      <c r="CO141" s="431">
        <f t="shared" ref="CO141" si="2357">(((CN141*(1+($B$40*$B$4)))-CN141)/12)+CN141</f>
        <v>0</v>
      </c>
      <c r="CP141" s="431">
        <f t="shared" ref="CP141" si="2358">(((CO141*(1+($B$40*$B$4)))-CO141)/12)+CO141</f>
        <v>0</v>
      </c>
      <c r="CQ141" s="432">
        <f t="shared" ref="CQ141" si="2359">(((CP141*(1+($B$41*$B$4)))-CP141)/12)+CP141</f>
        <v>0</v>
      </c>
      <c r="CR141" s="431">
        <f t="shared" ref="CR141" si="2360">(((CQ141*(1+($B$41*$B$4)))-CQ141)/12)+CQ141</f>
        <v>0</v>
      </c>
      <c r="CS141" s="431">
        <f t="shared" ref="CS141" si="2361">(((CR141*(1+($B$41*$B$4)))-CR141)/12)+CR141</f>
        <v>0</v>
      </c>
      <c r="CT141" s="431">
        <f t="shared" ref="CT141" si="2362">(((CS141*(1+($B$41*$B$4)))-CS141)/12)+CS141</f>
        <v>0</v>
      </c>
      <c r="CU141" s="431">
        <f t="shared" ref="CU141" si="2363">(((CT141*(1+($B$41*$B$4)))-CT141)/12)+CT141</f>
        <v>0</v>
      </c>
      <c r="CV141" s="431">
        <f t="shared" ref="CV141" si="2364">(((CU141*(1+($B$41*$B$4)))-CU141)/12)+CU141</f>
        <v>0</v>
      </c>
      <c r="CW141" s="431">
        <f t="shared" ref="CW141" si="2365">(((CV141*(1+($B$41*$B$4)))-CV141)/12)+CV141</f>
        <v>0</v>
      </c>
      <c r="CX141" s="431">
        <f t="shared" ref="CX141" si="2366">(((CW141*(1+($B$41*$B$4)))-CW141)/12)+CW141</f>
        <v>0</v>
      </c>
      <c r="CY141" s="431">
        <f t="shared" ref="CY141" si="2367">(((CX141*(1+($B$41*$B$4)))-CX141)/12)+CX141</f>
        <v>0</v>
      </c>
      <c r="CZ141" s="431">
        <f t="shared" ref="CZ141" si="2368">(((CY141*(1+($B$41*$B$4)))-CY141)/12)+CY141</f>
        <v>0</v>
      </c>
      <c r="DA141" s="431">
        <f t="shared" ref="DA141" si="2369">(((CZ141*(1+($B$41*$B$4)))-CZ141)/12)+CZ141</f>
        <v>0</v>
      </c>
      <c r="DB141" s="431">
        <f t="shared" ref="DB141" si="2370">(((DA141*(1+($B$41*$B$4)))-DA141)/12)+DA141</f>
        <v>0</v>
      </c>
      <c r="DC141" s="432">
        <f t="shared" ref="DC141" si="2371">(((DB141*(1+($B$42*$B$4)))-DB141)/12)+DB141</f>
        <v>0</v>
      </c>
      <c r="DD141" s="431">
        <f t="shared" ref="DD141" si="2372">(((DC141*(1+($B$42*$B$4)))-DC141)/12)+DC141</f>
        <v>0</v>
      </c>
      <c r="DE141" s="431">
        <f t="shared" ref="DE141" si="2373">(((DD141*(1+($B$42*$B$4)))-DD141)/12)+DD141</f>
        <v>0</v>
      </c>
      <c r="DF141" s="431">
        <f t="shared" ref="DF141" si="2374">(((DE141*(1+($B$42*$B$4)))-DE141)/12)+DE141</f>
        <v>0</v>
      </c>
      <c r="DG141" s="431">
        <f t="shared" ref="DG141" si="2375">(((DF141*(1+($B$42*$B$4)))-DF141)/12)+DF141</f>
        <v>0</v>
      </c>
      <c r="DH141" s="431">
        <f t="shared" ref="DH141" si="2376">(((DG141*(1+($B$42*$B$4)))-DG141)/12)+DG141</f>
        <v>0</v>
      </c>
      <c r="DI141" s="431">
        <f t="shared" ref="DI141" si="2377">(((DH141*(1+($B$42*$B$4)))-DH141)/12)+DH141</f>
        <v>0</v>
      </c>
      <c r="DJ141" s="431">
        <f t="shared" ref="DJ141" si="2378">(((DI141*(1+($B$42*$B$4)))-DI141)/12)+DI141</f>
        <v>0</v>
      </c>
      <c r="DK141" s="431">
        <f t="shared" ref="DK141" si="2379">(((DJ141*(1+($B$42*$B$4)))-DJ141)/12)+DJ141</f>
        <v>0</v>
      </c>
      <c r="DL141" s="431">
        <f t="shared" ref="DL141" si="2380">(((DK141*(1+($B$42*$B$4)))-DK141)/12)+DK141</f>
        <v>0</v>
      </c>
      <c r="DM141" s="431">
        <f t="shared" ref="DM141" si="2381">(((DL141*(1+($B$42*$B$4)))-DL141)/12)+DL141</f>
        <v>0</v>
      </c>
      <c r="DN141" s="431">
        <f t="shared" ref="DN141" si="2382">(((DM141*(1+($B$42*$B$4)))-DM141)/12)+DM141</f>
        <v>0</v>
      </c>
      <c r="DO141" s="432">
        <f t="shared" ref="DO141" si="2383">(((DN141*(1+($B$43*$B$4)))-DN141)/12)+DN141</f>
        <v>0</v>
      </c>
      <c r="DP141" s="431">
        <f t="shared" ref="DP141" si="2384">(((DO141*(1+($B$43*$B$4)))-DO141)/12)+DO141</f>
        <v>0</v>
      </c>
      <c r="DQ141" s="431">
        <f t="shared" ref="DQ141" si="2385">(((DP141*(1+($B$43*$B$4)))-DP141)/12)+DP141</f>
        <v>0</v>
      </c>
      <c r="DR141" s="431">
        <f t="shared" ref="DR141" si="2386">(((DQ141*(1+($B$43*$B$4)))-DQ141)/12)+DQ141</f>
        <v>0</v>
      </c>
      <c r="DS141" s="431">
        <f t="shared" ref="DS141" si="2387">(((DR141*(1+($B$43*$B$4)))-DR141)/12)+DR141</f>
        <v>0</v>
      </c>
      <c r="DT141" s="431">
        <f t="shared" ref="DT141" si="2388">(((DS141*(1+($B$43*$B$4)))-DS141)/12)+DS141</f>
        <v>0</v>
      </c>
      <c r="DU141" s="431">
        <f t="shared" ref="DU141" si="2389">(((DT141*(1+($B$43*$B$4)))-DT141)/12)+DT141</f>
        <v>0</v>
      </c>
      <c r="DV141" s="431">
        <f t="shared" ref="DV141" si="2390">(((DU141*(1+($B$43*$B$4)))-DU141)/12)+DU141</f>
        <v>0</v>
      </c>
      <c r="DW141" s="431">
        <f t="shared" ref="DW141" si="2391">(((DV141*(1+($B$43*$B$4)))-DV141)/12)+DV141</f>
        <v>0</v>
      </c>
      <c r="DX141" s="431">
        <f t="shared" ref="DX141" si="2392">(((DW141*(1+($B$43*$B$4)))-DW141)/12)+DW141</f>
        <v>0</v>
      </c>
      <c r="DY141" s="431">
        <f t="shared" ref="DY141" si="2393">(((DX141*(1+($B$43*$B$4)))-DX141)/12)+DX141</f>
        <v>0</v>
      </c>
      <c r="DZ141" s="431">
        <f t="shared" ref="DZ141" si="2394">(((DY141*(1+($B$43*$B$4)))-DY141)/12)+DY141</f>
        <v>0</v>
      </c>
      <c r="EA141" s="432">
        <f>(((DZ141*(1+($B$44*$B$4)))-DZ141)/12)+DZ141</f>
        <v>0</v>
      </c>
      <c r="EB141" s="431">
        <f>(((EA141*(1+($B$44*$B$4)))-EA141)/12)+EA141</f>
        <v>0</v>
      </c>
      <c r="EC141" s="431">
        <f>(((EB141*(1+($B$44*$B$4)))-EB141)/12)+EB141</f>
        <v>0</v>
      </c>
      <c r="ED141" s="433">
        <f>(((EC141*(1+($B$44*$B$4)))-EC141)/12)+EC141</f>
        <v>0</v>
      </c>
    </row>
    <row r="142" spans="1:134" outlineLevel="1" x14ac:dyDescent="0.25">
      <c r="C142" s="475"/>
      <c r="D142" s="744"/>
      <c r="E142" s="744"/>
      <c r="F142" s="744"/>
      <c r="G142" s="744"/>
      <c r="H142" s="744"/>
      <c r="I142" s="744"/>
      <c r="J142" s="744"/>
      <c r="K142" s="744"/>
      <c r="L142" s="434"/>
      <c r="M142" s="435"/>
      <c r="N142" s="436"/>
      <c r="O142" s="437"/>
      <c r="P142" s="437"/>
      <c r="Q142" s="437"/>
      <c r="R142" s="438"/>
      <c r="S142" s="439"/>
      <c r="T142" s="439"/>
      <c r="U142" s="435"/>
      <c r="V142" s="472">
        <v>1</v>
      </c>
      <c r="W142" s="441">
        <f>ROUNDUP($V142*(W141/100)/0.8,0)</f>
        <v>0</v>
      </c>
      <c r="X142" s="442">
        <f t="shared" ref="X142:CI142" si="2395">ROUNDUP($V142*(X141/100)/0.8,0)</f>
        <v>0</v>
      </c>
      <c r="Y142" s="442">
        <f t="shared" si="2395"/>
        <v>0</v>
      </c>
      <c r="Z142" s="442">
        <f t="shared" si="2395"/>
        <v>0</v>
      </c>
      <c r="AA142" s="442">
        <f t="shared" si="2395"/>
        <v>0</v>
      </c>
      <c r="AB142" s="442">
        <f t="shared" si="2395"/>
        <v>0</v>
      </c>
      <c r="AC142" s="442">
        <f t="shared" si="2395"/>
        <v>0</v>
      </c>
      <c r="AD142" s="442">
        <f t="shared" si="2395"/>
        <v>0</v>
      </c>
      <c r="AE142" s="442">
        <f t="shared" si="2395"/>
        <v>0</v>
      </c>
      <c r="AF142" s="442">
        <f t="shared" si="2395"/>
        <v>0</v>
      </c>
      <c r="AG142" s="442">
        <f t="shared" si="2395"/>
        <v>0</v>
      </c>
      <c r="AH142" s="442">
        <f t="shared" si="2395"/>
        <v>0</v>
      </c>
      <c r="AI142" s="443">
        <f t="shared" si="2395"/>
        <v>0</v>
      </c>
      <c r="AJ142" s="442">
        <f t="shared" si="2395"/>
        <v>0</v>
      </c>
      <c r="AK142" s="442">
        <f t="shared" si="2395"/>
        <v>0</v>
      </c>
      <c r="AL142" s="442">
        <f t="shared" si="2395"/>
        <v>0</v>
      </c>
      <c r="AM142" s="442">
        <f t="shared" si="2395"/>
        <v>0</v>
      </c>
      <c r="AN142" s="442">
        <f t="shared" si="2395"/>
        <v>0</v>
      </c>
      <c r="AO142" s="442">
        <f t="shared" si="2395"/>
        <v>0</v>
      </c>
      <c r="AP142" s="442">
        <f t="shared" si="2395"/>
        <v>0</v>
      </c>
      <c r="AQ142" s="442">
        <f t="shared" si="2395"/>
        <v>0</v>
      </c>
      <c r="AR142" s="442">
        <f t="shared" si="2395"/>
        <v>0</v>
      </c>
      <c r="AS142" s="442">
        <f t="shared" si="2395"/>
        <v>0</v>
      </c>
      <c r="AT142" s="442">
        <f t="shared" si="2395"/>
        <v>0</v>
      </c>
      <c r="AU142" s="443">
        <f t="shared" si="2395"/>
        <v>0</v>
      </c>
      <c r="AV142" s="442">
        <f t="shared" si="2395"/>
        <v>0</v>
      </c>
      <c r="AW142" s="442">
        <f t="shared" si="2395"/>
        <v>0</v>
      </c>
      <c r="AX142" s="442">
        <f t="shared" si="2395"/>
        <v>0</v>
      </c>
      <c r="AY142" s="442">
        <f t="shared" si="2395"/>
        <v>0</v>
      </c>
      <c r="AZ142" s="442">
        <f t="shared" si="2395"/>
        <v>0</v>
      </c>
      <c r="BA142" s="442">
        <f t="shared" si="2395"/>
        <v>0</v>
      </c>
      <c r="BB142" s="442">
        <f t="shared" si="2395"/>
        <v>0</v>
      </c>
      <c r="BC142" s="442">
        <f t="shared" si="2395"/>
        <v>0</v>
      </c>
      <c r="BD142" s="442">
        <f t="shared" si="2395"/>
        <v>0</v>
      </c>
      <c r="BE142" s="442">
        <f t="shared" si="2395"/>
        <v>0</v>
      </c>
      <c r="BF142" s="442">
        <f t="shared" si="2395"/>
        <v>0</v>
      </c>
      <c r="BG142" s="443">
        <f t="shared" si="2395"/>
        <v>0</v>
      </c>
      <c r="BH142" s="442">
        <f t="shared" si="2395"/>
        <v>0</v>
      </c>
      <c r="BI142" s="442">
        <f t="shared" si="2395"/>
        <v>0</v>
      </c>
      <c r="BJ142" s="442">
        <f t="shared" si="2395"/>
        <v>0</v>
      </c>
      <c r="BK142" s="442">
        <f t="shared" si="2395"/>
        <v>0</v>
      </c>
      <c r="BL142" s="442">
        <f t="shared" si="2395"/>
        <v>0</v>
      </c>
      <c r="BM142" s="442">
        <f t="shared" si="2395"/>
        <v>0</v>
      </c>
      <c r="BN142" s="442">
        <f t="shared" si="2395"/>
        <v>0</v>
      </c>
      <c r="BO142" s="442">
        <f t="shared" si="2395"/>
        <v>0</v>
      </c>
      <c r="BP142" s="442">
        <f t="shared" si="2395"/>
        <v>0</v>
      </c>
      <c r="BQ142" s="442">
        <f t="shared" si="2395"/>
        <v>0</v>
      </c>
      <c r="BR142" s="442">
        <f t="shared" si="2395"/>
        <v>0</v>
      </c>
      <c r="BS142" s="443">
        <f t="shared" si="2395"/>
        <v>0</v>
      </c>
      <c r="BT142" s="442">
        <f t="shared" si="2395"/>
        <v>0</v>
      </c>
      <c r="BU142" s="442">
        <f t="shared" si="2395"/>
        <v>0</v>
      </c>
      <c r="BV142" s="442">
        <f t="shared" si="2395"/>
        <v>0</v>
      </c>
      <c r="BW142" s="442">
        <f t="shared" si="2395"/>
        <v>0</v>
      </c>
      <c r="BX142" s="442">
        <f t="shared" si="2395"/>
        <v>0</v>
      </c>
      <c r="BY142" s="442">
        <f t="shared" si="2395"/>
        <v>0</v>
      </c>
      <c r="BZ142" s="442">
        <f t="shared" si="2395"/>
        <v>0</v>
      </c>
      <c r="CA142" s="442">
        <f t="shared" si="2395"/>
        <v>0</v>
      </c>
      <c r="CB142" s="442">
        <f t="shared" si="2395"/>
        <v>0</v>
      </c>
      <c r="CC142" s="442">
        <f t="shared" si="2395"/>
        <v>0</v>
      </c>
      <c r="CD142" s="442">
        <f t="shared" si="2395"/>
        <v>0</v>
      </c>
      <c r="CE142" s="443">
        <f t="shared" si="2395"/>
        <v>0</v>
      </c>
      <c r="CF142" s="442">
        <f t="shared" si="2395"/>
        <v>0</v>
      </c>
      <c r="CG142" s="442">
        <f t="shared" si="2395"/>
        <v>0</v>
      </c>
      <c r="CH142" s="442">
        <f t="shared" si="2395"/>
        <v>0</v>
      </c>
      <c r="CI142" s="442">
        <f t="shared" si="2395"/>
        <v>0</v>
      </c>
      <c r="CJ142" s="442">
        <f t="shared" ref="CJ142:ED142" si="2396">ROUNDUP($V142*(CJ141/100)/0.8,0)</f>
        <v>0</v>
      </c>
      <c r="CK142" s="442">
        <f t="shared" si="2396"/>
        <v>0</v>
      </c>
      <c r="CL142" s="442">
        <f t="shared" si="2396"/>
        <v>0</v>
      </c>
      <c r="CM142" s="442">
        <f t="shared" si="2396"/>
        <v>0</v>
      </c>
      <c r="CN142" s="442">
        <f t="shared" si="2396"/>
        <v>0</v>
      </c>
      <c r="CO142" s="442">
        <f t="shared" si="2396"/>
        <v>0</v>
      </c>
      <c r="CP142" s="442">
        <f t="shared" si="2396"/>
        <v>0</v>
      </c>
      <c r="CQ142" s="443">
        <f t="shared" si="2396"/>
        <v>0</v>
      </c>
      <c r="CR142" s="442">
        <f t="shared" si="2396"/>
        <v>0</v>
      </c>
      <c r="CS142" s="442">
        <f t="shared" si="2396"/>
        <v>0</v>
      </c>
      <c r="CT142" s="442">
        <f t="shared" si="2396"/>
        <v>0</v>
      </c>
      <c r="CU142" s="442">
        <f t="shared" si="2396"/>
        <v>0</v>
      </c>
      <c r="CV142" s="442">
        <f t="shared" si="2396"/>
        <v>0</v>
      </c>
      <c r="CW142" s="442">
        <f t="shared" si="2396"/>
        <v>0</v>
      </c>
      <c r="CX142" s="442">
        <f t="shared" si="2396"/>
        <v>0</v>
      </c>
      <c r="CY142" s="442">
        <f t="shared" si="2396"/>
        <v>0</v>
      </c>
      <c r="CZ142" s="442">
        <f t="shared" si="2396"/>
        <v>0</v>
      </c>
      <c r="DA142" s="442">
        <f t="shared" si="2396"/>
        <v>0</v>
      </c>
      <c r="DB142" s="442">
        <f t="shared" si="2396"/>
        <v>0</v>
      </c>
      <c r="DC142" s="443">
        <f t="shared" si="2396"/>
        <v>0</v>
      </c>
      <c r="DD142" s="442">
        <f t="shared" si="2396"/>
        <v>0</v>
      </c>
      <c r="DE142" s="442">
        <f t="shared" si="2396"/>
        <v>0</v>
      </c>
      <c r="DF142" s="442">
        <f t="shared" si="2396"/>
        <v>0</v>
      </c>
      <c r="DG142" s="442">
        <f t="shared" si="2396"/>
        <v>0</v>
      </c>
      <c r="DH142" s="442">
        <f t="shared" si="2396"/>
        <v>0</v>
      </c>
      <c r="DI142" s="442">
        <f t="shared" si="2396"/>
        <v>0</v>
      </c>
      <c r="DJ142" s="442">
        <f t="shared" si="2396"/>
        <v>0</v>
      </c>
      <c r="DK142" s="442">
        <f t="shared" si="2396"/>
        <v>0</v>
      </c>
      <c r="DL142" s="442">
        <f t="shared" si="2396"/>
        <v>0</v>
      </c>
      <c r="DM142" s="442">
        <f t="shared" si="2396"/>
        <v>0</v>
      </c>
      <c r="DN142" s="442">
        <f t="shared" si="2396"/>
        <v>0</v>
      </c>
      <c r="DO142" s="443">
        <f t="shared" si="2396"/>
        <v>0</v>
      </c>
      <c r="DP142" s="442">
        <f t="shared" si="2396"/>
        <v>0</v>
      </c>
      <c r="DQ142" s="442">
        <f t="shared" si="2396"/>
        <v>0</v>
      </c>
      <c r="DR142" s="442">
        <f t="shared" si="2396"/>
        <v>0</v>
      </c>
      <c r="DS142" s="442">
        <f t="shared" si="2396"/>
        <v>0</v>
      </c>
      <c r="DT142" s="442">
        <f t="shared" si="2396"/>
        <v>0</v>
      </c>
      <c r="DU142" s="442">
        <f t="shared" si="2396"/>
        <v>0</v>
      </c>
      <c r="DV142" s="442">
        <f t="shared" si="2396"/>
        <v>0</v>
      </c>
      <c r="DW142" s="442">
        <f t="shared" si="2396"/>
        <v>0</v>
      </c>
      <c r="DX142" s="442">
        <f t="shared" si="2396"/>
        <v>0</v>
      </c>
      <c r="DY142" s="442">
        <f t="shared" si="2396"/>
        <v>0</v>
      </c>
      <c r="DZ142" s="442">
        <f t="shared" si="2396"/>
        <v>0</v>
      </c>
      <c r="EA142" s="443">
        <f t="shared" si="2396"/>
        <v>0</v>
      </c>
      <c r="EB142" s="442">
        <f t="shared" si="2396"/>
        <v>0</v>
      </c>
      <c r="EC142" s="442">
        <f t="shared" si="2396"/>
        <v>0</v>
      </c>
      <c r="ED142" s="444">
        <f t="shared" si="2396"/>
        <v>0</v>
      </c>
    </row>
    <row r="143" spans="1:134" outlineLevel="1" x14ac:dyDescent="0.25">
      <c r="C143" s="475"/>
      <c r="D143" s="743" t="s">
        <v>303</v>
      </c>
      <c r="E143" s="743"/>
      <c r="F143" s="743"/>
      <c r="G143" s="743"/>
      <c r="H143" s="743"/>
      <c r="I143" s="743"/>
      <c r="J143" s="743"/>
      <c r="K143" s="743"/>
      <c r="L143" s="420"/>
      <c r="M143" s="419"/>
      <c r="N143" s="426">
        <f>M143/100</f>
        <v>0</v>
      </c>
      <c r="O143" s="427"/>
      <c r="P143" s="427"/>
      <c r="Q143" s="427"/>
      <c r="R143" s="428">
        <f>P143-N143</f>
        <v>0</v>
      </c>
      <c r="S143" s="429">
        <f>Q143*100</f>
        <v>0</v>
      </c>
      <c r="T143" s="429"/>
      <c r="U143" s="419"/>
      <c r="V143" s="123"/>
      <c r="W143" s="452">
        <f>M143</f>
        <v>0</v>
      </c>
      <c r="X143" s="453">
        <f>W143</f>
        <v>0</v>
      </c>
      <c r="Y143" s="453">
        <f>X143</f>
        <v>0</v>
      </c>
      <c r="Z143" s="453">
        <f>O143*100</f>
        <v>0</v>
      </c>
      <c r="AA143" s="453">
        <f>Z143</f>
        <v>0</v>
      </c>
      <c r="AB143" s="453">
        <f>AA143</f>
        <v>0</v>
      </c>
      <c r="AC143" s="453">
        <f>P143*100</f>
        <v>0</v>
      </c>
      <c r="AD143" s="453">
        <f>AC143</f>
        <v>0</v>
      </c>
      <c r="AE143" s="453">
        <f>AD143</f>
        <v>0</v>
      </c>
      <c r="AF143" s="453">
        <f>AE143</f>
        <v>0</v>
      </c>
      <c r="AG143" s="453">
        <f>AF143</f>
        <v>0</v>
      </c>
      <c r="AH143" s="453">
        <f>AG143</f>
        <v>0</v>
      </c>
      <c r="AI143" s="454">
        <f t="shared" ref="AI143" si="2397">(((AH143*(1+($B$36*$B$4)))-AH143)/12)+AH143</f>
        <v>0</v>
      </c>
      <c r="AJ143" s="453">
        <f t="shared" ref="AJ143" si="2398">(((AI143*(1+($B$36*$B$4)))-AI143)/12)+AI143</f>
        <v>0</v>
      </c>
      <c r="AK143" s="453">
        <f t="shared" ref="AK143" si="2399">(((AJ143*(1+($B$36*$B$4)))-AJ143)/12)+AJ143</f>
        <v>0</v>
      </c>
      <c r="AL143" s="453">
        <f t="shared" ref="AL143" si="2400">(((AK143*(1+($B$36*$B$4)))-AK143)/12)+AK143</f>
        <v>0</v>
      </c>
      <c r="AM143" s="453">
        <f t="shared" ref="AM143" si="2401">(((AL143*(1+($B$36*$B$4)))-AL143)/12)+AL143</f>
        <v>0</v>
      </c>
      <c r="AN143" s="453">
        <f t="shared" ref="AN143" si="2402">(((AM143*(1+($B$36*$B$4)))-AM143)/12)+AM143</f>
        <v>0</v>
      </c>
      <c r="AO143" s="453">
        <f t="shared" ref="AO143" si="2403">(((AN143*(1+($B$36*$B$4)))-AN143)/12)+AN143</f>
        <v>0</v>
      </c>
      <c r="AP143" s="453">
        <f t="shared" ref="AP143" si="2404">(((AO143*(1+($B$36*$B$4)))-AO143)/12)+AO143</f>
        <v>0</v>
      </c>
      <c r="AQ143" s="453">
        <f t="shared" ref="AQ143" si="2405">(((AP143*(1+($B$36*$B$4)))-AP143)/12)+AP143</f>
        <v>0</v>
      </c>
      <c r="AR143" s="453">
        <f t="shared" ref="AR143" si="2406">(((AQ143*(1+($B$36*$B$4)))-AQ143)/12)+AQ143</f>
        <v>0</v>
      </c>
      <c r="AS143" s="453">
        <f t="shared" ref="AS143" si="2407">(((AR143*(1+($B$36*$B$4)))-AR143)/12)+AR143</f>
        <v>0</v>
      </c>
      <c r="AT143" s="453">
        <f t="shared" ref="AT143" si="2408">(((AS143*(1+($B$36*$B$4)))-AS143)/12)+AS143</f>
        <v>0</v>
      </c>
      <c r="AU143" s="454">
        <f t="shared" ref="AU143" si="2409">(((AT143*(1+($B$37*$B$4)))-AT143)/12)+AT143</f>
        <v>0</v>
      </c>
      <c r="AV143" s="453">
        <f t="shared" ref="AV143" si="2410">(((AU143*(1+($B$37*$B$4)))-AU143)/12)+AU143</f>
        <v>0</v>
      </c>
      <c r="AW143" s="453">
        <f t="shared" ref="AW143" si="2411">(((AV143*(1+($B$37*$B$4)))-AV143)/12)+AV143</f>
        <v>0</v>
      </c>
      <c r="AX143" s="453">
        <f t="shared" ref="AX143" si="2412">(((AW143*(1+($B$37*$B$4)))-AW143)/12)+AW143</f>
        <v>0</v>
      </c>
      <c r="AY143" s="453">
        <f t="shared" ref="AY143" si="2413">(((AX143*(1+($B$37*$B$4)))-AX143)/12)+AX143</f>
        <v>0</v>
      </c>
      <c r="AZ143" s="453">
        <f t="shared" ref="AZ143" si="2414">(((AY143*(1+($B$37*$B$4)))-AY143)/12)+AY143</f>
        <v>0</v>
      </c>
      <c r="BA143" s="453">
        <f t="shared" ref="BA143" si="2415">(((AZ143*(1+($B$37*$B$4)))-AZ143)/12)+AZ143</f>
        <v>0</v>
      </c>
      <c r="BB143" s="453">
        <f t="shared" ref="BB143" si="2416">(((BA143*(1+($B$37*$B$4)))-BA143)/12)+BA143</f>
        <v>0</v>
      </c>
      <c r="BC143" s="453">
        <f t="shared" ref="BC143" si="2417">(((BB143*(1+($B$37*$B$4)))-BB143)/12)+BB143</f>
        <v>0</v>
      </c>
      <c r="BD143" s="453">
        <f t="shared" ref="BD143" si="2418">(((BC143*(1+($B$37*$B$4)))-BC143)/12)+BC143</f>
        <v>0</v>
      </c>
      <c r="BE143" s="453">
        <f t="shared" ref="BE143" si="2419">(((BD143*(1+($B$37*$B$4)))-BD143)/12)+BD143</f>
        <v>0</v>
      </c>
      <c r="BF143" s="453">
        <f t="shared" ref="BF143" si="2420">(((BE143*(1+($B$37*$B$4)))-BE143)/12)+BE143</f>
        <v>0</v>
      </c>
      <c r="BG143" s="454">
        <f t="shared" ref="BG143" si="2421">(((BF143*(1+($B$38*$B$4)))-BF143)/12)+BF143</f>
        <v>0</v>
      </c>
      <c r="BH143" s="453">
        <f t="shared" ref="BH143" si="2422">(((BG143*(1+($B$38*$B$4)))-BG143)/12)+BG143</f>
        <v>0</v>
      </c>
      <c r="BI143" s="453">
        <f t="shared" ref="BI143" si="2423">(((BH143*(1+($B$38*$B$4)))-BH143)/12)+BH143</f>
        <v>0</v>
      </c>
      <c r="BJ143" s="453">
        <f t="shared" ref="BJ143" si="2424">(((BI143*(1+($B$38*$B$4)))-BI143)/12)+BI143</f>
        <v>0</v>
      </c>
      <c r="BK143" s="453">
        <f t="shared" ref="BK143" si="2425">(((BJ143*(1+($B$38*$B$4)))-BJ143)/12)+BJ143</f>
        <v>0</v>
      </c>
      <c r="BL143" s="453">
        <f t="shared" ref="BL143" si="2426">(((BK143*(1+($B$38*$B$4)))-BK143)/12)+BK143</f>
        <v>0</v>
      </c>
      <c r="BM143" s="453">
        <f t="shared" ref="BM143" si="2427">(((BL143*(1+($B$38*$B$4)))-BL143)/12)+BL143</f>
        <v>0</v>
      </c>
      <c r="BN143" s="453">
        <f t="shared" ref="BN143" si="2428">(((BM143*(1+($B$38*$B$4)))-BM143)/12)+BM143</f>
        <v>0</v>
      </c>
      <c r="BO143" s="453">
        <f t="shared" ref="BO143" si="2429">(((BN143*(1+($B$38*$B$4)))-BN143)/12)+BN143</f>
        <v>0</v>
      </c>
      <c r="BP143" s="453">
        <f t="shared" ref="BP143" si="2430">(((BO143*(1+($B$38*$B$4)))-BO143)/12)+BO143</f>
        <v>0</v>
      </c>
      <c r="BQ143" s="453">
        <f t="shared" ref="BQ143" si="2431">(((BP143*(1+($B$38*$B$4)))-BP143)/12)+BP143</f>
        <v>0</v>
      </c>
      <c r="BR143" s="453">
        <f t="shared" ref="BR143" si="2432">(((BQ143*(1+($B$38*$B$4)))-BQ143)/12)+BQ143</f>
        <v>0</v>
      </c>
      <c r="BS143" s="454">
        <f t="shared" ref="BS143" si="2433">(((BR143*(1+($B$39*$B$4)))-BR143)/12)+BR143</f>
        <v>0</v>
      </c>
      <c r="BT143" s="453">
        <f t="shared" ref="BT143" si="2434">(((BS143*(1+($B$39*$B$4)))-BS143)/12)+BS143</f>
        <v>0</v>
      </c>
      <c r="BU143" s="453">
        <f t="shared" ref="BU143" si="2435">(((BT143*(1+($B$39*$B$4)))-BT143)/12)+BT143</f>
        <v>0</v>
      </c>
      <c r="BV143" s="453">
        <f t="shared" ref="BV143" si="2436">(((BU143*(1+($B$39*$B$4)))-BU143)/12)+BU143</f>
        <v>0</v>
      </c>
      <c r="BW143" s="453">
        <f t="shared" ref="BW143" si="2437">(((BV143*(1+($B$39*$B$4)))-BV143)/12)+BV143</f>
        <v>0</v>
      </c>
      <c r="BX143" s="453">
        <f t="shared" ref="BX143" si="2438">(((BW143*(1+($B$39*$B$4)))-BW143)/12)+BW143</f>
        <v>0</v>
      </c>
      <c r="BY143" s="453">
        <f t="shared" ref="BY143" si="2439">(((BX143*(1+($B$39*$B$4)))-BX143)/12)+BX143</f>
        <v>0</v>
      </c>
      <c r="BZ143" s="453">
        <f t="shared" ref="BZ143" si="2440">(((BY143*(1+($B$39*$B$4)))-BY143)/12)+BY143</f>
        <v>0</v>
      </c>
      <c r="CA143" s="453">
        <f t="shared" ref="CA143" si="2441">(((BZ143*(1+($B$39*$B$4)))-BZ143)/12)+BZ143</f>
        <v>0</v>
      </c>
      <c r="CB143" s="453">
        <f t="shared" ref="CB143" si="2442">(((CA143*(1+($B$39*$B$4)))-CA143)/12)+CA143</f>
        <v>0</v>
      </c>
      <c r="CC143" s="453">
        <f t="shared" ref="CC143" si="2443">(((CB143*(1+($B$39*$B$4)))-CB143)/12)+CB143</f>
        <v>0</v>
      </c>
      <c r="CD143" s="453">
        <f t="shared" ref="CD143" si="2444">(((CC143*(1+($B$39*$B$4)))-CC143)/12)+CC143</f>
        <v>0</v>
      </c>
      <c r="CE143" s="454">
        <f t="shared" ref="CE143" si="2445">(((CD143*(1+($B$40*$B$4)))-CD143)/12)+CD143</f>
        <v>0</v>
      </c>
      <c r="CF143" s="453">
        <f t="shared" ref="CF143" si="2446">(((CE143*(1+($B$40*$B$4)))-CE143)/12)+CE143</f>
        <v>0</v>
      </c>
      <c r="CG143" s="453">
        <f t="shared" ref="CG143" si="2447">(((CF143*(1+($B$40*$B$4)))-CF143)/12)+CF143</f>
        <v>0</v>
      </c>
      <c r="CH143" s="453">
        <f t="shared" ref="CH143" si="2448">(((CG143*(1+($B$40*$B$4)))-CG143)/12)+CG143</f>
        <v>0</v>
      </c>
      <c r="CI143" s="453">
        <f t="shared" ref="CI143" si="2449">(((CH143*(1+($B$40*$B$4)))-CH143)/12)+CH143</f>
        <v>0</v>
      </c>
      <c r="CJ143" s="453">
        <f t="shared" ref="CJ143" si="2450">(((CI143*(1+($B$40*$B$4)))-CI143)/12)+CI143</f>
        <v>0</v>
      </c>
      <c r="CK143" s="453">
        <f t="shared" ref="CK143" si="2451">(((CJ143*(1+($B$40*$B$4)))-CJ143)/12)+CJ143</f>
        <v>0</v>
      </c>
      <c r="CL143" s="453">
        <f t="shared" ref="CL143" si="2452">(((CK143*(1+($B$40*$B$4)))-CK143)/12)+CK143</f>
        <v>0</v>
      </c>
      <c r="CM143" s="453">
        <f t="shared" ref="CM143" si="2453">(((CL143*(1+($B$40*$B$4)))-CL143)/12)+CL143</f>
        <v>0</v>
      </c>
      <c r="CN143" s="453">
        <f t="shared" ref="CN143" si="2454">(((CM143*(1+($B$40*$B$4)))-CM143)/12)+CM143</f>
        <v>0</v>
      </c>
      <c r="CO143" s="453">
        <f t="shared" ref="CO143" si="2455">(((CN143*(1+($B$40*$B$4)))-CN143)/12)+CN143</f>
        <v>0</v>
      </c>
      <c r="CP143" s="453">
        <f t="shared" ref="CP143" si="2456">(((CO143*(1+($B$40*$B$4)))-CO143)/12)+CO143</f>
        <v>0</v>
      </c>
      <c r="CQ143" s="454">
        <f t="shared" ref="CQ143" si="2457">(((CP143*(1+($B$41*$B$4)))-CP143)/12)+CP143</f>
        <v>0</v>
      </c>
      <c r="CR143" s="453">
        <f t="shared" ref="CR143" si="2458">(((CQ143*(1+($B$41*$B$4)))-CQ143)/12)+CQ143</f>
        <v>0</v>
      </c>
      <c r="CS143" s="453">
        <f t="shared" ref="CS143" si="2459">(((CR143*(1+($B$41*$B$4)))-CR143)/12)+CR143</f>
        <v>0</v>
      </c>
      <c r="CT143" s="453">
        <f t="shared" ref="CT143" si="2460">(((CS143*(1+($B$41*$B$4)))-CS143)/12)+CS143</f>
        <v>0</v>
      </c>
      <c r="CU143" s="453">
        <f t="shared" ref="CU143" si="2461">(((CT143*(1+($B$41*$B$4)))-CT143)/12)+CT143</f>
        <v>0</v>
      </c>
      <c r="CV143" s="453">
        <f t="shared" ref="CV143" si="2462">(((CU143*(1+($B$41*$B$4)))-CU143)/12)+CU143</f>
        <v>0</v>
      </c>
      <c r="CW143" s="453">
        <f t="shared" ref="CW143" si="2463">(((CV143*(1+($B$41*$B$4)))-CV143)/12)+CV143</f>
        <v>0</v>
      </c>
      <c r="CX143" s="453">
        <f t="shared" ref="CX143" si="2464">(((CW143*(1+($B$41*$B$4)))-CW143)/12)+CW143</f>
        <v>0</v>
      </c>
      <c r="CY143" s="453">
        <f t="shared" ref="CY143" si="2465">(((CX143*(1+($B$41*$B$4)))-CX143)/12)+CX143</f>
        <v>0</v>
      </c>
      <c r="CZ143" s="453">
        <f t="shared" ref="CZ143" si="2466">(((CY143*(1+($B$41*$B$4)))-CY143)/12)+CY143</f>
        <v>0</v>
      </c>
      <c r="DA143" s="453">
        <f t="shared" ref="DA143" si="2467">(((CZ143*(1+($B$41*$B$4)))-CZ143)/12)+CZ143</f>
        <v>0</v>
      </c>
      <c r="DB143" s="453">
        <f t="shared" ref="DB143" si="2468">(((DA143*(1+($B$41*$B$4)))-DA143)/12)+DA143</f>
        <v>0</v>
      </c>
      <c r="DC143" s="454">
        <f t="shared" ref="DC143" si="2469">(((DB143*(1+($B$42*$B$4)))-DB143)/12)+DB143</f>
        <v>0</v>
      </c>
      <c r="DD143" s="453">
        <f t="shared" ref="DD143" si="2470">(((DC143*(1+($B$42*$B$4)))-DC143)/12)+DC143</f>
        <v>0</v>
      </c>
      <c r="DE143" s="453">
        <f t="shared" ref="DE143" si="2471">(((DD143*(1+($B$42*$B$4)))-DD143)/12)+DD143</f>
        <v>0</v>
      </c>
      <c r="DF143" s="453">
        <f t="shared" ref="DF143" si="2472">(((DE143*(1+($B$42*$B$4)))-DE143)/12)+DE143</f>
        <v>0</v>
      </c>
      <c r="DG143" s="453">
        <f t="shared" ref="DG143" si="2473">(((DF143*(1+($B$42*$B$4)))-DF143)/12)+DF143</f>
        <v>0</v>
      </c>
      <c r="DH143" s="453">
        <f t="shared" ref="DH143" si="2474">(((DG143*(1+($B$42*$B$4)))-DG143)/12)+DG143</f>
        <v>0</v>
      </c>
      <c r="DI143" s="453">
        <f t="shared" ref="DI143" si="2475">(((DH143*(1+($B$42*$B$4)))-DH143)/12)+DH143</f>
        <v>0</v>
      </c>
      <c r="DJ143" s="453">
        <f t="shared" ref="DJ143" si="2476">(((DI143*(1+($B$42*$B$4)))-DI143)/12)+DI143</f>
        <v>0</v>
      </c>
      <c r="DK143" s="453">
        <f t="shared" ref="DK143" si="2477">(((DJ143*(1+($B$42*$B$4)))-DJ143)/12)+DJ143</f>
        <v>0</v>
      </c>
      <c r="DL143" s="453">
        <f t="shared" ref="DL143" si="2478">(((DK143*(1+($B$42*$B$4)))-DK143)/12)+DK143</f>
        <v>0</v>
      </c>
      <c r="DM143" s="453">
        <f t="shared" ref="DM143" si="2479">(((DL143*(1+($B$42*$B$4)))-DL143)/12)+DL143</f>
        <v>0</v>
      </c>
      <c r="DN143" s="453">
        <f t="shared" ref="DN143" si="2480">(((DM143*(1+($B$42*$B$4)))-DM143)/12)+DM143</f>
        <v>0</v>
      </c>
      <c r="DO143" s="454">
        <f t="shared" ref="DO143" si="2481">(((DN143*(1+($B$43*$B$4)))-DN143)/12)+DN143</f>
        <v>0</v>
      </c>
      <c r="DP143" s="453">
        <f t="shared" ref="DP143" si="2482">(((DO143*(1+($B$43*$B$4)))-DO143)/12)+DO143</f>
        <v>0</v>
      </c>
      <c r="DQ143" s="453">
        <f t="shared" ref="DQ143" si="2483">(((DP143*(1+($B$43*$B$4)))-DP143)/12)+DP143</f>
        <v>0</v>
      </c>
      <c r="DR143" s="453">
        <f t="shared" ref="DR143" si="2484">(((DQ143*(1+($B$43*$B$4)))-DQ143)/12)+DQ143</f>
        <v>0</v>
      </c>
      <c r="DS143" s="453">
        <f t="shared" ref="DS143" si="2485">(((DR143*(1+($B$43*$B$4)))-DR143)/12)+DR143</f>
        <v>0</v>
      </c>
      <c r="DT143" s="453">
        <f t="shared" ref="DT143" si="2486">(((DS143*(1+($B$43*$B$4)))-DS143)/12)+DS143</f>
        <v>0</v>
      </c>
      <c r="DU143" s="453">
        <f t="shared" ref="DU143" si="2487">(((DT143*(1+($B$43*$B$4)))-DT143)/12)+DT143</f>
        <v>0</v>
      </c>
      <c r="DV143" s="453">
        <f t="shared" ref="DV143" si="2488">(((DU143*(1+($B$43*$B$4)))-DU143)/12)+DU143</f>
        <v>0</v>
      </c>
      <c r="DW143" s="453">
        <f t="shared" ref="DW143" si="2489">(((DV143*(1+($B$43*$B$4)))-DV143)/12)+DV143</f>
        <v>0</v>
      </c>
      <c r="DX143" s="453">
        <f t="shared" ref="DX143" si="2490">(((DW143*(1+($B$43*$B$4)))-DW143)/12)+DW143</f>
        <v>0</v>
      </c>
      <c r="DY143" s="453">
        <f t="shared" ref="DY143" si="2491">(((DX143*(1+($B$43*$B$4)))-DX143)/12)+DX143</f>
        <v>0</v>
      </c>
      <c r="DZ143" s="453">
        <f t="shared" ref="DZ143" si="2492">(((DY143*(1+($B$43*$B$4)))-DY143)/12)+DY143</f>
        <v>0</v>
      </c>
      <c r="EA143" s="454">
        <f>(((DZ143*(1+($B$44*$B$4)))-DZ143)/12)+DZ143</f>
        <v>0</v>
      </c>
      <c r="EB143" s="453">
        <f>(((EA143*(1+($B$44*$B$4)))-EA143)/12)+EA143</f>
        <v>0</v>
      </c>
      <c r="EC143" s="453">
        <f>(((EB143*(1+($B$44*$B$4)))-EB143)/12)+EB143</f>
        <v>0</v>
      </c>
      <c r="ED143" s="455">
        <f>(((EC143*(1+($B$44*$B$4)))-EC143)/12)+EC143</f>
        <v>0</v>
      </c>
    </row>
    <row r="144" spans="1:134" outlineLevel="1" x14ac:dyDescent="0.25">
      <c r="C144" s="475"/>
      <c r="D144" s="744"/>
      <c r="E144" s="744"/>
      <c r="F144" s="744"/>
      <c r="G144" s="744"/>
      <c r="H144" s="744"/>
      <c r="I144" s="744"/>
      <c r="J144" s="744"/>
      <c r="K144" s="744"/>
      <c r="L144" s="434"/>
      <c r="M144" s="435"/>
      <c r="N144" s="436"/>
      <c r="O144" s="437"/>
      <c r="P144" s="437"/>
      <c r="Q144" s="437"/>
      <c r="R144" s="438"/>
      <c r="S144" s="439"/>
      <c r="T144" s="439"/>
      <c r="U144" s="435"/>
      <c r="V144" s="440">
        <v>1</v>
      </c>
      <c r="W144" s="456">
        <f>ROUNDUP($V144*(W143/100)/0.8,0)</f>
        <v>0</v>
      </c>
      <c r="X144" s="446">
        <f t="shared" ref="X144:CI144" si="2493">ROUNDUP($V144*(X143/100)/0.8,0)</f>
        <v>0</v>
      </c>
      <c r="Y144" s="446">
        <f t="shared" si="2493"/>
        <v>0</v>
      </c>
      <c r="Z144" s="446">
        <f t="shared" si="2493"/>
        <v>0</v>
      </c>
      <c r="AA144" s="446">
        <f t="shared" si="2493"/>
        <v>0</v>
      </c>
      <c r="AB144" s="446">
        <f t="shared" si="2493"/>
        <v>0</v>
      </c>
      <c r="AC144" s="446">
        <f t="shared" si="2493"/>
        <v>0</v>
      </c>
      <c r="AD144" s="446">
        <f t="shared" si="2493"/>
        <v>0</v>
      </c>
      <c r="AE144" s="446">
        <f t="shared" si="2493"/>
        <v>0</v>
      </c>
      <c r="AF144" s="446">
        <f t="shared" si="2493"/>
        <v>0</v>
      </c>
      <c r="AG144" s="446">
        <f t="shared" si="2493"/>
        <v>0</v>
      </c>
      <c r="AH144" s="446">
        <f t="shared" si="2493"/>
        <v>0</v>
      </c>
      <c r="AI144" s="457">
        <f t="shared" si="2493"/>
        <v>0</v>
      </c>
      <c r="AJ144" s="446">
        <f t="shared" si="2493"/>
        <v>0</v>
      </c>
      <c r="AK144" s="446">
        <f t="shared" si="2493"/>
        <v>0</v>
      </c>
      <c r="AL144" s="446">
        <f t="shared" si="2493"/>
        <v>0</v>
      </c>
      <c r="AM144" s="446">
        <f t="shared" si="2493"/>
        <v>0</v>
      </c>
      <c r="AN144" s="446">
        <f t="shared" si="2493"/>
        <v>0</v>
      </c>
      <c r="AO144" s="446">
        <f t="shared" si="2493"/>
        <v>0</v>
      </c>
      <c r="AP144" s="446">
        <f t="shared" si="2493"/>
        <v>0</v>
      </c>
      <c r="AQ144" s="446">
        <f t="shared" si="2493"/>
        <v>0</v>
      </c>
      <c r="AR144" s="446">
        <f t="shared" si="2493"/>
        <v>0</v>
      </c>
      <c r="AS144" s="446">
        <f t="shared" si="2493"/>
        <v>0</v>
      </c>
      <c r="AT144" s="446">
        <f t="shared" si="2493"/>
        <v>0</v>
      </c>
      <c r="AU144" s="457">
        <f t="shared" si="2493"/>
        <v>0</v>
      </c>
      <c r="AV144" s="446">
        <f t="shared" si="2493"/>
        <v>0</v>
      </c>
      <c r="AW144" s="446">
        <f t="shared" si="2493"/>
        <v>0</v>
      </c>
      <c r="AX144" s="446">
        <f t="shared" si="2493"/>
        <v>0</v>
      </c>
      <c r="AY144" s="446">
        <f t="shared" si="2493"/>
        <v>0</v>
      </c>
      <c r="AZ144" s="446">
        <f t="shared" si="2493"/>
        <v>0</v>
      </c>
      <c r="BA144" s="446">
        <f t="shared" si="2493"/>
        <v>0</v>
      </c>
      <c r="BB144" s="446">
        <f t="shared" si="2493"/>
        <v>0</v>
      </c>
      <c r="BC144" s="446">
        <f t="shared" si="2493"/>
        <v>0</v>
      </c>
      <c r="BD144" s="446">
        <f t="shared" si="2493"/>
        <v>0</v>
      </c>
      <c r="BE144" s="446">
        <f t="shared" si="2493"/>
        <v>0</v>
      </c>
      <c r="BF144" s="446">
        <f t="shared" si="2493"/>
        <v>0</v>
      </c>
      <c r="BG144" s="457">
        <f t="shared" si="2493"/>
        <v>0</v>
      </c>
      <c r="BH144" s="446">
        <f t="shared" si="2493"/>
        <v>0</v>
      </c>
      <c r="BI144" s="446">
        <f t="shared" si="2493"/>
        <v>0</v>
      </c>
      <c r="BJ144" s="446">
        <f t="shared" si="2493"/>
        <v>0</v>
      </c>
      <c r="BK144" s="446">
        <f t="shared" si="2493"/>
        <v>0</v>
      </c>
      <c r="BL144" s="446">
        <f t="shared" si="2493"/>
        <v>0</v>
      </c>
      <c r="BM144" s="446">
        <f t="shared" si="2493"/>
        <v>0</v>
      </c>
      <c r="BN144" s="446">
        <f t="shared" si="2493"/>
        <v>0</v>
      </c>
      <c r="BO144" s="446">
        <f t="shared" si="2493"/>
        <v>0</v>
      </c>
      <c r="BP144" s="446">
        <f t="shared" si="2493"/>
        <v>0</v>
      </c>
      <c r="BQ144" s="446">
        <f t="shared" si="2493"/>
        <v>0</v>
      </c>
      <c r="BR144" s="446">
        <f t="shared" si="2493"/>
        <v>0</v>
      </c>
      <c r="BS144" s="457">
        <f t="shared" si="2493"/>
        <v>0</v>
      </c>
      <c r="BT144" s="446">
        <f t="shared" si="2493"/>
        <v>0</v>
      </c>
      <c r="BU144" s="446">
        <f t="shared" si="2493"/>
        <v>0</v>
      </c>
      <c r="BV144" s="446">
        <f t="shared" si="2493"/>
        <v>0</v>
      </c>
      <c r="BW144" s="446">
        <f t="shared" si="2493"/>
        <v>0</v>
      </c>
      <c r="BX144" s="446">
        <f t="shared" si="2493"/>
        <v>0</v>
      </c>
      <c r="BY144" s="446">
        <f t="shared" si="2493"/>
        <v>0</v>
      </c>
      <c r="BZ144" s="446">
        <f t="shared" si="2493"/>
        <v>0</v>
      </c>
      <c r="CA144" s="446">
        <f t="shared" si="2493"/>
        <v>0</v>
      </c>
      <c r="CB144" s="446">
        <f t="shared" si="2493"/>
        <v>0</v>
      </c>
      <c r="CC144" s="446">
        <f t="shared" si="2493"/>
        <v>0</v>
      </c>
      <c r="CD144" s="446">
        <f t="shared" si="2493"/>
        <v>0</v>
      </c>
      <c r="CE144" s="457">
        <f t="shared" si="2493"/>
        <v>0</v>
      </c>
      <c r="CF144" s="446">
        <f t="shared" si="2493"/>
        <v>0</v>
      </c>
      <c r="CG144" s="446">
        <f t="shared" si="2493"/>
        <v>0</v>
      </c>
      <c r="CH144" s="446">
        <f t="shared" si="2493"/>
        <v>0</v>
      </c>
      <c r="CI144" s="446">
        <f t="shared" si="2493"/>
        <v>0</v>
      </c>
      <c r="CJ144" s="446">
        <f t="shared" ref="CJ144:ED144" si="2494">ROUNDUP($V144*(CJ143/100)/0.8,0)</f>
        <v>0</v>
      </c>
      <c r="CK144" s="446">
        <f t="shared" si="2494"/>
        <v>0</v>
      </c>
      <c r="CL144" s="446">
        <f t="shared" si="2494"/>
        <v>0</v>
      </c>
      <c r="CM144" s="446">
        <f t="shared" si="2494"/>
        <v>0</v>
      </c>
      <c r="CN144" s="446">
        <f t="shared" si="2494"/>
        <v>0</v>
      </c>
      <c r="CO144" s="446">
        <f t="shared" si="2494"/>
        <v>0</v>
      </c>
      <c r="CP144" s="446">
        <f t="shared" si="2494"/>
        <v>0</v>
      </c>
      <c r="CQ144" s="457">
        <f t="shared" si="2494"/>
        <v>0</v>
      </c>
      <c r="CR144" s="446">
        <f t="shared" si="2494"/>
        <v>0</v>
      </c>
      <c r="CS144" s="446">
        <f t="shared" si="2494"/>
        <v>0</v>
      </c>
      <c r="CT144" s="446">
        <f t="shared" si="2494"/>
        <v>0</v>
      </c>
      <c r="CU144" s="446">
        <f t="shared" si="2494"/>
        <v>0</v>
      </c>
      <c r="CV144" s="446">
        <f t="shared" si="2494"/>
        <v>0</v>
      </c>
      <c r="CW144" s="446">
        <f t="shared" si="2494"/>
        <v>0</v>
      </c>
      <c r="CX144" s="446">
        <f t="shared" si="2494"/>
        <v>0</v>
      </c>
      <c r="CY144" s="446">
        <f t="shared" si="2494"/>
        <v>0</v>
      </c>
      <c r="CZ144" s="446">
        <f t="shared" si="2494"/>
        <v>0</v>
      </c>
      <c r="DA144" s="446">
        <f t="shared" si="2494"/>
        <v>0</v>
      </c>
      <c r="DB144" s="446">
        <f t="shared" si="2494"/>
        <v>0</v>
      </c>
      <c r="DC144" s="457">
        <f t="shared" si="2494"/>
        <v>0</v>
      </c>
      <c r="DD144" s="446">
        <f t="shared" si="2494"/>
        <v>0</v>
      </c>
      <c r="DE144" s="446">
        <f t="shared" si="2494"/>
        <v>0</v>
      </c>
      <c r="DF144" s="446">
        <f t="shared" si="2494"/>
        <v>0</v>
      </c>
      <c r="DG144" s="446">
        <f t="shared" si="2494"/>
        <v>0</v>
      </c>
      <c r="DH144" s="446">
        <f t="shared" si="2494"/>
        <v>0</v>
      </c>
      <c r="DI144" s="446">
        <f t="shared" si="2494"/>
        <v>0</v>
      </c>
      <c r="DJ144" s="446">
        <f t="shared" si="2494"/>
        <v>0</v>
      </c>
      <c r="DK144" s="446">
        <f t="shared" si="2494"/>
        <v>0</v>
      </c>
      <c r="DL144" s="446">
        <f t="shared" si="2494"/>
        <v>0</v>
      </c>
      <c r="DM144" s="446">
        <f t="shared" si="2494"/>
        <v>0</v>
      </c>
      <c r="DN144" s="446">
        <f t="shared" si="2494"/>
        <v>0</v>
      </c>
      <c r="DO144" s="457">
        <f t="shared" si="2494"/>
        <v>0</v>
      </c>
      <c r="DP144" s="446">
        <f t="shared" si="2494"/>
        <v>0</v>
      </c>
      <c r="DQ144" s="446">
        <f t="shared" si="2494"/>
        <v>0</v>
      </c>
      <c r="DR144" s="446">
        <f t="shared" si="2494"/>
        <v>0</v>
      </c>
      <c r="DS144" s="446">
        <f t="shared" si="2494"/>
        <v>0</v>
      </c>
      <c r="DT144" s="446">
        <f t="shared" si="2494"/>
        <v>0</v>
      </c>
      <c r="DU144" s="446">
        <f t="shared" si="2494"/>
        <v>0</v>
      </c>
      <c r="DV144" s="446">
        <f t="shared" si="2494"/>
        <v>0</v>
      </c>
      <c r="DW144" s="446">
        <f t="shared" si="2494"/>
        <v>0</v>
      </c>
      <c r="DX144" s="446">
        <f t="shared" si="2494"/>
        <v>0</v>
      </c>
      <c r="DY144" s="446">
        <f t="shared" si="2494"/>
        <v>0</v>
      </c>
      <c r="DZ144" s="446">
        <f t="shared" si="2494"/>
        <v>0</v>
      </c>
      <c r="EA144" s="457">
        <f t="shared" si="2494"/>
        <v>0</v>
      </c>
      <c r="EB144" s="446">
        <f t="shared" si="2494"/>
        <v>0</v>
      </c>
      <c r="EC144" s="446">
        <f t="shared" si="2494"/>
        <v>0</v>
      </c>
      <c r="ED144" s="458">
        <f t="shared" si="2494"/>
        <v>0</v>
      </c>
    </row>
    <row r="145" spans="3:134" outlineLevel="1" x14ac:dyDescent="0.25">
      <c r="C145" s="475"/>
      <c r="D145" s="743" t="s">
        <v>304</v>
      </c>
      <c r="E145" s="743"/>
      <c r="F145" s="743"/>
      <c r="G145" s="743"/>
      <c r="H145" s="743"/>
      <c r="I145" s="743"/>
      <c r="J145" s="743"/>
      <c r="K145" s="743"/>
      <c r="L145" s="420"/>
      <c r="M145" s="419"/>
      <c r="N145" s="426">
        <f>M145/100</f>
        <v>0</v>
      </c>
      <c r="O145" s="427"/>
      <c r="P145" s="427"/>
      <c r="Q145" s="427"/>
      <c r="R145" s="428">
        <f>P145-N145</f>
        <v>0</v>
      </c>
      <c r="S145" s="429">
        <f>Q145*100</f>
        <v>0</v>
      </c>
      <c r="T145" s="429"/>
      <c r="U145" s="419"/>
      <c r="V145" s="123"/>
      <c r="W145" s="430">
        <f>M145</f>
        <v>0</v>
      </c>
      <c r="X145" s="431">
        <f>W145</f>
        <v>0</v>
      </c>
      <c r="Y145" s="431">
        <f>X145</f>
        <v>0</v>
      </c>
      <c r="Z145" s="431">
        <f>O145*100</f>
        <v>0</v>
      </c>
      <c r="AA145" s="431">
        <f>Z145</f>
        <v>0</v>
      </c>
      <c r="AB145" s="431">
        <f>AA145</f>
        <v>0</v>
      </c>
      <c r="AC145" s="431">
        <f>P145*100</f>
        <v>0</v>
      </c>
      <c r="AD145" s="431">
        <f>AC145</f>
        <v>0</v>
      </c>
      <c r="AE145" s="431">
        <f>AD145</f>
        <v>0</v>
      </c>
      <c r="AF145" s="431">
        <f>AE145</f>
        <v>0</v>
      </c>
      <c r="AG145" s="431">
        <f>AF145</f>
        <v>0</v>
      </c>
      <c r="AH145" s="431">
        <f>AG145</f>
        <v>0</v>
      </c>
      <c r="AI145" s="432">
        <f t="shared" ref="AI145" si="2495">(((AH145*(1+($B$36*$B$4)))-AH145)/12)+AH145</f>
        <v>0</v>
      </c>
      <c r="AJ145" s="431">
        <f t="shared" ref="AJ145" si="2496">(((AI145*(1+($B$36*$B$4)))-AI145)/12)+AI145</f>
        <v>0</v>
      </c>
      <c r="AK145" s="431">
        <f t="shared" ref="AK145" si="2497">(((AJ145*(1+($B$36*$B$4)))-AJ145)/12)+AJ145</f>
        <v>0</v>
      </c>
      <c r="AL145" s="431">
        <f t="shared" ref="AL145" si="2498">(((AK145*(1+($B$36*$B$4)))-AK145)/12)+AK145</f>
        <v>0</v>
      </c>
      <c r="AM145" s="431">
        <f t="shared" ref="AM145" si="2499">(((AL145*(1+($B$36*$B$4)))-AL145)/12)+AL145</f>
        <v>0</v>
      </c>
      <c r="AN145" s="431">
        <f t="shared" ref="AN145" si="2500">(((AM145*(1+($B$36*$B$4)))-AM145)/12)+AM145</f>
        <v>0</v>
      </c>
      <c r="AO145" s="431">
        <f t="shared" ref="AO145" si="2501">(((AN145*(1+($B$36*$B$4)))-AN145)/12)+AN145</f>
        <v>0</v>
      </c>
      <c r="AP145" s="431">
        <f t="shared" ref="AP145" si="2502">(((AO145*(1+($B$36*$B$4)))-AO145)/12)+AO145</f>
        <v>0</v>
      </c>
      <c r="AQ145" s="431">
        <f t="shared" ref="AQ145" si="2503">(((AP145*(1+($B$36*$B$4)))-AP145)/12)+AP145</f>
        <v>0</v>
      </c>
      <c r="AR145" s="431">
        <f t="shared" ref="AR145" si="2504">(((AQ145*(1+($B$36*$B$4)))-AQ145)/12)+AQ145</f>
        <v>0</v>
      </c>
      <c r="AS145" s="431">
        <f t="shared" ref="AS145" si="2505">(((AR145*(1+($B$36*$B$4)))-AR145)/12)+AR145</f>
        <v>0</v>
      </c>
      <c r="AT145" s="431">
        <f t="shared" ref="AT145" si="2506">(((AS145*(1+($B$36*$B$4)))-AS145)/12)+AS145</f>
        <v>0</v>
      </c>
      <c r="AU145" s="432">
        <f t="shared" ref="AU145" si="2507">(((AT145*(1+($B$37*$B$4)))-AT145)/12)+AT145</f>
        <v>0</v>
      </c>
      <c r="AV145" s="431">
        <f t="shared" ref="AV145" si="2508">(((AU145*(1+($B$37*$B$4)))-AU145)/12)+AU145</f>
        <v>0</v>
      </c>
      <c r="AW145" s="431">
        <f t="shared" ref="AW145" si="2509">(((AV145*(1+($B$37*$B$4)))-AV145)/12)+AV145</f>
        <v>0</v>
      </c>
      <c r="AX145" s="431">
        <f t="shared" ref="AX145" si="2510">(((AW145*(1+($B$37*$B$4)))-AW145)/12)+AW145</f>
        <v>0</v>
      </c>
      <c r="AY145" s="431">
        <f t="shared" ref="AY145" si="2511">(((AX145*(1+($B$37*$B$4)))-AX145)/12)+AX145</f>
        <v>0</v>
      </c>
      <c r="AZ145" s="431">
        <f t="shared" ref="AZ145" si="2512">(((AY145*(1+($B$37*$B$4)))-AY145)/12)+AY145</f>
        <v>0</v>
      </c>
      <c r="BA145" s="431">
        <f t="shared" ref="BA145" si="2513">(((AZ145*(1+($B$37*$B$4)))-AZ145)/12)+AZ145</f>
        <v>0</v>
      </c>
      <c r="BB145" s="431">
        <f t="shared" ref="BB145" si="2514">(((BA145*(1+($B$37*$B$4)))-BA145)/12)+BA145</f>
        <v>0</v>
      </c>
      <c r="BC145" s="431">
        <f t="shared" ref="BC145" si="2515">(((BB145*(1+($B$37*$B$4)))-BB145)/12)+BB145</f>
        <v>0</v>
      </c>
      <c r="BD145" s="431">
        <f t="shared" ref="BD145" si="2516">(((BC145*(1+($B$37*$B$4)))-BC145)/12)+BC145</f>
        <v>0</v>
      </c>
      <c r="BE145" s="431">
        <f t="shared" ref="BE145" si="2517">(((BD145*(1+($B$37*$B$4)))-BD145)/12)+BD145</f>
        <v>0</v>
      </c>
      <c r="BF145" s="431">
        <f t="shared" ref="BF145" si="2518">(((BE145*(1+($B$37*$B$4)))-BE145)/12)+BE145</f>
        <v>0</v>
      </c>
      <c r="BG145" s="432">
        <f t="shared" ref="BG145" si="2519">(((BF145*(1+($B$38*$B$4)))-BF145)/12)+BF145</f>
        <v>0</v>
      </c>
      <c r="BH145" s="431">
        <f t="shared" ref="BH145" si="2520">(((BG145*(1+($B$38*$B$4)))-BG145)/12)+BG145</f>
        <v>0</v>
      </c>
      <c r="BI145" s="431">
        <f t="shared" ref="BI145" si="2521">(((BH145*(1+($B$38*$B$4)))-BH145)/12)+BH145</f>
        <v>0</v>
      </c>
      <c r="BJ145" s="431">
        <f t="shared" ref="BJ145" si="2522">(((BI145*(1+($B$38*$B$4)))-BI145)/12)+BI145</f>
        <v>0</v>
      </c>
      <c r="BK145" s="431">
        <f t="shared" ref="BK145" si="2523">(((BJ145*(1+($B$38*$B$4)))-BJ145)/12)+BJ145</f>
        <v>0</v>
      </c>
      <c r="BL145" s="431">
        <f t="shared" ref="BL145" si="2524">(((BK145*(1+($B$38*$B$4)))-BK145)/12)+BK145</f>
        <v>0</v>
      </c>
      <c r="BM145" s="431">
        <f t="shared" ref="BM145" si="2525">(((BL145*(1+($B$38*$B$4)))-BL145)/12)+BL145</f>
        <v>0</v>
      </c>
      <c r="BN145" s="431">
        <f t="shared" ref="BN145" si="2526">(((BM145*(1+($B$38*$B$4)))-BM145)/12)+BM145</f>
        <v>0</v>
      </c>
      <c r="BO145" s="431">
        <f t="shared" ref="BO145" si="2527">(((BN145*(1+($B$38*$B$4)))-BN145)/12)+BN145</f>
        <v>0</v>
      </c>
      <c r="BP145" s="431">
        <f t="shared" ref="BP145" si="2528">(((BO145*(1+($B$38*$B$4)))-BO145)/12)+BO145</f>
        <v>0</v>
      </c>
      <c r="BQ145" s="431">
        <f t="shared" ref="BQ145" si="2529">(((BP145*(1+($B$38*$B$4)))-BP145)/12)+BP145</f>
        <v>0</v>
      </c>
      <c r="BR145" s="431">
        <f t="shared" ref="BR145" si="2530">(((BQ145*(1+($B$38*$B$4)))-BQ145)/12)+BQ145</f>
        <v>0</v>
      </c>
      <c r="BS145" s="432">
        <f t="shared" ref="BS145" si="2531">(((BR145*(1+($B$39*$B$4)))-BR145)/12)+BR145</f>
        <v>0</v>
      </c>
      <c r="BT145" s="431">
        <f t="shared" ref="BT145" si="2532">(((BS145*(1+($B$39*$B$4)))-BS145)/12)+BS145</f>
        <v>0</v>
      </c>
      <c r="BU145" s="431">
        <f t="shared" ref="BU145" si="2533">(((BT145*(1+($B$39*$B$4)))-BT145)/12)+BT145</f>
        <v>0</v>
      </c>
      <c r="BV145" s="431">
        <f t="shared" ref="BV145" si="2534">(((BU145*(1+($B$39*$B$4)))-BU145)/12)+BU145</f>
        <v>0</v>
      </c>
      <c r="BW145" s="431">
        <f t="shared" ref="BW145" si="2535">(((BV145*(1+($B$39*$B$4)))-BV145)/12)+BV145</f>
        <v>0</v>
      </c>
      <c r="BX145" s="431">
        <f t="shared" ref="BX145" si="2536">(((BW145*(1+($B$39*$B$4)))-BW145)/12)+BW145</f>
        <v>0</v>
      </c>
      <c r="BY145" s="431">
        <f t="shared" ref="BY145" si="2537">(((BX145*(1+($B$39*$B$4)))-BX145)/12)+BX145</f>
        <v>0</v>
      </c>
      <c r="BZ145" s="431">
        <f t="shared" ref="BZ145" si="2538">(((BY145*(1+($B$39*$B$4)))-BY145)/12)+BY145</f>
        <v>0</v>
      </c>
      <c r="CA145" s="431">
        <f t="shared" ref="CA145" si="2539">(((BZ145*(1+($B$39*$B$4)))-BZ145)/12)+BZ145</f>
        <v>0</v>
      </c>
      <c r="CB145" s="431">
        <f t="shared" ref="CB145" si="2540">(((CA145*(1+($B$39*$B$4)))-CA145)/12)+CA145</f>
        <v>0</v>
      </c>
      <c r="CC145" s="431">
        <f t="shared" ref="CC145" si="2541">(((CB145*(1+($B$39*$B$4)))-CB145)/12)+CB145</f>
        <v>0</v>
      </c>
      <c r="CD145" s="431">
        <f t="shared" ref="CD145" si="2542">(((CC145*(1+($B$39*$B$4)))-CC145)/12)+CC145</f>
        <v>0</v>
      </c>
      <c r="CE145" s="432">
        <f t="shared" ref="CE145" si="2543">(((CD145*(1+($B$40*$B$4)))-CD145)/12)+CD145</f>
        <v>0</v>
      </c>
      <c r="CF145" s="431">
        <f t="shared" ref="CF145" si="2544">(((CE145*(1+($B$40*$B$4)))-CE145)/12)+CE145</f>
        <v>0</v>
      </c>
      <c r="CG145" s="431">
        <f t="shared" ref="CG145" si="2545">(((CF145*(1+($B$40*$B$4)))-CF145)/12)+CF145</f>
        <v>0</v>
      </c>
      <c r="CH145" s="431">
        <f t="shared" ref="CH145" si="2546">(((CG145*(1+($B$40*$B$4)))-CG145)/12)+CG145</f>
        <v>0</v>
      </c>
      <c r="CI145" s="431">
        <f t="shared" ref="CI145" si="2547">(((CH145*(1+($B$40*$B$4)))-CH145)/12)+CH145</f>
        <v>0</v>
      </c>
      <c r="CJ145" s="431">
        <f t="shared" ref="CJ145" si="2548">(((CI145*(1+($B$40*$B$4)))-CI145)/12)+CI145</f>
        <v>0</v>
      </c>
      <c r="CK145" s="431">
        <f t="shared" ref="CK145" si="2549">(((CJ145*(1+($B$40*$B$4)))-CJ145)/12)+CJ145</f>
        <v>0</v>
      </c>
      <c r="CL145" s="431">
        <f t="shared" ref="CL145" si="2550">(((CK145*(1+($B$40*$B$4)))-CK145)/12)+CK145</f>
        <v>0</v>
      </c>
      <c r="CM145" s="431">
        <f t="shared" ref="CM145" si="2551">(((CL145*(1+($B$40*$B$4)))-CL145)/12)+CL145</f>
        <v>0</v>
      </c>
      <c r="CN145" s="431">
        <f t="shared" ref="CN145" si="2552">(((CM145*(1+($B$40*$B$4)))-CM145)/12)+CM145</f>
        <v>0</v>
      </c>
      <c r="CO145" s="431">
        <f t="shared" ref="CO145" si="2553">(((CN145*(1+($B$40*$B$4)))-CN145)/12)+CN145</f>
        <v>0</v>
      </c>
      <c r="CP145" s="431">
        <f t="shared" ref="CP145" si="2554">(((CO145*(1+($B$40*$B$4)))-CO145)/12)+CO145</f>
        <v>0</v>
      </c>
      <c r="CQ145" s="432">
        <f t="shared" ref="CQ145" si="2555">(((CP145*(1+($B$41*$B$4)))-CP145)/12)+CP145</f>
        <v>0</v>
      </c>
      <c r="CR145" s="431">
        <f t="shared" ref="CR145" si="2556">(((CQ145*(1+($B$41*$B$4)))-CQ145)/12)+CQ145</f>
        <v>0</v>
      </c>
      <c r="CS145" s="431">
        <f t="shared" ref="CS145" si="2557">(((CR145*(1+($B$41*$B$4)))-CR145)/12)+CR145</f>
        <v>0</v>
      </c>
      <c r="CT145" s="431">
        <f t="shared" ref="CT145" si="2558">(((CS145*(1+($B$41*$B$4)))-CS145)/12)+CS145</f>
        <v>0</v>
      </c>
      <c r="CU145" s="431">
        <f t="shared" ref="CU145" si="2559">(((CT145*(1+($B$41*$B$4)))-CT145)/12)+CT145</f>
        <v>0</v>
      </c>
      <c r="CV145" s="431">
        <f t="shared" ref="CV145" si="2560">(((CU145*(1+($B$41*$B$4)))-CU145)/12)+CU145</f>
        <v>0</v>
      </c>
      <c r="CW145" s="431">
        <f t="shared" ref="CW145" si="2561">(((CV145*(1+($B$41*$B$4)))-CV145)/12)+CV145</f>
        <v>0</v>
      </c>
      <c r="CX145" s="431">
        <f t="shared" ref="CX145" si="2562">(((CW145*(1+($B$41*$B$4)))-CW145)/12)+CW145</f>
        <v>0</v>
      </c>
      <c r="CY145" s="431">
        <f t="shared" ref="CY145" si="2563">(((CX145*(1+($B$41*$B$4)))-CX145)/12)+CX145</f>
        <v>0</v>
      </c>
      <c r="CZ145" s="431">
        <f t="shared" ref="CZ145" si="2564">(((CY145*(1+($B$41*$B$4)))-CY145)/12)+CY145</f>
        <v>0</v>
      </c>
      <c r="DA145" s="431">
        <f t="shared" ref="DA145" si="2565">(((CZ145*(1+($B$41*$B$4)))-CZ145)/12)+CZ145</f>
        <v>0</v>
      </c>
      <c r="DB145" s="431">
        <f t="shared" ref="DB145" si="2566">(((DA145*(1+($B$41*$B$4)))-DA145)/12)+DA145</f>
        <v>0</v>
      </c>
      <c r="DC145" s="432">
        <f t="shared" ref="DC145" si="2567">(((DB145*(1+($B$42*$B$4)))-DB145)/12)+DB145</f>
        <v>0</v>
      </c>
      <c r="DD145" s="431">
        <f t="shared" ref="DD145" si="2568">(((DC145*(1+($B$42*$B$4)))-DC145)/12)+DC145</f>
        <v>0</v>
      </c>
      <c r="DE145" s="431">
        <f t="shared" ref="DE145" si="2569">(((DD145*(1+($B$42*$B$4)))-DD145)/12)+DD145</f>
        <v>0</v>
      </c>
      <c r="DF145" s="431">
        <f t="shared" ref="DF145" si="2570">(((DE145*(1+($B$42*$B$4)))-DE145)/12)+DE145</f>
        <v>0</v>
      </c>
      <c r="DG145" s="431">
        <f t="shared" ref="DG145" si="2571">(((DF145*(1+($B$42*$B$4)))-DF145)/12)+DF145</f>
        <v>0</v>
      </c>
      <c r="DH145" s="431">
        <f t="shared" ref="DH145" si="2572">(((DG145*(1+($B$42*$B$4)))-DG145)/12)+DG145</f>
        <v>0</v>
      </c>
      <c r="DI145" s="431">
        <f t="shared" ref="DI145" si="2573">(((DH145*(1+($B$42*$B$4)))-DH145)/12)+DH145</f>
        <v>0</v>
      </c>
      <c r="DJ145" s="431">
        <f t="shared" ref="DJ145" si="2574">(((DI145*(1+($B$42*$B$4)))-DI145)/12)+DI145</f>
        <v>0</v>
      </c>
      <c r="DK145" s="431">
        <f t="shared" ref="DK145" si="2575">(((DJ145*(1+($B$42*$B$4)))-DJ145)/12)+DJ145</f>
        <v>0</v>
      </c>
      <c r="DL145" s="431">
        <f t="shared" ref="DL145" si="2576">(((DK145*(1+($B$42*$B$4)))-DK145)/12)+DK145</f>
        <v>0</v>
      </c>
      <c r="DM145" s="431">
        <f t="shared" ref="DM145" si="2577">(((DL145*(1+($B$42*$B$4)))-DL145)/12)+DL145</f>
        <v>0</v>
      </c>
      <c r="DN145" s="431">
        <f t="shared" ref="DN145" si="2578">(((DM145*(1+($B$42*$B$4)))-DM145)/12)+DM145</f>
        <v>0</v>
      </c>
      <c r="DO145" s="432">
        <f t="shared" ref="DO145" si="2579">(((DN145*(1+($B$43*$B$4)))-DN145)/12)+DN145</f>
        <v>0</v>
      </c>
      <c r="DP145" s="431">
        <f t="shared" ref="DP145" si="2580">(((DO145*(1+($B$43*$B$4)))-DO145)/12)+DO145</f>
        <v>0</v>
      </c>
      <c r="DQ145" s="431">
        <f t="shared" ref="DQ145" si="2581">(((DP145*(1+($B$43*$B$4)))-DP145)/12)+DP145</f>
        <v>0</v>
      </c>
      <c r="DR145" s="431">
        <f t="shared" ref="DR145" si="2582">(((DQ145*(1+($B$43*$B$4)))-DQ145)/12)+DQ145</f>
        <v>0</v>
      </c>
      <c r="DS145" s="431">
        <f t="shared" ref="DS145" si="2583">(((DR145*(1+($B$43*$B$4)))-DR145)/12)+DR145</f>
        <v>0</v>
      </c>
      <c r="DT145" s="431">
        <f t="shared" ref="DT145" si="2584">(((DS145*(1+($B$43*$B$4)))-DS145)/12)+DS145</f>
        <v>0</v>
      </c>
      <c r="DU145" s="431">
        <f t="shared" ref="DU145" si="2585">(((DT145*(1+($B$43*$B$4)))-DT145)/12)+DT145</f>
        <v>0</v>
      </c>
      <c r="DV145" s="431">
        <f t="shared" ref="DV145" si="2586">(((DU145*(1+($B$43*$B$4)))-DU145)/12)+DU145</f>
        <v>0</v>
      </c>
      <c r="DW145" s="431">
        <f t="shared" ref="DW145" si="2587">(((DV145*(1+($B$43*$B$4)))-DV145)/12)+DV145</f>
        <v>0</v>
      </c>
      <c r="DX145" s="431">
        <f t="shared" ref="DX145" si="2588">(((DW145*(1+($B$43*$B$4)))-DW145)/12)+DW145</f>
        <v>0</v>
      </c>
      <c r="DY145" s="431">
        <f t="shared" ref="DY145" si="2589">(((DX145*(1+($B$43*$B$4)))-DX145)/12)+DX145</f>
        <v>0</v>
      </c>
      <c r="DZ145" s="431">
        <f t="shared" ref="DZ145" si="2590">(((DY145*(1+($B$43*$B$4)))-DY145)/12)+DY145</f>
        <v>0</v>
      </c>
      <c r="EA145" s="432">
        <f>(((DZ145*(1+($B$44*$B$4)))-DZ145)/12)+DZ145</f>
        <v>0</v>
      </c>
      <c r="EB145" s="431">
        <f>(((EA145*(1+($B$44*$B$4)))-EA145)/12)+EA145</f>
        <v>0</v>
      </c>
      <c r="EC145" s="431">
        <f>(((EB145*(1+($B$44*$B$4)))-EB145)/12)+EB145</f>
        <v>0</v>
      </c>
      <c r="ED145" s="433">
        <f>(((EC145*(1+($B$44*$B$4)))-EC145)/12)+EC145</f>
        <v>0</v>
      </c>
    </row>
    <row r="146" spans="3:134" outlineLevel="1" x14ac:dyDescent="0.25">
      <c r="C146" s="475"/>
      <c r="D146" s="744"/>
      <c r="E146" s="744"/>
      <c r="F146" s="744"/>
      <c r="G146" s="744"/>
      <c r="H146" s="744"/>
      <c r="I146" s="744"/>
      <c r="J146" s="744"/>
      <c r="K146" s="744"/>
      <c r="L146" s="434"/>
      <c r="M146" s="435"/>
      <c r="N146" s="436"/>
      <c r="O146" s="437"/>
      <c r="P146" s="437"/>
      <c r="Q146" s="437"/>
      <c r="R146" s="438"/>
      <c r="S146" s="439"/>
      <c r="T146" s="439"/>
      <c r="U146" s="435"/>
      <c r="V146" s="440">
        <v>0.5</v>
      </c>
      <c r="W146" s="441">
        <f>ROUNDUP($V146*(W145/100)/0.8,0)</f>
        <v>0</v>
      </c>
      <c r="X146" s="442">
        <f t="shared" ref="X146:CI146" si="2591">ROUNDUP($V146*(X145/100)/0.8,0)</f>
        <v>0</v>
      </c>
      <c r="Y146" s="442">
        <f t="shared" si="2591"/>
        <v>0</v>
      </c>
      <c r="Z146" s="442">
        <f t="shared" si="2591"/>
        <v>0</v>
      </c>
      <c r="AA146" s="442">
        <f t="shared" si="2591"/>
        <v>0</v>
      </c>
      <c r="AB146" s="442">
        <f t="shared" si="2591"/>
        <v>0</v>
      </c>
      <c r="AC146" s="442">
        <f t="shared" si="2591"/>
        <v>0</v>
      </c>
      <c r="AD146" s="442">
        <f t="shared" si="2591"/>
        <v>0</v>
      </c>
      <c r="AE146" s="442">
        <f t="shared" si="2591"/>
        <v>0</v>
      </c>
      <c r="AF146" s="442">
        <f t="shared" si="2591"/>
        <v>0</v>
      </c>
      <c r="AG146" s="442">
        <f t="shared" si="2591"/>
        <v>0</v>
      </c>
      <c r="AH146" s="442">
        <f t="shared" si="2591"/>
        <v>0</v>
      </c>
      <c r="AI146" s="443">
        <f t="shared" si="2591"/>
        <v>0</v>
      </c>
      <c r="AJ146" s="442">
        <f t="shared" si="2591"/>
        <v>0</v>
      </c>
      <c r="AK146" s="442">
        <f t="shared" si="2591"/>
        <v>0</v>
      </c>
      <c r="AL146" s="442">
        <f t="shared" si="2591"/>
        <v>0</v>
      </c>
      <c r="AM146" s="442">
        <f t="shared" si="2591"/>
        <v>0</v>
      </c>
      <c r="AN146" s="442">
        <f t="shared" si="2591"/>
        <v>0</v>
      </c>
      <c r="AO146" s="442">
        <f t="shared" si="2591"/>
        <v>0</v>
      </c>
      <c r="AP146" s="442">
        <f t="shared" si="2591"/>
        <v>0</v>
      </c>
      <c r="AQ146" s="442">
        <f t="shared" si="2591"/>
        <v>0</v>
      </c>
      <c r="AR146" s="442">
        <f t="shared" si="2591"/>
        <v>0</v>
      </c>
      <c r="AS146" s="442">
        <f t="shared" si="2591"/>
        <v>0</v>
      </c>
      <c r="AT146" s="442">
        <f t="shared" si="2591"/>
        <v>0</v>
      </c>
      <c r="AU146" s="443">
        <f t="shared" si="2591"/>
        <v>0</v>
      </c>
      <c r="AV146" s="442">
        <f t="shared" si="2591"/>
        <v>0</v>
      </c>
      <c r="AW146" s="442">
        <f t="shared" si="2591"/>
        <v>0</v>
      </c>
      <c r="AX146" s="442">
        <f t="shared" si="2591"/>
        <v>0</v>
      </c>
      <c r="AY146" s="442">
        <f t="shared" si="2591"/>
        <v>0</v>
      </c>
      <c r="AZ146" s="442">
        <f t="shared" si="2591"/>
        <v>0</v>
      </c>
      <c r="BA146" s="442">
        <f t="shared" si="2591"/>
        <v>0</v>
      </c>
      <c r="BB146" s="442">
        <f t="shared" si="2591"/>
        <v>0</v>
      </c>
      <c r="BC146" s="442">
        <f t="shared" si="2591"/>
        <v>0</v>
      </c>
      <c r="BD146" s="442">
        <f t="shared" si="2591"/>
        <v>0</v>
      </c>
      <c r="BE146" s="442">
        <f t="shared" si="2591"/>
        <v>0</v>
      </c>
      <c r="BF146" s="442">
        <f t="shared" si="2591"/>
        <v>0</v>
      </c>
      <c r="BG146" s="443">
        <f t="shared" si="2591"/>
        <v>0</v>
      </c>
      <c r="BH146" s="442">
        <f t="shared" si="2591"/>
        <v>0</v>
      </c>
      <c r="BI146" s="442">
        <f t="shared" si="2591"/>
        <v>0</v>
      </c>
      <c r="BJ146" s="442">
        <f t="shared" si="2591"/>
        <v>0</v>
      </c>
      <c r="BK146" s="442">
        <f t="shared" si="2591"/>
        <v>0</v>
      </c>
      <c r="BL146" s="442">
        <f t="shared" si="2591"/>
        <v>0</v>
      </c>
      <c r="BM146" s="442">
        <f t="shared" si="2591"/>
        <v>0</v>
      </c>
      <c r="BN146" s="442">
        <f t="shared" si="2591"/>
        <v>0</v>
      </c>
      <c r="BO146" s="442">
        <f t="shared" si="2591"/>
        <v>0</v>
      </c>
      <c r="BP146" s="442">
        <f t="shared" si="2591"/>
        <v>0</v>
      </c>
      <c r="BQ146" s="442">
        <f t="shared" si="2591"/>
        <v>0</v>
      </c>
      <c r="BR146" s="442">
        <f t="shared" si="2591"/>
        <v>0</v>
      </c>
      <c r="BS146" s="443">
        <f t="shared" si="2591"/>
        <v>0</v>
      </c>
      <c r="BT146" s="442">
        <f t="shared" si="2591"/>
        <v>0</v>
      </c>
      <c r="BU146" s="442">
        <f t="shared" si="2591"/>
        <v>0</v>
      </c>
      <c r="BV146" s="442">
        <f t="shared" si="2591"/>
        <v>0</v>
      </c>
      <c r="BW146" s="442">
        <f t="shared" si="2591"/>
        <v>0</v>
      </c>
      <c r="BX146" s="442">
        <f t="shared" si="2591"/>
        <v>0</v>
      </c>
      <c r="BY146" s="442">
        <f t="shared" si="2591"/>
        <v>0</v>
      </c>
      <c r="BZ146" s="442">
        <f t="shared" si="2591"/>
        <v>0</v>
      </c>
      <c r="CA146" s="442">
        <f t="shared" si="2591"/>
        <v>0</v>
      </c>
      <c r="CB146" s="442">
        <f t="shared" si="2591"/>
        <v>0</v>
      </c>
      <c r="CC146" s="442">
        <f t="shared" si="2591"/>
        <v>0</v>
      </c>
      <c r="CD146" s="442">
        <f t="shared" si="2591"/>
        <v>0</v>
      </c>
      <c r="CE146" s="443">
        <f t="shared" si="2591"/>
        <v>0</v>
      </c>
      <c r="CF146" s="442">
        <f t="shared" si="2591"/>
        <v>0</v>
      </c>
      <c r="CG146" s="442">
        <f t="shared" si="2591"/>
        <v>0</v>
      </c>
      <c r="CH146" s="442">
        <f t="shared" si="2591"/>
        <v>0</v>
      </c>
      <c r="CI146" s="442">
        <f t="shared" si="2591"/>
        <v>0</v>
      </c>
      <c r="CJ146" s="442">
        <f t="shared" ref="CJ146:ED146" si="2592">ROUNDUP($V146*(CJ145/100)/0.8,0)</f>
        <v>0</v>
      </c>
      <c r="CK146" s="442">
        <f t="shared" si="2592"/>
        <v>0</v>
      </c>
      <c r="CL146" s="442">
        <f t="shared" si="2592"/>
        <v>0</v>
      </c>
      <c r="CM146" s="442">
        <f t="shared" si="2592"/>
        <v>0</v>
      </c>
      <c r="CN146" s="442">
        <f t="shared" si="2592"/>
        <v>0</v>
      </c>
      <c r="CO146" s="442">
        <f t="shared" si="2592"/>
        <v>0</v>
      </c>
      <c r="CP146" s="442">
        <f t="shared" si="2592"/>
        <v>0</v>
      </c>
      <c r="CQ146" s="443">
        <f t="shared" si="2592"/>
        <v>0</v>
      </c>
      <c r="CR146" s="442">
        <f t="shared" si="2592"/>
        <v>0</v>
      </c>
      <c r="CS146" s="442">
        <f t="shared" si="2592"/>
        <v>0</v>
      </c>
      <c r="CT146" s="442">
        <f t="shared" si="2592"/>
        <v>0</v>
      </c>
      <c r="CU146" s="442">
        <f t="shared" si="2592"/>
        <v>0</v>
      </c>
      <c r="CV146" s="442">
        <f t="shared" si="2592"/>
        <v>0</v>
      </c>
      <c r="CW146" s="442">
        <f t="shared" si="2592"/>
        <v>0</v>
      </c>
      <c r="CX146" s="442">
        <f t="shared" si="2592"/>
        <v>0</v>
      </c>
      <c r="CY146" s="442">
        <f t="shared" si="2592"/>
        <v>0</v>
      </c>
      <c r="CZ146" s="442">
        <f t="shared" si="2592"/>
        <v>0</v>
      </c>
      <c r="DA146" s="442">
        <f t="shared" si="2592"/>
        <v>0</v>
      </c>
      <c r="DB146" s="442">
        <f t="shared" si="2592"/>
        <v>0</v>
      </c>
      <c r="DC146" s="443">
        <f t="shared" si="2592"/>
        <v>0</v>
      </c>
      <c r="DD146" s="442">
        <f t="shared" si="2592"/>
        <v>0</v>
      </c>
      <c r="DE146" s="442">
        <f t="shared" si="2592"/>
        <v>0</v>
      </c>
      <c r="DF146" s="442">
        <f t="shared" si="2592"/>
        <v>0</v>
      </c>
      <c r="DG146" s="442">
        <f t="shared" si="2592"/>
        <v>0</v>
      </c>
      <c r="DH146" s="442">
        <f t="shared" si="2592"/>
        <v>0</v>
      </c>
      <c r="DI146" s="442">
        <f t="shared" si="2592"/>
        <v>0</v>
      </c>
      <c r="DJ146" s="442">
        <f t="shared" si="2592"/>
        <v>0</v>
      </c>
      <c r="DK146" s="442">
        <f t="shared" si="2592"/>
        <v>0</v>
      </c>
      <c r="DL146" s="442">
        <f t="shared" si="2592"/>
        <v>0</v>
      </c>
      <c r="DM146" s="442">
        <f t="shared" si="2592"/>
        <v>0</v>
      </c>
      <c r="DN146" s="442">
        <f t="shared" si="2592"/>
        <v>0</v>
      </c>
      <c r="DO146" s="443">
        <f t="shared" si="2592"/>
        <v>0</v>
      </c>
      <c r="DP146" s="442">
        <f t="shared" si="2592"/>
        <v>0</v>
      </c>
      <c r="DQ146" s="442">
        <f t="shared" si="2592"/>
        <v>0</v>
      </c>
      <c r="DR146" s="442">
        <f t="shared" si="2592"/>
        <v>0</v>
      </c>
      <c r="DS146" s="442">
        <f t="shared" si="2592"/>
        <v>0</v>
      </c>
      <c r="DT146" s="442">
        <f t="shared" si="2592"/>
        <v>0</v>
      </c>
      <c r="DU146" s="442">
        <f t="shared" si="2592"/>
        <v>0</v>
      </c>
      <c r="DV146" s="442">
        <f t="shared" si="2592"/>
        <v>0</v>
      </c>
      <c r="DW146" s="442">
        <f t="shared" si="2592"/>
        <v>0</v>
      </c>
      <c r="DX146" s="442">
        <f t="shared" si="2592"/>
        <v>0</v>
      </c>
      <c r="DY146" s="442">
        <f t="shared" si="2592"/>
        <v>0</v>
      </c>
      <c r="DZ146" s="442">
        <f t="shared" si="2592"/>
        <v>0</v>
      </c>
      <c r="EA146" s="443">
        <f t="shared" si="2592"/>
        <v>0</v>
      </c>
      <c r="EB146" s="442">
        <f t="shared" si="2592"/>
        <v>0</v>
      </c>
      <c r="EC146" s="442">
        <f t="shared" si="2592"/>
        <v>0</v>
      </c>
      <c r="ED146" s="444">
        <f t="shared" si="2592"/>
        <v>0</v>
      </c>
    </row>
    <row r="147" spans="3:134" outlineLevel="1" x14ac:dyDescent="0.25">
      <c r="C147" s="475"/>
      <c r="D147" s="743" t="s">
        <v>305</v>
      </c>
      <c r="E147" s="743"/>
      <c r="F147" s="743"/>
      <c r="G147" s="743"/>
      <c r="H147" s="743"/>
      <c r="I147" s="743"/>
      <c r="J147" s="743"/>
      <c r="K147" s="743"/>
      <c r="L147" s="420"/>
      <c r="M147" s="419"/>
      <c r="N147" s="426">
        <f>M147/100</f>
        <v>0</v>
      </c>
      <c r="O147" s="427"/>
      <c r="P147" s="427"/>
      <c r="Q147" s="427"/>
      <c r="R147" s="428">
        <f>P147-N147</f>
        <v>0</v>
      </c>
      <c r="S147" s="429">
        <f>Q147*100</f>
        <v>0</v>
      </c>
      <c r="T147" s="429"/>
      <c r="U147" s="419"/>
      <c r="V147" s="123"/>
      <c r="W147" s="452">
        <f>M147</f>
        <v>0</v>
      </c>
      <c r="X147" s="453">
        <f>W147</f>
        <v>0</v>
      </c>
      <c r="Y147" s="453">
        <f>X147</f>
        <v>0</v>
      </c>
      <c r="Z147" s="453">
        <f>O147*100</f>
        <v>0</v>
      </c>
      <c r="AA147" s="453">
        <f>Z147</f>
        <v>0</v>
      </c>
      <c r="AB147" s="453">
        <f>AA147</f>
        <v>0</v>
      </c>
      <c r="AC147" s="453">
        <f>P147*100</f>
        <v>0</v>
      </c>
      <c r="AD147" s="453">
        <f>AC147</f>
        <v>0</v>
      </c>
      <c r="AE147" s="453">
        <f>AD147</f>
        <v>0</v>
      </c>
      <c r="AF147" s="453">
        <f>AE147</f>
        <v>0</v>
      </c>
      <c r="AG147" s="453">
        <f>AF147</f>
        <v>0</v>
      </c>
      <c r="AH147" s="453">
        <f>AG147</f>
        <v>0</v>
      </c>
      <c r="AI147" s="454">
        <f t="shared" ref="AI147" si="2593">(((AH147*(1+($B$36*$B$4)))-AH147)/12)+AH147</f>
        <v>0</v>
      </c>
      <c r="AJ147" s="453">
        <f t="shared" ref="AJ147" si="2594">(((AI147*(1+($B$36*$B$4)))-AI147)/12)+AI147</f>
        <v>0</v>
      </c>
      <c r="AK147" s="453">
        <f t="shared" ref="AK147" si="2595">(((AJ147*(1+($B$36*$B$4)))-AJ147)/12)+AJ147</f>
        <v>0</v>
      </c>
      <c r="AL147" s="453">
        <f t="shared" ref="AL147" si="2596">(((AK147*(1+($B$36*$B$4)))-AK147)/12)+AK147</f>
        <v>0</v>
      </c>
      <c r="AM147" s="453">
        <f t="shared" ref="AM147" si="2597">(((AL147*(1+($B$36*$B$4)))-AL147)/12)+AL147</f>
        <v>0</v>
      </c>
      <c r="AN147" s="453">
        <f t="shared" ref="AN147" si="2598">(((AM147*(1+($B$36*$B$4)))-AM147)/12)+AM147</f>
        <v>0</v>
      </c>
      <c r="AO147" s="453">
        <f t="shared" ref="AO147" si="2599">(((AN147*(1+($B$36*$B$4)))-AN147)/12)+AN147</f>
        <v>0</v>
      </c>
      <c r="AP147" s="453">
        <f t="shared" ref="AP147" si="2600">(((AO147*(1+($B$36*$B$4)))-AO147)/12)+AO147</f>
        <v>0</v>
      </c>
      <c r="AQ147" s="453">
        <f t="shared" ref="AQ147" si="2601">(((AP147*(1+($B$36*$B$4)))-AP147)/12)+AP147</f>
        <v>0</v>
      </c>
      <c r="AR147" s="453">
        <f t="shared" ref="AR147" si="2602">(((AQ147*(1+($B$36*$B$4)))-AQ147)/12)+AQ147</f>
        <v>0</v>
      </c>
      <c r="AS147" s="453">
        <f t="shared" ref="AS147" si="2603">(((AR147*(1+($B$36*$B$4)))-AR147)/12)+AR147</f>
        <v>0</v>
      </c>
      <c r="AT147" s="453">
        <f t="shared" ref="AT147" si="2604">(((AS147*(1+($B$36*$B$4)))-AS147)/12)+AS147</f>
        <v>0</v>
      </c>
      <c r="AU147" s="454">
        <f t="shared" ref="AU147" si="2605">(((AT147*(1+($B$37*$B$4)))-AT147)/12)+AT147</f>
        <v>0</v>
      </c>
      <c r="AV147" s="453">
        <f t="shared" ref="AV147" si="2606">(((AU147*(1+($B$37*$B$4)))-AU147)/12)+AU147</f>
        <v>0</v>
      </c>
      <c r="AW147" s="453">
        <f t="shared" ref="AW147" si="2607">(((AV147*(1+($B$37*$B$4)))-AV147)/12)+AV147</f>
        <v>0</v>
      </c>
      <c r="AX147" s="453">
        <f t="shared" ref="AX147" si="2608">(((AW147*(1+($B$37*$B$4)))-AW147)/12)+AW147</f>
        <v>0</v>
      </c>
      <c r="AY147" s="453">
        <f t="shared" ref="AY147" si="2609">(((AX147*(1+($B$37*$B$4)))-AX147)/12)+AX147</f>
        <v>0</v>
      </c>
      <c r="AZ147" s="453">
        <f t="shared" ref="AZ147" si="2610">(((AY147*(1+($B$37*$B$4)))-AY147)/12)+AY147</f>
        <v>0</v>
      </c>
      <c r="BA147" s="453">
        <f t="shared" ref="BA147" si="2611">(((AZ147*(1+($B$37*$B$4)))-AZ147)/12)+AZ147</f>
        <v>0</v>
      </c>
      <c r="BB147" s="453">
        <f t="shared" ref="BB147" si="2612">(((BA147*(1+($B$37*$B$4)))-BA147)/12)+BA147</f>
        <v>0</v>
      </c>
      <c r="BC147" s="453">
        <f t="shared" ref="BC147" si="2613">(((BB147*(1+($B$37*$B$4)))-BB147)/12)+BB147</f>
        <v>0</v>
      </c>
      <c r="BD147" s="453">
        <f t="shared" ref="BD147" si="2614">(((BC147*(1+($B$37*$B$4)))-BC147)/12)+BC147</f>
        <v>0</v>
      </c>
      <c r="BE147" s="453">
        <f t="shared" ref="BE147" si="2615">(((BD147*(1+($B$37*$B$4)))-BD147)/12)+BD147</f>
        <v>0</v>
      </c>
      <c r="BF147" s="453">
        <f t="shared" ref="BF147" si="2616">(((BE147*(1+($B$37*$B$4)))-BE147)/12)+BE147</f>
        <v>0</v>
      </c>
      <c r="BG147" s="454">
        <f t="shared" ref="BG147" si="2617">(((BF147*(1+($B$38*$B$4)))-BF147)/12)+BF147</f>
        <v>0</v>
      </c>
      <c r="BH147" s="453">
        <f t="shared" ref="BH147" si="2618">(((BG147*(1+($B$38*$B$4)))-BG147)/12)+BG147</f>
        <v>0</v>
      </c>
      <c r="BI147" s="453">
        <f t="shared" ref="BI147" si="2619">(((BH147*(1+($B$38*$B$4)))-BH147)/12)+BH147</f>
        <v>0</v>
      </c>
      <c r="BJ147" s="453">
        <f t="shared" ref="BJ147" si="2620">(((BI147*(1+($B$38*$B$4)))-BI147)/12)+BI147</f>
        <v>0</v>
      </c>
      <c r="BK147" s="453">
        <f t="shared" ref="BK147" si="2621">(((BJ147*(1+($B$38*$B$4)))-BJ147)/12)+BJ147</f>
        <v>0</v>
      </c>
      <c r="BL147" s="453">
        <f t="shared" ref="BL147" si="2622">(((BK147*(1+($B$38*$B$4)))-BK147)/12)+BK147</f>
        <v>0</v>
      </c>
      <c r="BM147" s="453">
        <f t="shared" ref="BM147" si="2623">(((BL147*(1+($B$38*$B$4)))-BL147)/12)+BL147</f>
        <v>0</v>
      </c>
      <c r="BN147" s="453">
        <f t="shared" ref="BN147" si="2624">(((BM147*(1+($B$38*$B$4)))-BM147)/12)+BM147</f>
        <v>0</v>
      </c>
      <c r="BO147" s="453">
        <f t="shared" ref="BO147" si="2625">(((BN147*(1+($B$38*$B$4)))-BN147)/12)+BN147</f>
        <v>0</v>
      </c>
      <c r="BP147" s="453">
        <f t="shared" ref="BP147" si="2626">(((BO147*(1+($B$38*$B$4)))-BO147)/12)+BO147</f>
        <v>0</v>
      </c>
      <c r="BQ147" s="453">
        <f t="shared" ref="BQ147" si="2627">(((BP147*(1+($B$38*$B$4)))-BP147)/12)+BP147</f>
        <v>0</v>
      </c>
      <c r="BR147" s="453">
        <f t="shared" ref="BR147" si="2628">(((BQ147*(1+($B$38*$B$4)))-BQ147)/12)+BQ147</f>
        <v>0</v>
      </c>
      <c r="BS147" s="454">
        <f t="shared" ref="BS147" si="2629">(((BR147*(1+($B$39*$B$4)))-BR147)/12)+BR147</f>
        <v>0</v>
      </c>
      <c r="BT147" s="453">
        <f t="shared" ref="BT147" si="2630">(((BS147*(1+($B$39*$B$4)))-BS147)/12)+BS147</f>
        <v>0</v>
      </c>
      <c r="BU147" s="453">
        <f t="shared" ref="BU147" si="2631">(((BT147*(1+($B$39*$B$4)))-BT147)/12)+BT147</f>
        <v>0</v>
      </c>
      <c r="BV147" s="453">
        <f t="shared" ref="BV147" si="2632">(((BU147*(1+($B$39*$B$4)))-BU147)/12)+BU147</f>
        <v>0</v>
      </c>
      <c r="BW147" s="453">
        <f t="shared" ref="BW147" si="2633">(((BV147*(1+($B$39*$B$4)))-BV147)/12)+BV147</f>
        <v>0</v>
      </c>
      <c r="BX147" s="453">
        <f t="shared" ref="BX147" si="2634">(((BW147*(1+($B$39*$B$4)))-BW147)/12)+BW147</f>
        <v>0</v>
      </c>
      <c r="BY147" s="453">
        <f t="shared" ref="BY147" si="2635">(((BX147*(1+($B$39*$B$4)))-BX147)/12)+BX147</f>
        <v>0</v>
      </c>
      <c r="BZ147" s="453">
        <f t="shared" ref="BZ147" si="2636">(((BY147*(1+($B$39*$B$4)))-BY147)/12)+BY147</f>
        <v>0</v>
      </c>
      <c r="CA147" s="453">
        <f t="shared" ref="CA147" si="2637">(((BZ147*(1+($B$39*$B$4)))-BZ147)/12)+BZ147</f>
        <v>0</v>
      </c>
      <c r="CB147" s="453">
        <f t="shared" ref="CB147" si="2638">(((CA147*(1+($B$39*$B$4)))-CA147)/12)+CA147</f>
        <v>0</v>
      </c>
      <c r="CC147" s="453">
        <f t="shared" ref="CC147" si="2639">(((CB147*(1+($B$39*$B$4)))-CB147)/12)+CB147</f>
        <v>0</v>
      </c>
      <c r="CD147" s="453">
        <f t="shared" ref="CD147" si="2640">(((CC147*(1+($B$39*$B$4)))-CC147)/12)+CC147</f>
        <v>0</v>
      </c>
      <c r="CE147" s="454">
        <f t="shared" ref="CE147" si="2641">(((CD147*(1+($B$40*$B$4)))-CD147)/12)+CD147</f>
        <v>0</v>
      </c>
      <c r="CF147" s="453">
        <f t="shared" ref="CF147" si="2642">(((CE147*(1+($B$40*$B$4)))-CE147)/12)+CE147</f>
        <v>0</v>
      </c>
      <c r="CG147" s="453">
        <f t="shared" ref="CG147" si="2643">(((CF147*(1+($B$40*$B$4)))-CF147)/12)+CF147</f>
        <v>0</v>
      </c>
      <c r="CH147" s="453">
        <f t="shared" ref="CH147" si="2644">(((CG147*(1+($B$40*$B$4)))-CG147)/12)+CG147</f>
        <v>0</v>
      </c>
      <c r="CI147" s="453">
        <f t="shared" ref="CI147" si="2645">(((CH147*(1+($B$40*$B$4)))-CH147)/12)+CH147</f>
        <v>0</v>
      </c>
      <c r="CJ147" s="453">
        <f t="shared" ref="CJ147" si="2646">(((CI147*(1+($B$40*$B$4)))-CI147)/12)+CI147</f>
        <v>0</v>
      </c>
      <c r="CK147" s="453">
        <f t="shared" ref="CK147" si="2647">(((CJ147*(1+($B$40*$B$4)))-CJ147)/12)+CJ147</f>
        <v>0</v>
      </c>
      <c r="CL147" s="453">
        <f t="shared" ref="CL147" si="2648">(((CK147*(1+($B$40*$B$4)))-CK147)/12)+CK147</f>
        <v>0</v>
      </c>
      <c r="CM147" s="453">
        <f t="shared" ref="CM147" si="2649">(((CL147*(1+($B$40*$B$4)))-CL147)/12)+CL147</f>
        <v>0</v>
      </c>
      <c r="CN147" s="453">
        <f t="shared" ref="CN147" si="2650">(((CM147*(1+($B$40*$B$4)))-CM147)/12)+CM147</f>
        <v>0</v>
      </c>
      <c r="CO147" s="453">
        <f t="shared" ref="CO147" si="2651">(((CN147*(1+($B$40*$B$4)))-CN147)/12)+CN147</f>
        <v>0</v>
      </c>
      <c r="CP147" s="453">
        <f t="shared" ref="CP147" si="2652">(((CO147*(1+($B$40*$B$4)))-CO147)/12)+CO147</f>
        <v>0</v>
      </c>
      <c r="CQ147" s="454">
        <f t="shared" ref="CQ147" si="2653">(((CP147*(1+($B$41*$B$4)))-CP147)/12)+CP147</f>
        <v>0</v>
      </c>
      <c r="CR147" s="453">
        <f t="shared" ref="CR147" si="2654">(((CQ147*(1+($B$41*$B$4)))-CQ147)/12)+CQ147</f>
        <v>0</v>
      </c>
      <c r="CS147" s="453">
        <f t="shared" ref="CS147" si="2655">(((CR147*(1+($B$41*$B$4)))-CR147)/12)+CR147</f>
        <v>0</v>
      </c>
      <c r="CT147" s="453">
        <f t="shared" ref="CT147" si="2656">(((CS147*(1+($B$41*$B$4)))-CS147)/12)+CS147</f>
        <v>0</v>
      </c>
      <c r="CU147" s="453">
        <f t="shared" ref="CU147" si="2657">(((CT147*(1+($B$41*$B$4)))-CT147)/12)+CT147</f>
        <v>0</v>
      </c>
      <c r="CV147" s="453">
        <f t="shared" ref="CV147" si="2658">(((CU147*(1+($B$41*$B$4)))-CU147)/12)+CU147</f>
        <v>0</v>
      </c>
      <c r="CW147" s="453">
        <f t="shared" ref="CW147" si="2659">(((CV147*(1+($B$41*$B$4)))-CV147)/12)+CV147</f>
        <v>0</v>
      </c>
      <c r="CX147" s="453">
        <f t="shared" ref="CX147" si="2660">(((CW147*(1+($B$41*$B$4)))-CW147)/12)+CW147</f>
        <v>0</v>
      </c>
      <c r="CY147" s="453">
        <f t="shared" ref="CY147" si="2661">(((CX147*(1+($B$41*$B$4)))-CX147)/12)+CX147</f>
        <v>0</v>
      </c>
      <c r="CZ147" s="453">
        <f t="shared" ref="CZ147" si="2662">(((CY147*(1+($B$41*$B$4)))-CY147)/12)+CY147</f>
        <v>0</v>
      </c>
      <c r="DA147" s="453">
        <f t="shared" ref="DA147" si="2663">(((CZ147*(1+($B$41*$B$4)))-CZ147)/12)+CZ147</f>
        <v>0</v>
      </c>
      <c r="DB147" s="453">
        <f t="shared" ref="DB147" si="2664">(((DA147*(1+($B$41*$B$4)))-DA147)/12)+DA147</f>
        <v>0</v>
      </c>
      <c r="DC147" s="454">
        <f t="shared" ref="DC147" si="2665">(((DB147*(1+($B$42*$B$4)))-DB147)/12)+DB147</f>
        <v>0</v>
      </c>
      <c r="DD147" s="453">
        <f t="shared" ref="DD147" si="2666">(((DC147*(1+($B$42*$B$4)))-DC147)/12)+DC147</f>
        <v>0</v>
      </c>
      <c r="DE147" s="453">
        <f t="shared" ref="DE147" si="2667">(((DD147*(1+($B$42*$B$4)))-DD147)/12)+DD147</f>
        <v>0</v>
      </c>
      <c r="DF147" s="453">
        <f t="shared" ref="DF147" si="2668">(((DE147*(1+($B$42*$B$4)))-DE147)/12)+DE147</f>
        <v>0</v>
      </c>
      <c r="DG147" s="453">
        <f t="shared" ref="DG147" si="2669">(((DF147*(1+($B$42*$B$4)))-DF147)/12)+DF147</f>
        <v>0</v>
      </c>
      <c r="DH147" s="453">
        <f t="shared" ref="DH147" si="2670">(((DG147*(1+($B$42*$B$4)))-DG147)/12)+DG147</f>
        <v>0</v>
      </c>
      <c r="DI147" s="453">
        <f t="shared" ref="DI147" si="2671">(((DH147*(1+($B$42*$B$4)))-DH147)/12)+DH147</f>
        <v>0</v>
      </c>
      <c r="DJ147" s="453">
        <f t="shared" ref="DJ147" si="2672">(((DI147*(1+($B$42*$B$4)))-DI147)/12)+DI147</f>
        <v>0</v>
      </c>
      <c r="DK147" s="453">
        <f t="shared" ref="DK147" si="2673">(((DJ147*(1+($B$42*$B$4)))-DJ147)/12)+DJ147</f>
        <v>0</v>
      </c>
      <c r="DL147" s="453">
        <f t="shared" ref="DL147" si="2674">(((DK147*(1+($B$42*$B$4)))-DK147)/12)+DK147</f>
        <v>0</v>
      </c>
      <c r="DM147" s="453">
        <f t="shared" ref="DM147" si="2675">(((DL147*(1+($B$42*$B$4)))-DL147)/12)+DL147</f>
        <v>0</v>
      </c>
      <c r="DN147" s="453">
        <f t="shared" ref="DN147" si="2676">(((DM147*(1+($B$42*$B$4)))-DM147)/12)+DM147</f>
        <v>0</v>
      </c>
      <c r="DO147" s="454">
        <f t="shared" ref="DO147" si="2677">(((DN147*(1+($B$43*$B$4)))-DN147)/12)+DN147</f>
        <v>0</v>
      </c>
      <c r="DP147" s="453">
        <f t="shared" ref="DP147" si="2678">(((DO147*(1+($B$43*$B$4)))-DO147)/12)+DO147</f>
        <v>0</v>
      </c>
      <c r="DQ147" s="453">
        <f t="shared" ref="DQ147" si="2679">(((DP147*(1+($B$43*$B$4)))-DP147)/12)+DP147</f>
        <v>0</v>
      </c>
      <c r="DR147" s="453">
        <f t="shared" ref="DR147" si="2680">(((DQ147*(1+($B$43*$B$4)))-DQ147)/12)+DQ147</f>
        <v>0</v>
      </c>
      <c r="DS147" s="453">
        <f t="shared" ref="DS147" si="2681">(((DR147*(1+($B$43*$B$4)))-DR147)/12)+DR147</f>
        <v>0</v>
      </c>
      <c r="DT147" s="453">
        <f t="shared" ref="DT147" si="2682">(((DS147*(1+($B$43*$B$4)))-DS147)/12)+DS147</f>
        <v>0</v>
      </c>
      <c r="DU147" s="453">
        <f t="shared" ref="DU147" si="2683">(((DT147*(1+($B$43*$B$4)))-DT147)/12)+DT147</f>
        <v>0</v>
      </c>
      <c r="DV147" s="453">
        <f t="shared" ref="DV147" si="2684">(((DU147*(1+($B$43*$B$4)))-DU147)/12)+DU147</f>
        <v>0</v>
      </c>
      <c r="DW147" s="453">
        <f t="shared" ref="DW147" si="2685">(((DV147*(1+($B$43*$B$4)))-DV147)/12)+DV147</f>
        <v>0</v>
      </c>
      <c r="DX147" s="453">
        <f t="shared" ref="DX147" si="2686">(((DW147*(1+($B$43*$B$4)))-DW147)/12)+DW147</f>
        <v>0</v>
      </c>
      <c r="DY147" s="453">
        <f t="shared" ref="DY147" si="2687">(((DX147*(1+($B$43*$B$4)))-DX147)/12)+DX147</f>
        <v>0</v>
      </c>
      <c r="DZ147" s="453">
        <f t="shared" ref="DZ147" si="2688">(((DY147*(1+($B$43*$B$4)))-DY147)/12)+DY147</f>
        <v>0</v>
      </c>
      <c r="EA147" s="454">
        <f>(((DZ147*(1+($B$44*$B$4)))-DZ147)/12)+DZ147</f>
        <v>0</v>
      </c>
      <c r="EB147" s="453">
        <f>(((EA147*(1+($B$44*$B$4)))-EA147)/12)+EA147</f>
        <v>0</v>
      </c>
      <c r="EC147" s="453">
        <f>(((EB147*(1+($B$44*$B$4)))-EB147)/12)+EB147</f>
        <v>0</v>
      </c>
      <c r="ED147" s="455">
        <f>(((EC147*(1+($B$44*$B$4)))-EC147)/12)+EC147</f>
        <v>0</v>
      </c>
    </row>
    <row r="148" spans="3:134" outlineLevel="1" x14ac:dyDescent="0.25">
      <c r="C148" s="475"/>
      <c r="D148" s="744"/>
      <c r="E148" s="744"/>
      <c r="F148" s="744"/>
      <c r="G148" s="744"/>
      <c r="H148" s="744"/>
      <c r="I148" s="744"/>
      <c r="J148" s="744"/>
      <c r="K148" s="744"/>
      <c r="L148" s="434"/>
      <c r="M148" s="435"/>
      <c r="N148" s="436"/>
      <c r="O148" s="437"/>
      <c r="P148" s="437"/>
      <c r="Q148" s="437"/>
      <c r="R148" s="438"/>
      <c r="S148" s="439"/>
      <c r="T148" s="439"/>
      <c r="U148" s="435"/>
      <c r="V148" s="440">
        <v>1</v>
      </c>
      <c r="W148" s="456">
        <f>ROUNDUP($V148*(W147/100)/0.8,0)</f>
        <v>0</v>
      </c>
      <c r="X148" s="446">
        <f t="shared" ref="X148:CI148" si="2689">ROUNDUP($V148*(X147/100)/0.8,0)</f>
        <v>0</v>
      </c>
      <c r="Y148" s="446">
        <f t="shared" si="2689"/>
        <v>0</v>
      </c>
      <c r="Z148" s="446">
        <f t="shared" si="2689"/>
        <v>0</v>
      </c>
      <c r="AA148" s="446">
        <f t="shared" si="2689"/>
        <v>0</v>
      </c>
      <c r="AB148" s="446">
        <f t="shared" si="2689"/>
        <v>0</v>
      </c>
      <c r="AC148" s="446">
        <f t="shared" si="2689"/>
        <v>0</v>
      </c>
      <c r="AD148" s="446">
        <f t="shared" si="2689"/>
        <v>0</v>
      </c>
      <c r="AE148" s="446">
        <f t="shared" si="2689"/>
        <v>0</v>
      </c>
      <c r="AF148" s="446">
        <f t="shared" si="2689"/>
        <v>0</v>
      </c>
      <c r="AG148" s="446">
        <f t="shared" si="2689"/>
        <v>0</v>
      </c>
      <c r="AH148" s="446">
        <f t="shared" si="2689"/>
        <v>0</v>
      </c>
      <c r="AI148" s="457">
        <f t="shared" si="2689"/>
        <v>0</v>
      </c>
      <c r="AJ148" s="446">
        <f t="shared" si="2689"/>
        <v>0</v>
      </c>
      <c r="AK148" s="446">
        <f t="shared" si="2689"/>
        <v>0</v>
      </c>
      <c r="AL148" s="446">
        <f t="shared" si="2689"/>
        <v>0</v>
      </c>
      <c r="AM148" s="446">
        <f t="shared" si="2689"/>
        <v>0</v>
      </c>
      <c r="AN148" s="446">
        <f t="shared" si="2689"/>
        <v>0</v>
      </c>
      <c r="AO148" s="446">
        <f t="shared" si="2689"/>
        <v>0</v>
      </c>
      <c r="AP148" s="446">
        <f t="shared" si="2689"/>
        <v>0</v>
      </c>
      <c r="AQ148" s="446">
        <f t="shared" si="2689"/>
        <v>0</v>
      </c>
      <c r="AR148" s="446">
        <f t="shared" si="2689"/>
        <v>0</v>
      </c>
      <c r="AS148" s="446">
        <f t="shared" si="2689"/>
        <v>0</v>
      </c>
      <c r="AT148" s="446">
        <f t="shared" si="2689"/>
        <v>0</v>
      </c>
      <c r="AU148" s="457">
        <f t="shared" si="2689"/>
        <v>0</v>
      </c>
      <c r="AV148" s="446">
        <f t="shared" si="2689"/>
        <v>0</v>
      </c>
      <c r="AW148" s="446">
        <f t="shared" si="2689"/>
        <v>0</v>
      </c>
      <c r="AX148" s="446">
        <f t="shared" si="2689"/>
        <v>0</v>
      </c>
      <c r="AY148" s="446">
        <f t="shared" si="2689"/>
        <v>0</v>
      </c>
      <c r="AZ148" s="446">
        <f t="shared" si="2689"/>
        <v>0</v>
      </c>
      <c r="BA148" s="446">
        <f t="shared" si="2689"/>
        <v>0</v>
      </c>
      <c r="BB148" s="446">
        <f t="shared" si="2689"/>
        <v>0</v>
      </c>
      <c r="BC148" s="446">
        <f t="shared" si="2689"/>
        <v>0</v>
      </c>
      <c r="BD148" s="446">
        <f t="shared" si="2689"/>
        <v>0</v>
      </c>
      <c r="BE148" s="446">
        <f t="shared" si="2689"/>
        <v>0</v>
      </c>
      <c r="BF148" s="446">
        <f t="shared" si="2689"/>
        <v>0</v>
      </c>
      <c r="BG148" s="457">
        <f t="shared" si="2689"/>
        <v>0</v>
      </c>
      <c r="BH148" s="446">
        <f t="shared" si="2689"/>
        <v>0</v>
      </c>
      <c r="BI148" s="446">
        <f t="shared" si="2689"/>
        <v>0</v>
      </c>
      <c r="BJ148" s="446">
        <f t="shared" si="2689"/>
        <v>0</v>
      </c>
      <c r="BK148" s="446">
        <f t="shared" si="2689"/>
        <v>0</v>
      </c>
      <c r="BL148" s="446">
        <f t="shared" si="2689"/>
        <v>0</v>
      </c>
      <c r="BM148" s="446">
        <f t="shared" si="2689"/>
        <v>0</v>
      </c>
      <c r="BN148" s="446">
        <f t="shared" si="2689"/>
        <v>0</v>
      </c>
      <c r="BO148" s="446">
        <f t="shared" si="2689"/>
        <v>0</v>
      </c>
      <c r="BP148" s="446">
        <f t="shared" si="2689"/>
        <v>0</v>
      </c>
      <c r="BQ148" s="446">
        <f t="shared" si="2689"/>
        <v>0</v>
      </c>
      <c r="BR148" s="446">
        <f t="shared" si="2689"/>
        <v>0</v>
      </c>
      <c r="BS148" s="457">
        <f t="shared" si="2689"/>
        <v>0</v>
      </c>
      <c r="BT148" s="446">
        <f t="shared" si="2689"/>
        <v>0</v>
      </c>
      <c r="BU148" s="446">
        <f t="shared" si="2689"/>
        <v>0</v>
      </c>
      <c r="BV148" s="446">
        <f t="shared" si="2689"/>
        <v>0</v>
      </c>
      <c r="BW148" s="446">
        <f t="shared" si="2689"/>
        <v>0</v>
      </c>
      <c r="BX148" s="446">
        <f t="shared" si="2689"/>
        <v>0</v>
      </c>
      <c r="BY148" s="446">
        <f t="shared" si="2689"/>
        <v>0</v>
      </c>
      <c r="BZ148" s="446">
        <f t="shared" si="2689"/>
        <v>0</v>
      </c>
      <c r="CA148" s="446">
        <f t="shared" si="2689"/>
        <v>0</v>
      </c>
      <c r="CB148" s="446">
        <f t="shared" si="2689"/>
        <v>0</v>
      </c>
      <c r="CC148" s="446">
        <f t="shared" si="2689"/>
        <v>0</v>
      </c>
      <c r="CD148" s="446">
        <f t="shared" si="2689"/>
        <v>0</v>
      </c>
      <c r="CE148" s="457">
        <f t="shared" si="2689"/>
        <v>0</v>
      </c>
      <c r="CF148" s="446">
        <f t="shared" si="2689"/>
        <v>0</v>
      </c>
      <c r="CG148" s="446">
        <f t="shared" si="2689"/>
        <v>0</v>
      </c>
      <c r="CH148" s="446">
        <f t="shared" si="2689"/>
        <v>0</v>
      </c>
      <c r="CI148" s="446">
        <f t="shared" si="2689"/>
        <v>0</v>
      </c>
      <c r="CJ148" s="446">
        <f t="shared" ref="CJ148:ED148" si="2690">ROUNDUP($V148*(CJ147/100)/0.8,0)</f>
        <v>0</v>
      </c>
      <c r="CK148" s="446">
        <f t="shared" si="2690"/>
        <v>0</v>
      </c>
      <c r="CL148" s="446">
        <f t="shared" si="2690"/>
        <v>0</v>
      </c>
      <c r="CM148" s="446">
        <f t="shared" si="2690"/>
        <v>0</v>
      </c>
      <c r="CN148" s="446">
        <f t="shared" si="2690"/>
        <v>0</v>
      </c>
      <c r="CO148" s="446">
        <f t="shared" si="2690"/>
        <v>0</v>
      </c>
      <c r="CP148" s="446">
        <f t="shared" si="2690"/>
        <v>0</v>
      </c>
      <c r="CQ148" s="457">
        <f t="shared" si="2690"/>
        <v>0</v>
      </c>
      <c r="CR148" s="446">
        <f t="shared" si="2690"/>
        <v>0</v>
      </c>
      <c r="CS148" s="446">
        <f t="shared" si="2690"/>
        <v>0</v>
      </c>
      <c r="CT148" s="446">
        <f t="shared" si="2690"/>
        <v>0</v>
      </c>
      <c r="CU148" s="446">
        <f t="shared" si="2690"/>
        <v>0</v>
      </c>
      <c r="CV148" s="446">
        <f t="shared" si="2690"/>
        <v>0</v>
      </c>
      <c r="CW148" s="446">
        <f t="shared" si="2690"/>
        <v>0</v>
      </c>
      <c r="CX148" s="446">
        <f t="shared" si="2690"/>
        <v>0</v>
      </c>
      <c r="CY148" s="446">
        <f t="shared" si="2690"/>
        <v>0</v>
      </c>
      <c r="CZ148" s="446">
        <f t="shared" si="2690"/>
        <v>0</v>
      </c>
      <c r="DA148" s="446">
        <f t="shared" si="2690"/>
        <v>0</v>
      </c>
      <c r="DB148" s="446">
        <f t="shared" si="2690"/>
        <v>0</v>
      </c>
      <c r="DC148" s="457">
        <f t="shared" si="2690"/>
        <v>0</v>
      </c>
      <c r="DD148" s="446">
        <f t="shared" si="2690"/>
        <v>0</v>
      </c>
      <c r="DE148" s="446">
        <f t="shared" si="2690"/>
        <v>0</v>
      </c>
      <c r="DF148" s="446">
        <f t="shared" si="2690"/>
        <v>0</v>
      </c>
      <c r="DG148" s="446">
        <f t="shared" si="2690"/>
        <v>0</v>
      </c>
      <c r="DH148" s="446">
        <f t="shared" si="2690"/>
        <v>0</v>
      </c>
      <c r="DI148" s="446">
        <f t="shared" si="2690"/>
        <v>0</v>
      </c>
      <c r="DJ148" s="446">
        <f t="shared" si="2690"/>
        <v>0</v>
      </c>
      <c r="DK148" s="446">
        <f t="shared" si="2690"/>
        <v>0</v>
      </c>
      <c r="DL148" s="446">
        <f t="shared" si="2690"/>
        <v>0</v>
      </c>
      <c r="DM148" s="446">
        <f t="shared" si="2690"/>
        <v>0</v>
      </c>
      <c r="DN148" s="446">
        <f t="shared" si="2690"/>
        <v>0</v>
      </c>
      <c r="DO148" s="457">
        <f t="shared" si="2690"/>
        <v>0</v>
      </c>
      <c r="DP148" s="446">
        <f t="shared" si="2690"/>
        <v>0</v>
      </c>
      <c r="DQ148" s="446">
        <f t="shared" si="2690"/>
        <v>0</v>
      </c>
      <c r="DR148" s="446">
        <f t="shared" si="2690"/>
        <v>0</v>
      </c>
      <c r="DS148" s="446">
        <f t="shared" si="2690"/>
        <v>0</v>
      </c>
      <c r="DT148" s="446">
        <f t="shared" si="2690"/>
        <v>0</v>
      </c>
      <c r="DU148" s="446">
        <f t="shared" si="2690"/>
        <v>0</v>
      </c>
      <c r="DV148" s="446">
        <f t="shared" si="2690"/>
        <v>0</v>
      </c>
      <c r="DW148" s="446">
        <f t="shared" si="2690"/>
        <v>0</v>
      </c>
      <c r="DX148" s="446">
        <f t="shared" si="2690"/>
        <v>0</v>
      </c>
      <c r="DY148" s="446">
        <f t="shared" si="2690"/>
        <v>0</v>
      </c>
      <c r="DZ148" s="446">
        <f t="shared" si="2690"/>
        <v>0</v>
      </c>
      <c r="EA148" s="457">
        <f t="shared" si="2690"/>
        <v>0</v>
      </c>
      <c r="EB148" s="446">
        <f t="shared" si="2690"/>
        <v>0</v>
      </c>
      <c r="EC148" s="446">
        <f t="shared" si="2690"/>
        <v>0</v>
      </c>
      <c r="ED148" s="458">
        <f t="shared" si="2690"/>
        <v>0</v>
      </c>
    </row>
    <row r="149" spans="3:134" outlineLevel="1" x14ac:dyDescent="0.25">
      <c r="C149" s="475"/>
      <c r="D149" s="770" t="s">
        <v>279</v>
      </c>
      <c r="E149" s="770"/>
      <c r="F149" s="770"/>
      <c r="G149" s="770"/>
      <c r="H149" s="770"/>
      <c r="I149" s="770"/>
      <c r="J149" s="770"/>
      <c r="K149" s="770"/>
      <c r="L149" s="445"/>
      <c r="M149" s="446"/>
      <c r="N149" s="426">
        <f>M149/100</f>
        <v>0</v>
      </c>
      <c r="O149" s="427"/>
      <c r="P149" s="427"/>
      <c r="Q149" s="448"/>
      <c r="R149" s="428">
        <f>P149-N149</f>
        <v>0</v>
      </c>
      <c r="S149" s="448"/>
      <c r="T149" s="448"/>
      <c r="U149" s="446"/>
      <c r="V149" s="451"/>
      <c r="W149" s="430">
        <f>M149</f>
        <v>0</v>
      </c>
      <c r="X149" s="431">
        <f>W149</f>
        <v>0</v>
      </c>
      <c r="Y149" s="431">
        <f>X149</f>
        <v>0</v>
      </c>
      <c r="Z149" s="431">
        <f>O149*100</f>
        <v>0</v>
      </c>
      <c r="AA149" s="431">
        <f>Z149</f>
        <v>0</v>
      </c>
      <c r="AB149" s="431">
        <f>AA149</f>
        <v>0</v>
      </c>
      <c r="AC149" s="431">
        <f>P149*100</f>
        <v>0</v>
      </c>
      <c r="AD149" s="431">
        <f>AC149</f>
        <v>0</v>
      </c>
      <c r="AE149" s="431">
        <f>AD149</f>
        <v>0</v>
      </c>
      <c r="AF149" s="431">
        <f>AE149</f>
        <v>0</v>
      </c>
      <c r="AG149" s="431">
        <f>AF149</f>
        <v>0</v>
      </c>
      <c r="AH149" s="431">
        <f>AG149</f>
        <v>0</v>
      </c>
      <c r="AI149" s="432">
        <f t="shared" ref="AI149" si="2691">(((AH149*(1+($B$36*$B$4)))-AH149)/12)+AH149</f>
        <v>0</v>
      </c>
      <c r="AJ149" s="431">
        <f t="shared" ref="AJ149" si="2692">(((AI149*(1+($B$36*$B$4)))-AI149)/12)+AI149</f>
        <v>0</v>
      </c>
      <c r="AK149" s="431">
        <f t="shared" ref="AK149" si="2693">(((AJ149*(1+($B$36*$B$4)))-AJ149)/12)+AJ149</f>
        <v>0</v>
      </c>
      <c r="AL149" s="431">
        <f t="shared" ref="AL149" si="2694">(((AK149*(1+($B$36*$B$4)))-AK149)/12)+AK149</f>
        <v>0</v>
      </c>
      <c r="AM149" s="431">
        <f t="shared" ref="AM149" si="2695">(((AL149*(1+($B$36*$B$4)))-AL149)/12)+AL149</f>
        <v>0</v>
      </c>
      <c r="AN149" s="431">
        <f t="shared" ref="AN149" si="2696">(((AM149*(1+($B$36*$B$4)))-AM149)/12)+AM149</f>
        <v>0</v>
      </c>
      <c r="AO149" s="431">
        <f t="shared" ref="AO149" si="2697">(((AN149*(1+($B$36*$B$4)))-AN149)/12)+AN149</f>
        <v>0</v>
      </c>
      <c r="AP149" s="431">
        <f t="shared" ref="AP149" si="2698">(((AO149*(1+($B$36*$B$4)))-AO149)/12)+AO149</f>
        <v>0</v>
      </c>
      <c r="AQ149" s="431">
        <f t="shared" ref="AQ149" si="2699">(((AP149*(1+($B$36*$B$4)))-AP149)/12)+AP149</f>
        <v>0</v>
      </c>
      <c r="AR149" s="431">
        <f t="shared" ref="AR149" si="2700">(((AQ149*(1+($B$36*$B$4)))-AQ149)/12)+AQ149</f>
        <v>0</v>
      </c>
      <c r="AS149" s="431">
        <f t="shared" ref="AS149" si="2701">(((AR149*(1+($B$36*$B$4)))-AR149)/12)+AR149</f>
        <v>0</v>
      </c>
      <c r="AT149" s="431">
        <f t="shared" ref="AT149" si="2702">(((AS149*(1+($B$36*$B$4)))-AS149)/12)+AS149</f>
        <v>0</v>
      </c>
      <c r="AU149" s="432">
        <f t="shared" ref="AU149" si="2703">(((AT149*(1+($B$37*$B$4)))-AT149)/12)+AT149</f>
        <v>0</v>
      </c>
      <c r="AV149" s="431">
        <f t="shared" ref="AV149" si="2704">(((AU149*(1+($B$37*$B$4)))-AU149)/12)+AU149</f>
        <v>0</v>
      </c>
      <c r="AW149" s="431">
        <f t="shared" ref="AW149" si="2705">(((AV149*(1+($B$37*$B$4)))-AV149)/12)+AV149</f>
        <v>0</v>
      </c>
      <c r="AX149" s="431">
        <f t="shared" ref="AX149" si="2706">(((AW149*(1+($B$37*$B$4)))-AW149)/12)+AW149</f>
        <v>0</v>
      </c>
      <c r="AY149" s="431">
        <f t="shared" ref="AY149" si="2707">(((AX149*(1+($B$37*$B$4)))-AX149)/12)+AX149</f>
        <v>0</v>
      </c>
      <c r="AZ149" s="431">
        <f t="shared" ref="AZ149" si="2708">(((AY149*(1+($B$37*$B$4)))-AY149)/12)+AY149</f>
        <v>0</v>
      </c>
      <c r="BA149" s="431">
        <f t="shared" ref="BA149" si="2709">(((AZ149*(1+($B$37*$B$4)))-AZ149)/12)+AZ149</f>
        <v>0</v>
      </c>
      <c r="BB149" s="431">
        <f t="shared" ref="BB149" si="2710">(((BA149*(1+($B$37*$B$4)))-BA149)/12)+BA149</f>
        <v>0</v>
      </c>
      <c r="BC149" s="431">
        <f t="shared" ref="BC149" si="2711">(((BB149*(1+($B$37*$B$4)))-BB149)/12)+BB149</f>
        <v>0</v>
      </c>
      <c r="BD149" s="431">
        <f t="shared" ref="BD149" si="2712">(((BC149*(1+($B$37*$B$4)))-BC149)/12)+BC149</f>
        <v>0</v>
      </c>
      <c r="BE149" s="431">
        <f t="shared" ref="BE149" si="2713">(((BD149*(1+($B$37*$B$4)))-BD149)/12)+BD149</f>
        <v>0</v>
      </c>
      <c r="BF149" s="431">
        <f t="shared" ref="BF149" si="2714">(((BE149*(1+($B$37*$B$4)))-BE149)/12)+BE149</f>
        <v>0</v>
      </c>
      <c r="BG149" s="432">
        <f t="shared" ref="BG149" si="2715">(((BF149*(1+($B$38*$B$4)))-BF149)/12)+BF149</f>
        <v>0</v>
      </c>
      <c r="BH149" s="431">
        <f t="shared" ref="BH149" si="2716">(((BG149*(1+($B$38*$B$4)))-BG149)/12)+BG149</f>
        <v>0</v>
      </c>
      <c r="BI149" s="431">
        <f t="shared" ref="BI149" si="2717">(((BH149*(1+($B$38*$B$4)))-BH149)/12)+BH149</f>
        <v>0</v>
      </c>
      <c r="BJ149" s="431">
        <f t="shared" ref="BJ149" si="2718">(((BI149*(1+($B$38*$B$4)))-BI149)/12)+BI149</f>
        <v>0</v>
      </c>
      <c r="BK149" s="431">
        <f t="shared" ref="BK149" si="2719">(((BJ149*(1+($B$38*$B$4)))-BJ149)/12)+BJ149</f>
        <v>0</v>
      </c>
      <c r="BL149" s="431">
        <f t="shared" ref="BL149" si="2720">(((BK149*(1+($B$38*$B$4)))-BK149)/12)+BK149</f>
        <v>0</v>
      </c>
      <c r="BM149" s="431">
        <f t="shared" ref="BM149" si="2721">(((BL149*(1+($B$38*$B$4)))-BL149)/12)+BL149</f>
        <v>0</v>
      </c>
      <c r="BN149" s="431">
        <f t="shared" ref="BN149" si="2722">(((BM149*(1+($B$38*$B$4)))-BM149)/12)+BM149</f>
        <v>0</v>
      </c>
      <c r="BO149" s="431">
        <f t="shared" ref="BO149" si="2723">(((BN149*(1+($B$38*$B$4)))-BN149)/12)+BN149</f>
        <v>0</v>
      </c>
      <c r="BP149" s="431">
        <f t="shared" ref="BP149" si="2724">(((BO149*(1+($B$38*$B$4)))-BO149)/12)+BO149</f>
        <v>0</v>
      </c>
      <c r="BQ149" s="431">
        <f t="shared" ref="BQ149" si="2725">(((BP149*(1+($B$38*$B$4)))-BP149)/12)+BP149</f>
        <v>0</v>
      </c>
      <c r="BR149" s="431">
        <f t="shared" ref="BR149" si="2726">(((BQ149*(1+($B$38*$B$4)))-BQ149)/12)+BQ149</f>
        <v>0</v>
      </c>
      <c r="BS149" s="432">
        <f t="shared" ref="BS149" si="2727">(((BR149*(1+($B$39*$B$4)))-BR149)/12)+BR149</f>
        <v>0</v>
      </c>
      <c r="BT149" s="431">
        <f t="shared" ref="BT149" si="2728">(((BS149*(1+($B$39*$B$4)))-BS149)/12)+BS149</f>
        <v>0</v>
      </c>
      <c r="BU149" s="431">
        <f t="shared" ref="BU149" si="2729">(((BT149*(1+($B$39*$B$4)))-BT149)/12)+BT149</f>
        <v>0</v>
      </c>
      <c r="BV149" s="431">
        <f t="shared" ref="BV149" si="2730">(((BU149*(1+($B$39*$B$4)))-BU149)/12)+BU149</f>
        <v>0</v>
      </c>
      <c r="BW149" s="431">
        <f t="shared" ref="BW149" si="2731">(((BV149*(1+($B$39*$B$4)))-BV149)/12)+BV149</f>
        <v>0</v>
      </c>
      <c r="BX149" s="431">
        <f t="shared" ref="BX149" si="2732">(((BW149*(1+($B$39*$B$4)))-BW149)/12)+BW149</f>
        <v>0</v>
      </c>
      <c r="BY149" s="431">
        <f t="shared" ref="BY149" si="2733">(((BX149*(1+($B$39*$B$4)))-BX149)/12)+BX149</f>
        <v>0</v>
      </c>
      <c r="BZ149" s="431">
        <f t="shared" ref="BZ149" si="2734">(((BY149*(1+($B$39*$B$4)))-BY149)/12)+BY149</f>
        <v>0</v>
      </c>
      <c r="CA149" s="431">
        <f t="shared" ref="CA149" si="2735">(((BZ149*(1+($B$39*$B$4)))-BZ149)/12)+BZ149</f>
        <v>0</v>
      </c>
      <c r="CB149" s="431">
        <f t="shared" ref="CB149" si="2736">(((CA149*(1+($B$39*$B$4)))-CA149)/12)+CA149</f>
        <v>0</v>
      </c>
      <c r="CC149" s="431">
        <f t="shared" ref="CC149" si="2737">(((CB149*(1+($B$39*$B$4)))-CB149)/12)+CB149</f>
        <v>0</v>
      </c>
      <c r="CD149" s="431">
        <f t="shared" ref="CD149" si="2738">(((CC149*(1+($B$39*$B$4)))-CC149)/12)+CC149</f>
        <v>0</v>
      </c>
      <c r="CE149" s="432">
        <f t="shared" ref="CE149" si="2739">(((CD149*(1+($B$40*$B$4)))-CD149)/12)+CD149</f>
        <v>0</v>
      </c>
      <c r="CF149" s="431">
        <f t="shared" ref="CF149" si="2740">(((CE149*(1+($B$40*$B$4)))-CE149)/12)+CE149</f>
        <v>0</v>
      </c>
      <c r="CG149" s="431">
        <f t="shared" ref="CG149" si="2741">(((CF149*(1+($B$40*$B$4)))-CF149)/12)+CF149</f>
        <v>0</v>
      </c>
      <c r="CH149" s="431">
        <f t="shared" ref="CH149" si="2742">(((CG149*(1+($B$40*$B$4)))-CG149)/12)+CG149</f>
        <v>0</v>
      </c>
      <c r="CI149" s="431">
        <f t="shared" ref="CI149" si="2743">(((CH149*(1+($B$40*$B$4)))-CH149)/12)+CH149</f>
        <v>0</v>
      </c>
      <c r="CJ149" s="431">
        <f t="shared" ref="CJ149" si="2744">(((CI149*(1+($B$40*$B$4)))-CI149)/12)+CI149</f>
        <v>0</v>
      </c>
      <c r="CK149" s="431">
        <f t="shared" ref="CK149" si="2745">(((CJ149*(1+($B$40*$B$4)))-CJ149)/12)+CJ149</f>
        <v>0</v>
      </c>
      <c r="CL149" s="431">
        <f t="shared" ref="CL149" si="2746">(((CK149*(1+($B$40*$B$4)))-CK149)/12)+CK149</f>
        <v>0</v>
      </c>
      <c r="CM149" s="431">
        <f t="shared" ref="CM149" si="2747">(((CL149*(1+($B$40*$B$4)))-CL149)/12)+CL149</f>
        <v>0</v>
      </c>
      <c r="CN149" s="431">
        <f t="shared" ref="CN149" si="2748">(((CM149*(1+($B$40*$B$4)))-CM149)/12)+CM149</f>
        <v>0</v>
      </c>
      <c r="CO149" s="431">
        <f t="shared" ref="CO149" si="2749">(((CN149*(1+($B$40*$B$4)))-CN149)/12)+CN149</f>
        <v>0</v>
      </c>
      <c r="CP149" s="431">
        <f t="shared" ref="CP149" si="2750">(((CO149*(1+($B$40*$B$4)))-CO149)/12)+CO149</f>
        <v>0</v>
      </c>
      <c r="CQ149" s="432">
        <f t="shared" ref="CQ149" si="2751">(((CP149*(1+($B$41*$B$4)))-CP149)/12)+CP149</f>
        <v>0</v>
      </c>
      <c r="CR149" s="431">
        <f t="shared" ref="CR149" si="2752">(((CQ149*(1+($B$41*$B$4)))-CQ149)/12)+CQ149</f>
        <v>0</v>
      </c>
      <c r="CS149" s="431">
        <f t="shared" ref="CS149" si="2753">(((CR149*(1+($B$41*$B$4)))-CR149)/12)+CR149</f>
        <v>0</v>
      </c>
      <c r="CT149" s="431">
        <f t="shared" ref="CT149" si="2754">(((CS149*(1+($B$41*$B$4)))-CS149)/12)+CS149</f>
        <v>0</v>
      </c>
      <c r="CU149" s="431">
        <f t="shared" ref="CU149" si="2755">(((CT149*(1+($B$41*$B$4)))-CT149)/12)+CT149</f>
        <v>0</v>
      </c>
      <c r="CV149" s="431">
        <f t="shared" ref="CV149" si="2756">(((CU149*(1+($B$41*$B$4)))-CU149)/12)+CU149</f>
        <v>0</v>
      </c>
      <c r="CW149" s="431">
        <f t="shared" ref="CW149" si="2757">(((CV149*(1+($B$41*$B$4)))-CV149)/12)+CV149</f>
        <v>0</v>
      </c>
      <c r="CX149" s="431">
        <f t="shared" ref="CX149" si="2758">(((CW149*(1+($B$41*$B$4)))-CW149)/12)+CW149</f>
        <v>0</v>
      </c>
      <c r="CY149" s="431">
        <f t="shared" ref="CY149" si="2759">(((CX149*(1+($B$41*$B$4)))-CX149)/12)+CX149</f>
        <v>0</v>
      </c>
      <c r="CZ149" s="431">
        <f t="shared" ref="CZ149" si="2760">(((CY149*(1+($B$41*$B$4)))-CY149)/12)+CY149</f>
        <v>0</v>
      </c>
      <c r="DA149" s="431">
        <f t="shared" ref="DA149" si="2761">(((CZ149*(1+($B$41*$B$4)))-CZ149)/12)+CZ149</f>
        <v>0</v>
      </c>
      <c r="DB149" s="431">
        <f t="shared" ref="DB149" si="2762">(((DA149*(1+($B$41*$B$4)))-DA149)/12)+DA149</f>
        <v>0</v>
      </c>
      <c r="DC149" s="432">
        <f t="shared" ref="DC149" si="2763">(((DB149*(1+($B$42*$B$4)))-DB149)/12)+DB149</f>
        <v>0</v>
      </c>
      <c r="DD149" s="431">
        <f t="shared" ref="DD149" si="2764">(((DC149*(1+($B$42*$B$4)))-DC149)/12)+DC149</f>
        <v>0</v>
      </c>
      <c r="DE149" s="431">
        <f t="shared" ref="DE149" si="2765">(((DD149*(1+($B$42*$B$4)))-DD149)/12)+DD149</f>
        <v>0</v>
      </c>
      <c r="DF149" s="431">
        <f t="shared" ref="DF149" si="2766">(((DE149*(1+($B$42*$B$4)))-DE149)/12)+DE149</f>
        <v>0</v>
      </c>
      <c r="DG149" s="431">
        <f t="shared" ref="DG149" si="2767">(((DF149*(1+($B$42*$B$4)))-DF149)/12)+DF149</f>
        <v>0</v>
      </c>
      <c r="DH149" s="431">
        <f t="shared" ref="DH149" si="2768">(((DG149*(1+($B$42*$B$4)))-DG149)/12)+DG149</f>
        <v>0</v>
      </c>
      <c r="DI149" s="431">
        <f t="shared" ref="DI149" si="2769">(((DH149*(1+($B$42*$B$4)))-DH149)/12)+DH149</f>
        <v>0</v>
      </c>
      <c r="DJ149" s="431">
        <f t="shared" ref="DJ149" si="2770">(((DI149*(1+($B$42*$B$4)))-DI149)/12)+DI149</f>
        <v>0</v>
      </c>
      <c r="DK149" s="431">
        <f t="shared" ref="DK149" si="2771">(((DJ149*(1+($B$42*$B$4)))-DJ149)/12)+DJ149</f>
        <v>0</v>
      </c>
      <c r="DL149" s="431">
        <f t="shared" ref="DL149" si="2772">(((DK149*(1+($B$42*$B$4)))-DK149)/12)+DK149</f>
        <v>0</v>
      </c>
      <c r="DM149" s="431">
        <f t="shared" ref="DM149" si="2773">(((DL149*(1+($B$42*$B$4)))-DL149)/12)+DL149</f>
        <v>0</v>
      </c>
      <c r="DN149" s="431">
        <f t="shared" ref="DN149" si="2774">(((DM149*(1+($B$42*$B$4)))-DM149)/12)+DM149</f>
        <v>0</v>
      </c>
      <c r="DO149" s="432">
        <f t="shared" ref="DO149" si="2775">(((DN149*(1+($B$43*$B$4)))-DN149)/12)+DN149</f>
        <v>0</v>
      </c>
      <c r="DP149" s="431">
        <f t="shared" ref="DP149" si="2776">(((DO149*(1+($B$43*$B$4)))-DO149)/12)+DO149</f>
        <v>0</v>
      </c>
      <c r="DQ149" s="431">
        <f t="shared" ref="DQ149" si="2777">(((DP149*(1+($B$43*$B$4)))-DP149)/12)+DP149</f>
        <v>0</v>
      </c>
      <c r="DR149" s="431">
        <f t="shared" ref="DR149" si="2778">(((DQ149*(1+($B$43*$B$4)))-DQ149)/12)+DQ149</f>
        <v>0</v>
      </c>
      <c r="DS149" s="431">
        <f t="shared" ref="DS149" si="2779">(((DR149*(1+($B$43*$B$4)))-DR149)/12)+DR149</f>
        <v>0</v>
      </c>
      <c r="DT149" s="431">
        <f t="shared" ref="DT149" si="2780">(((DS149*(1+($B$43*$B$4)))-DS149)/12)+DS149</f>
        <v>0</v>
      </c>
      <c r="DU149" s="431">
        <f t="shared" ref="DU149" si="2781">(((DT149*(1+($B$43*$B$4)))-DT149)/12)+DT149</f>
        <v>0</v>
      </c>
      <c r="DV149" s="431">
        <f t="shared" ref="DV149" si="2782">(((DU149*(1+($B$43*$B$4)))-DU149)/12)+DU149</f>
        <v>0</v>
      </c>
      <c r="DW149" s="431">
        <f t="shared" ref="DW149" si="2783">(((DV149*(1+($B$43*$B$4)))-DV149)/12)+DV149</f>
        <v>0</v>
      </c>
      <c r="DX149" s="431">
        <f t="shared" ref="DX149" si="2784">(((DW149*(1+($B$43*$B$4)))-DW149)/12)+DW149</f>
        <v>0</v>
      </c>
      <c r="DY149" s="431">
        <f t="shared" ref="DY149" si="2785">(((DX149*(1+($B$43*$B$4)))-DX149)/12)+DX149</f>
        <v>0</v>
      </c>
      <c r="DZ149" s="431">
        <f t="shared" ref="DZ149" si="2786">(((DY149*(1+($B$43*$B$4)))-DY149)/12)+DY149</f>
        <v>0</v>
      </c>
      <c r="EA149" s="432">
        <f>(((DZ149*(1+($B$44*$B$4)))-DZ149)/12)+DZ149</f>
        <v>0</v>
      </c>
      <c r="EB149" s="431">
        <f>(((EA149*(1+($B$44*$B$4)))-EA149)/12)+EA149</f>
        <v>0</v>
      </c>
      <c r="EC149" s="431">
        <f>(((EB149*(1+($B$44*$B$4)))-EB149)/12)+EB149</f>
        <v>0</v>
      </c>
      <c r="ED149" s="433">
        <f>(((EC149*(1+($B$44*$B$4)))-EC149)/12)+EC149</f>
        <v>0</v>
      </c>
    </row>
    <row r="150" spans="3:134" ht="15.75" outlineLevel="1" thickBot="1" x14ac:dyDescent="0.3">
      <c r="C150" s="476"/>
      <c r="D150" s="744"/>
      <c r="E150" s="744"/>
      <c r="F150" s="744"/>
      <c r="G150" s="744"/>
      <c r="H150" s="744"/>
      <c r="I150" s="744"/>
      <c r="J150" s="744"/>
      <c r="K150" s="744"/>
      <c r="L150" s="434"/>
      <c r="M150" s="435"/>
      <c r="N150" s="473"/>
      <c r="O150" s="474"/>
      <c r="P150" s="437"/>
      <c r="Q150" s="437"/>
      <c r="R150" s="438"/>
      <c r="S150" s="437"/>
      <c r="T150" s="437"/>
      <c r="U150" s="435"/>
      <c r="V150" s="440">
        <f>ROUNDUP((ROUNDUP(U150/37.5/0.82,0))+((ROUNDUP(U150/37.5/0.82,0))/4),0)</f>
        <v>0</v>
      </c>
      <c r="W150" s="441">
        <f t="shared" ref="W150:CH150" si="2787">ROUNDUP($V150*(W149/100),0)</f>
        <v>0</v>
      </c>
      <c r="X150" s="442">
        <f t="shared" si="2787"/>
        <v>0</v>
      </c>
      <c r="Y150" s="442">
        <f t="shared" si="2787"/>
        <v>0</v>
      </c>
      <c r="Z150" s="442">
        <f t="shared" si="2787"/>
        <v>0</v>
      </c>
      <c r="AA150" s="442">
        <f t="shared" si="2787"/>
        <v>0</v>
      </c>
      <c r="AB150" s="442">
        <f t="shared" si="2787"/>
        <v>0</v>
      </c>
      <c r="AC150" s="442">
        <f t="shared" si="2787"/>
        <v>0</v>
      </c>
      <c r="AD150" s="442">
        <f t="shared" si="2787"/>
        <v>0</v>
      </c>
      <c r="AE150" s="442">
        <f t="shared" si="2787"/>
        <v>0</v>
      </c>
      <c r="AF150" s="442">
        <f t="shared" si="2787"/>
        <v>0</v>
      </c>
      <c r="AG150" s="442">
        <f t="shared" si="2787"/>
        <v>0</v>
      </c>
      <c r="AH150" s="442">
        <f t="shared" si="2787"/>
        <v>0</v>
      </c>
      <c r="AI150" s="443">
        <f t="shared" si="2787"/>
        <v>0</v>
      </c>
      <c r="AJ150" s="442">
        <f t="shared" si="2787"/>
        <v>0</v>
      </c>
      <c r="AK150" s="442">
        <f t="shared" si="2787"/>
        <v>0</v>
      </c>
      <c r="AL150" s="442">
        <f t="shared" si="2787"/>
        <v>0</v>
      </c>
      <c r="AM150" s="442">
        <f t="shared" si="2787"/>
        <v>0</v>
      </c>
      <c r="AN150" s="442">
        <f t="shared" si="2787"/>
        <v>0</v>
      </c>
      <c r="AO150" s="442">
        <f t="shared" si="2787"/>
        <v>0</v>
      </c>
      <c r="AP150" s="442">
        <f t="shared" si="2787"/>
        <v>0</v>
      </c>
      <c r="AQ150" s="442">
        <f t="shared" si="2787"/>
        <v>0</v>
      </c>
      <c r="AR150" s="442">
        <f t="shared" si="2787"/>
        <v>0</v>
      </c>
      <c r="AS150" s="442">
        <f t="shared" si="2787"/>
        <v>0</v>
      </c>
      <c r="AT150" s="442">
        <f t="shared" si="2787"/>
        <v>0</v>
      </c>
      <c r="AU150" s="443">
        <f t="shared" si="2787"/>
        <v>0</v>
      </c>
      <c r="AV150" s="442">
        <f t="shared" si="2787"/>
        <v>0</v>
      </c>
      <c r="AW150" s="442">
        <f t="shared" si="2787"/>
        <v>0</v>
      </c>
      <c r="AX150" s="442">
        <f t="shared" si="2787"/>
        <v>0</v>
      </c>
      <c r="AY150" s="442">
        <f t="shared" si="2787"/>
        <v>0</v>
      </c>
      <c r="AZ150" s="442">
        <f t="shared" si="2787"/>
        <v>0</v>
      </c>
      <c r="BA150" s="442">
        <f t="shared" si="2787"/>
        <v>0</v>
      </c>
      <c r="BB150" s="442">
        <f t="shared" si="2787"/>
        <v>0</v>
      </c>
      <c r="BC150" s="442">
        <f t="shared" si="2787"/>
        <v>0</v>
      </c>
      <c r="BD150" s="442">
        <f t="shared" si="2787"/>
        <v>0</v>
      </c>
      <c r="BE150" s="442">
        <f t="shared" si="2787"/>
        <v>0</v>
      </c>
      <c r="BF150" s="442">
        <f t="shared" si="2787"/>
        <v>0</v>
      </c>
      <c r="BG150" s="443">
        <f t="shared" si="2787"/>
        <v>0</v>
      </c>
      <c r="BH150" s="442">
        <f t="shared" si="2787"/>
        <v>0</v>
      </c>
      <c r="BI150" s="442">
        <f t="shared" si="2787"/>
        <v>0</v>
      </c>
      <c r="BJ150" s="442">
        <f t="shared" si="2787"/>
        <v>0</v>
      </c>
      <c r="BK150" s="442">
        <f t="shared" si="2787"/>
        <v>0</v>
      </c>
      <c r="BL150" s="442">
        <f t="shared" si="2787"/>
        <v>0</v>
      </c>
      <c r="BM150" s="442">
        <f t="shared" si="2787"/>
        <v>0</v>
      </c>
      <c r="BN150" s="442">
        <f t="shared" si="2787"/>
        <v>0</v>
      </c>
      <c r="BO150" s="442">
        <f t="shared" si="2787"/>
        <v>0</v>
      </c>
      <c r="BP150" s="442">
        <f t="shared" si="2787"/>
        <v>0</v>
      </c>
      <c r="BQ150" s="442">
        <f t="shared" si="2787"/>
        <v>0</v>
      </c>
      <c r="BR150" s="442">
        <f t="shared" si="2787"/>
        <v>0</v>
      </c>
      <c r="BS150" s="443">
        <f t="shared" si="2787"/>
        <v>0</v>
      </c>
      <c r="BT150" s="442">
        <f t="shared" si="2787"/>
        <v>0</v>
      </c>
      <c r="BU150" s="442">
        <f t="shared" si="2787"/>
        <v>0</v>
      </c>
      <c r="BV150" s="442">
        <f t="shared" si="2787"/>
        <v>0</v>
      </c>
      <c r="BW150" s="442">
        <f t="shared" si="2787"/>
        <v>0</v>
      </c>
      <c r="BX150" s="442">
        <f t="shared" si="2787"/>
        <v>0</v>
      </c>
      <c r="BY150" s="442">
        <f t="shared" si="2787"/>
        <v>0</v>
      </c>
      <c r="BZ150" s="442">
        <f t="shared" si="2787"/>
        <v>0</v>
      </c>
      <c r="CA150" s="442">
        <f t="shared" si="2787"/>
        <v>0</v>
      </c>
      <c r="CB150" s="442">
        <f t="shared" si="2787"/>
        <v>0</v>
      </c>
      <c r="CC150" s="442">
        <f t="shared" si="2787"/>
        <v>0</v>
      </c>
      <c r="CD150" s="442">
        <f t="shared" si="2787"/>
        <v>0</v>
      </c>
      <c r="CE150" s="443">
        <f t="shared" si="2787"/>
        <v>0</v>
      </c>
      <c r="CF150" s="442">
        <f t="shared" si="2787"/>
        <v>0</v>
      </c>
      <c r="CG150" s="442">
        <f t="shared" si="2787"/>
        <v>0</v>
      </c>
      <c r="CH150" s="442">
        <f t="shared" si="2787"/>
        <v>0</v>
      </c>
      <c r="CI150" s="442">
        <f t="shared" ref="CI150:ED150" si="2788">ROUNDUP($V150*(CI149/100),0)</f>
        <v>0</v>
      </c>
      <c r="CJ150" s="442">
        <f t="shared" si="2788"/>
        <v>0</v>
      </c>
      <c r="CK150" s="442">
        <f t="shared" si="2788"/>
        <v>0</v>
      </c>
      <c r="CL150" s="442">
        <f t="shared" si="2788"/>
        <v>0</v>
      </c>
      <c r="CM150" s="442">
        <f t="shared" si="2788"/>
        <v>0</v>
      </c>
      <c r="CN150" s="442">
        <f t="shared" si="2788"/>
        <v>0</v>
      </c>
      <c r="CO150" s="442">
        <f t="shared" si="2788"/>
        <v>0</v>
      </c>
      <c r="CP150" s="442">
        <f t="shared" si="2788"/>
        <v>0</v>
      </c>
      <c r="CQ150" s="443">
        <f t="shared" si="2788"/>
        <v>0</v>
      </c>
      <c r="CR150" s="442">
        <f t="shared" si="2788"/>
        <v>0</v>
      </c>
      <c r="CS150" s="442">
        <f t="shared" si="2788"/>
        <v>0</v>
      </c>
      <c r="CT150" s="442">
        <f t="shared" si="2788"/>
        <v>0</v>
      </c>
      <c r="CU150" s="442">
        <f t="shared" si="2788"/>
        <v>0</v>
      </c>
      <c r="CV150" s="442">
        <f t="shared" si="2788"/>
        <v>0</v>
      </c>
      <c r="CW150" s="442">
        <f t="shared" si="2788"/>
        <v>0</v>
      </c>
      <c r="CX150" s="442">
        <f t="shared" si="2788"/>
        <v>0</v>
      </c>
      <c r="CY150" s="442">
        <f t="shared" si="2788"/>
        <v>0</v>
      </c>
      <c r="CZ150" s="442">
        <f t="shared" si="2788"/>
        <v>0</v>
      </c>
      <c r="DA150" s="442">
        <f t="shared" si="2788"/>
        <v>0</v>
      </c>
      <c r="DB150" s="442">
        <f t="shared" si="2788"/>
        <v>0</v>
      </c>
      <c r="DC150" s="443">
        <f t="shared" si="2788"/>
        <v>0</v>
      </c>
      <c r="DD150" s="442">
        <f t="shared" si="2788"/>
        <v>0</v>
      </c>
      <c r="DE150" s="442">
        <f t="shared" si="2788"/>
        <v>0</v>
      </c>
      <c r="DF150" s="442">
        <f t="shared" si="2788"/>
        <v>0</v>
      </c>
      <c r="DG150" s="442">
        <f t="shared" si="2788"/>
        <v>0</v>
      </c>
      <c r="DH150" s="442">
        <f t="shared" si="2788"/>
        <v>0</v>
      </c>
      <c r="DI150" s="442">
        <f t="shared" si="2788"/>
        <v>0</v>
      </c>
      <c r="DJ150" s="442">
        <f t="shared" si="2788"/>
        <v>0</v>
      </c>
      <c r="DK150" s="442">
        <f t="shared" si="2788"/>
        <v>0</v>
      </c>
      <c r="DL150" s="442">
        <f t="shared" si="2788"/>
        <v>0</v>
      </c>
      <c r="DM150" s="442">
        <f t="shared" si="2788"/>
        <v>0</v>
      </c>
      <c r="DN150" s="442">
        <f t="shared" si="2788"/>
        <v>0</v>
      </c>
      <c r="DO150" s="443">
        <f t="shared" si="2788"/>
        <v>0</v>
      </c>
      <c r="DP150" s="442">
        <f t="shared" si="2788"/>
        <v>0</v>
      </c>
      <c r="DQ150" s="442">
        <f t="shared" si="2788"/>
        <v>0</v>
      </c>
      <c r="DR150" s="442">
        <f t="shared" si="2788"/>
        <v>0</v>
      </c>
      <c r="DS150" s="442">
        <f t="shared" si="2788"/>
        <v>0</v>
      </c>
      <c r="DT150" s="442">
        <f t="shared" si="2788"/>
        <v>0</v>
      </c>
      <c r="DU150" s="442">
        <f t="shared" si="2788"/>
        <v>0</v>
      </c>
      <c r="DV150" s="442">
        <f t="shared" si="2788"/>
        <v>0</v>
      </c>
      <c r="DW150" s="442">
        <f t="shared" si="2788"/>
        <v>0</v>
      </c>
      <c r="DX150" s="442">
        <f t="shared" si="2788"/>
        <v>0</v>
      </c>
      <c r="DY150" s="442">
        <f t="shared" si="2788"/>
        <v>0</v>
      </c>
      <c r="DZ150" s="442">
        <f t="shared" si="2788"/>
        <v>0</v>
      </c>
      <c r="EA150" s="443">
        <f t="shared" si="2788"/>
        <v>0</v>
      </c>
      <c r="EB150" s="442">
        <f t="shared" si="2788"/>
        <v>0</v>
      </c>
      <c r="EC150" s="442">
        <f t="shared" si="2788"/>
        <v>0</v>
      </c>
      <c r="ED150" s="444">
        <f t="shared" si="2788"/>
        <v>0</v>
      </c>
    </row>
    <row r="151" spans="3:134" x14ac:dyDescent="0.25">
      <c r="V151"/>
    </row>
    <row r="152" spans="3:134" x14ac:dyDescent="0.25">
      <c r="E152" s="11"/>
      <c r="F152" s="11"/>
      <c r="G152" s="11"/>
      <c r="H152" s="11"/>
      <c r="I152" s="11"/>
      <c r="J152" s="11"/>
      <c r="K152" s="11"/>
    </row>
    <row r="153" spans="3:134" x14ac:dyDescent="0.25">
      <c r="E153" s="11"/>
      <c r="F153" s="11"/>
      <c r="G153" s="11"/>
      <c r="H153" s="11"/>
      <c r="I153" s="11"/>
      <c r="J153" s="11"/>
      <c r="K153" s="11"/>
      <c r="U153" s="40"/>
      <c r="V153"/>
    </row>
    <row r="154" spans="3:134" x14ac:dyDescent="0.25">
      <c r="L154" s="11"/>
      <c r="M154" s="11"/>
      <c r="O154" s="11"/>
      <c r="P154" s="11"/>
      <c r="Q154" s="11"/>
      <c r="R154" s="11"/>
      <c r="S154" s="11"/>
      <c r="T154" s="11"/>
      <c r="U154" s="7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</row>
    <row r="155" spans="3:134" x14ac:dyDescent="0.25">
      <c r="U155" s="40"/>
      <c r="V155"/>
    </row>
    <row r="156" spans="3:134" x14ac:dyDescent="0.25">
      <c r="K156" s="11"/>
      <c r="U156" s="40"/>
      <c r="V156"/>
    </row>
    <row r="157" spans="3:134" x14ac:dyDescent="0.25">
      <c r="U157" s="40"/>
      <c r="V157"/>
    </row>
    <row r="158" spans="3:134" x14ac:dyDescent="0.25">
      <c r="U158" s="40"/>
      <c r="V158"/>
    </row>
    <row r="159" spans="3:134" x14ac:dyDescent="0.25">
      <c r="U159" s="40"/>
      <c r="V159"/>
    </row>
    <row r="160" spans="3:134" x14ac:dyDescent="0.25">
      <c r="U160" s="40"/>
      <c r="V160"/>
    </row>
    <row r="161" spans="21:22" x14ac:dyDescent="0.25">
      <c r="U161" s="40"/>
      <c r="V161"/>
    </row>
    <row r="162" spans="21:22" x14ac:dyDescent="0.25">
      <c r="U162" s="40"/>
      <c r="V162"/>
    </row>
    <row r="163" spans="21:22" x14ac:dyDescent="0.25">
      <c r="U163" s="40"/>
      <c r="V163"/>
    </row>
    <row r="164" spans="21:22" x14ac:dyDescent="0.25">
      <c r="U164" s="40"/>
      <c r="V164"/>
    </row>
    <row r="165" spans="21:22" x14ac:dyDescent="0.25">
      <c r="U165" s="40"/>
      <c r="V165"/>
    </row>
    <row r="166" spans="21:22" x14ac:dyDescent="0.25">
      <c r="U166" s="40"/>
      <c r="V166"/>
    </row>
  </sheetData>
  <mergeCells count="118">
    <mergeCell ref="D149:K150"/>
    <mergeCell ref="D137:K138"/>
    <mergeCell ref="D139:K140"/>
    <mergeCell ref="D141:K142"/>
    <mergeCell ref="D143:K144"/>
    <mergeCell ref="D145:K146"/>
    <mergeCell ref="D127:K128"/>
    <mergeCell ref="D129:K130"/>
    <mergeCell ref="D131:K132"/>
    <mergeCell ref="D133:K134"/>
    <mergeCell ref="D135:K136"/>
    <mergeCell ref="U1:U5"/>
    <mergeCell ref="D79:K80"/>
    <mergeCell ref="D81:K82"/>
    <mergeCell ref="D83:K84"/>
    <mergeCell ref="D43:L43"/>
    <mergeCell ref="D44:L44"/>
    <mergeCell ref="D57:L57"/>
    <mergeCell ref="D147:K148"/>
    <mergeCell ref="D97:L97"/>
    <mergeCell ref="D58:L58"/>
    <mergeCell ref="D71:L71"/>
    <mergeCell ref="D72:L72"/>
    <mergeCell ref="D95:L95"/>
    <mergeCell ref="D96:L96"/>
    <mergeCell ref="D45:L45"/>
    <mergeCell ref="D59:L59"/>
    <mergeCell ref="D73:L73"/>
    <mergeCell ref="D41:K42"/>
    <mergeCell ref="C4:K4"/>
    <mergeCell ref="S1:S5"/>
    <mergeCell ref="Q1:Q5"/>
    <mergeCell ref="C2:K2"/>
    <mergeCell ref="C3:K3"/>
    <mergeCell ref="D35:K36"/>
    <mergeCell ref="J20:J21"/>
    <mergeCell ref="A34:B34"/>
    <mergeCell ref="D115:K116"/>
    <mergeCell ref="A48:B48"/>
    <mergeCell ref="D51:K52"/>
    <mergeCell ref="D55:K56"/>
    <mergeCell ref="D63:K64"/>
    <mergeCell ref="D65:K66"/>
    <mergeCell ref="D67:K68"/>
    <mergeCell ref="D69:K70"/>
    <mergeCell ref="A64:B64"/>
    <mergeCell ref="C34:C99"/>
    <mergeCell ref="D53:K54"/>
    <mergeCell ref="DU3:DW3"/>
    <mergeCell ref="DX3:DZ3"/>
    <mergeCell ref="AL3:AN3"/>
    <mergeCell ref="AO3:AQ3"/>
    <mergeCell ref="BD3:BF3"/>
    <mergeCell ref="CQ3:CS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CN3:CP3"/>
    <mergeCell ref="BG3:BI3"/>
    <mergeCell ref="AR3:AT3"/>
    <mergeCell ref="AU3:AW3"/>
    <mergeCell ref="AX3:AZ3"/>
    <mergeCell ref="BA3:BC3"/>
    <mergeCell ref="W1:ED2"/>
    <mergeCell ref="W3:Y3"/>
    <mergeCell ref="Z3:AB3"/>
    <mergeCell ref="AC3:AE3"/>
    <mergeCell ref="AF3:AH3"/>
    <mergeCell ref="AI3:AK3"/>
    <mergeCell ref="D121:K122"/>
    <mergeCell ref="D123:K124"/>
    <mergeCell ref="D105:K106"/>
    <mergeCell ref="D101:K102"/>
    <mergeCell ref="D103:K104"/>
    <mergeCell ref="EA3:EC3"/>
    <mergeCell ref="CT3:CV3"/>
    <mergeCell ref="CW3:CY3"/>
    <mergeCell ref="CZ3:DB3"/>
    <mergeCell ref="DC3:DE3"/>
    <mergeCell ref="DF3:DH3"/>
    <mergeCell ref="DI3:DK3"/>
    <mergeCell ref="DL3:DN3"/>
    <mergeCell ref="DO3:DQ3"/>
    <mergeCell ref="DR3:DT3"/>
    <mergeCell ref="V1:V5"/>
    <mergeCell ref="D37:K38"/>
    <mergeCell ref="D39:K40"/>
    <mergeCell ref="T1:T5"/>
    <mergeCell ref="S45:T45"/>
    <mergeCell ref="D46:M46"/>
    <mergeCell ref="S59:T59"/>
    <mergeCell ref="S73:T73"/>
    <mergeCell ref="S97:T97"/>
    <mergeCell ref="D117:K118"/>
    <mergeCell ref="D119:K120"/>
    <mergeCell ref="D107:K108"/>
    <mergeCell ref="D109:K110"/>
    <mergeCell ref="D111:K112"/>
    <mergeCell ref="D113:K114"/>
    <mergeCell ref="D49:K50"/>
    <mergeCell ref="D85:K86"/>
    <mergeCell ref="D87:K88"/>
    <mergeCell ref="D89:K90"/>
    <mergeCell ref="D91:K92"/>
    <mergeCell ref="D93:K94"/>
    <mergeCell ref="D77:K78"/>
    <mergeCell ref="M1:M5"/>
    <mergeCell ref="N1:N5"/>
    <mergeCell ref="O1:O5"/>
    <mergeCell ref="P1:P5"/>
    <mergeCell ref="R1:R5"/>
  </mergeCells>
  <phoneticPr fontId="11" type="noConversion"/>
  <conditionalFormatting sqref="W3:EC3">
    <cfRule type="cellIs" dxfId="71" priority="230" operator="equal">
      <formula>2029</formula>
    </cfRule>
    <cfRule type="cellIs" dxfId="70" priority="231" operator="equal">
      <formula>2027</formula>
    </cfRule>
    <cfRule type="cellIs" dxfId="69" priority="232" operator="equal">
      <formula>2025</formula>
    </cfRule>
    <cfRule type="cellIs" dxfId="68" priority="233" operator="equal">
      <formula>2023</formula>
    </cfRule>
    <cfRule type="cellIs" dxfId="67" priority="234" operator="equal">
      <formula>2021</formula>
    </cfRule>
  </conditionalFormatting>
  <conditionalFormatting sqref="W35:ED35 W37:ED37 W39:ED39 W41:ED41 W49:ED49 W51:ED51 W55:ED55 W77:ED77 W79:ED79 W81:ED81 W83:ED83 W85:ED85 W87:ED87 W89:ED89 W91:ED91 W93:ED93 W63:ED63 W95:ED95 W65:ED65 W67:ED67 W69:ED69 W71:ED71 W57:ED57 W43:ED43">
    <cfRule type="cellIs" dxfId="66" priority="229" operator="greaterThan">
      <formula>79.9</formula>
    </cfRule>
  </conditionalFormatting>
  <conditionalFormatting sqref="W35:ED35 W37:ED37 W39:ED39 W41:ED41 W49:ED49 W51:ED51 W55:ED55 W77:ED77 W79:ED79 W81:ED81 W83:ED83 W85:ED85 W87:ED87 W89:ED89 W91:ED91 W93:ED93 W63:ED63 W95:ED95 W65:ED65 W67:ED67 W69:ED69 W71:ED71 W57:ED57 W43:ED43">
    <cfRule type="cellIs" dxfId="65" priority="228" operator="lessThan">
      <formula>79.9</formula>
    </cfRule>
  </conditionalFormatting>
  <conditionalFormatting sqref="N35:P3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P3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P4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P4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P49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P5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P5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:P6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P6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:P6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:P69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:P7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P79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P8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:P8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:P8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P8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:P8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P91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P93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:T9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 R77 R69 R67 R65 R79 R81 R83 R85 R87 R89 R91 R93">
    <cfRule type="iconSet" priority="165">
      <iconSet iconSet="3Symbols">
        <cfvo type="percent" val="0"/>
        <cfvo type="percent" val="33"/>
        <cfvo type="percent" val="67"/>
      </iconSet>
    </cfRule>
  </conditionalFormatting>
  <conditionalFormatting sqref="W40:ED40 W10:AH29 AJ10:AT29 AV10:BF29 BH10:BR29 BT10:CD29 CF10:CP29 CR10:DB29 DD10:DN29 DP10:DZ29 EB10:ED29">
    <cfRule type="cellIs" dxfId="64" priority="159" operator="greaterThan">
      <formula>V10</formula>
    </cfRule>
  </conditionalFormatting>
  <conditionalFormatting sqref="W38:ED38">
    <cfRule type="cellIs" dxfId="63" priority="157" operator="greaterThan">
      <formula>V38</formula>
    </cfRule>
  </conditionalFormatting>
  <conditionalFormatting sqref="W36:ED36">
    <cfRule type="cellIs" dxfId="62" priority="156" operator="greaterThan">
      <formula>V36</formula>
    </cfRule>
  </conditionalFormatting>
  <conditionalFormatting sqref="W42:ED42">
    <cfRule type="cellIs" dxfId="61" priority="155" operator="greaterThan">
      <formula>V42</formula>
    </cfRule>
  </conditionalFormatting>
  <conditionalFormatting sqref="W34:ED34">
    <cfRule type="cellIs" dxfId="60" priority="154" operator="greaterThan">
      <formula>V34</formula>
    </cfRule>
  </conditionalFormatting>
  <conditionalFormatting sqref="W48:ED48">
    <cfRule type="cellIs" dxfId="59" priority="153" operator="greaterThan">
      <formula>V48</formula>
    </cfRule>
  </conditionalFormatting>
  <conditionalFormatting sqref="W50:ED50">
    <cfRule type="cellIs" dxfId="58" priority="152" operator="greaterThan">
      <formula>V50</formula>
    </cfRule>
  </conditionalFormatting>
  <conditionalFormatting sqref="W52:ED52 W54:ED54">
    <cfRule type="cellIs" dxfId="57" priority="151" operator="greaterThan">
      <formula>V52</formula>
    </cfRule>
  </conditionalFormatting>
  <conditionalFormatting sqref="W56:ED56">
    <cfRule type="cellIs" dxfId="56" priority="150" operator="greaterThan">
      <formula>V56</formula>
    </cfRule>
  </conditionalFormatting>
  <conditionalFormatting sqref="W9:ED9 W32:AH32 AJ32:AT32 AV32:BF32 BH32:BR32 BT32:CD32 CF32:CP32 CR32:DB32 DD32:DN32 DP32:DZ32 EB32:ED32 W30:ED31">
    <cfRule type="cellIs" dxfId="55" priority="148" operator="greaterThan">
      <formula>V9</formula>
    </cfRule>
  </conditionalFormatting>
  <conditionalFormatting sqref="EA64:ED64">
    <cfRule type="cellIs" dxfId="54" priority="147" operator="greaterThan">
      <formula>DZ64</formula>
    </cfRule>
  </conditionalFormatting>
  <conditionalFormatting sqref="W66:ED66">
    <cfRule type="cellIs" dxfId="53" priority="146" operator="greaterThan">
      <formula>V66</formula>
    </cfRule>
  </conditionalFormatting>
  <conditionalFormatting sqref="W68:ED68">
    <cfRule type="cellIs" dxfId="52" priority="145" operator="greaterThan">
      <formula>V68</formula>
    </cfRule>
  </conditionalFormatting>
  <conditionalFormatting sqref="W70:ED70">
    <cfRule type="cellIs" dxfId="51" priority="144" operator="greaterThan">
      <formula>V70</formula>
    </cfRule>
  </conditionalFormatting>
  <conditionalFormatting sqref="W78:ED78">
    <cfRule type="cellIs" dxfId="50" priority="141" operator="greaterThan">
      <formula>V78</formula>
    </cfRule>
  </conditionalFormatting>
  <conditionalFormatting sqref="W94:ED94 W92:ED92 W90:ED90 W88:ED88 W86:ED86 W84:ED84 W82:ED82 W80:ED80">
    <cfRule type="cellIs" dxfId="49" priority="140" operator="greaterThan">
      <formula>V80</formula>
    </cfRule>
  </conditionalFormatting>
  <conditionalFormatting sqref="N95:P9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iconSet" priority="134">
      <iconSet iconSet="3Symbols">
        <cfvo type="percent" val="0"/>
        <cfvo type="percent" val="33"/>
        <cfvo type="percent" val="67"/>
      </iconSet>
    </cfRule>
  </conditionalFormatting>
  <conditionalFormatting sqref="W101:ED101 W103:ED103 W107:ED107 W109:ED109 W111:ED111 W113:ED113 W115:ED115">
    <cfRule type="cellIs" dxfId="48" priority="127" operator="greaterThan">
      <formula>79.9</formula>
    </cfRule>
  </conditionalFormatting>
  <conditionalFormatting sqref="W101:ED101 W103:ED103 W107:ED107 W109:ED109 W111:ED111 W113:ED113 W115:ED115">
    <cfRule type="cellIs" dxfId="47" priority="126" operator="lessThan">
      <formula>79.9</formula>
    </cfRule>
  </conditionalFormatting>
  <conditionalFormatting sqref="N101:P10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:P10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P10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:P11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:P11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:P11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 R101 R103 R107 R109 R111 R113">
    <cfRule type="iconSet" priority="115">
      <iconSet iconSet="3Symbols">
        <cfvo type="percent" val="0"/>
        <cfvo type="percent" val="33"/>
        <cfvo type="percent" val="67"/>
      </iconSet>
    </cfRule>
  </conditionalFormatting>
  <conditionalFormatting sqref="W102:ED102">
    <cfRule type="cellIs" dxfId="46" priority="114" operator="greaterThan">
      <formula>V102</formula>
    </cfRule>
  </conditionalFormatting>
  <conditionalFormatting sqref="W116:ED116 W114:ED114 W112:ED112 W110:ED110 W108:ED108 W104:ED104">
    <cfRule type="cellIs" dxfId="45" priority="113" operator="greaterThan">
      <formula>V104</formula>
    </cfRule>
  </conditionalFormatting>
  <conditionalFormatting sqref="W119:ED119">
    <cfRule type="cellIs" dxfId="44" priority="109" operator="greaterThan">
      <formula>79.9</formula>
    </cfRule>
  </conditionalFormatting>
  <conditionalFormatting sqref="W119:ED119">
    <cfRule type="cellIs" dxfId="43" priority="108" operator="lessThan">
      <formula>79.9</formula>
    </cfRule>
  </conditionalFormatting>
  <conditionalFormatting sqref="N119:P11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">
    <cfRule type="iconSet" priority="104">
      <iconSet iconSet="3Symbols">
        <cfvo type="percent" val="0"/>
        <cfvo type="percent" val="33"/>
        <cfvo type="percent" val="67"/>
      </iconSet>
    </cfRule>
  </conditionalFormatting>
  <conditionalFormatting sqref="W120:ED120">
    <cfRule type="cellIs" dxfId="42" priority="103" operator="greaterThan">
      <formula>V120</formula>
    </cfRule>
  </conditionalFormatting>
  <conditionalFormatting sqref="W117:ED117">
    <cfRule type="cellIs" dxfId="41" priority="93" operator="greaterThan">
      <formula>79.9</formula>
    </cfRule>
  </conditionalFormatting>
  <conditionalFormatting sqref="W117:ED117">
    <cfRule type="cellIs" dxfId="40" priority="92" operator="lessThan">
      <formula>79.9</formula>
    </cfRule>
  </conditionalFormatting>
  <conditionalFormatting sqref="N117:P11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7">
    <cfRule type="iconSet" priority="90">
      <iconSet iconSet="3Symbols">
        <cfvo type="percent" val="0"/>
        <cfvo type="percent" val="33"/>
        <cfvo type="percent" val="67"/>
      </iconSet>
    </cfRule>
  </conditionalFormatting>
  <conditionalFormatting sqref="W118:ED118">
    <cfRule type="cellIs" dxfId="39" priority="89" operator="greaterThan">
      <formula>V118</formula>
    </cfRule>
  </conditionalFormatting>
  <conditionalFormatting sqref="W121:ED121">
    <cfRule type="cellIs" dxfId="38" priority="88" operator="greaterThan">
      <formula>79.9</formula>
    </cfRule>
  </conditionalFormatting>
  <conditionalFormatting sqref="W121:ED121">
    <cfRule type="cellIs" dxfId="37" priority="87" operator="lessThan">
      <formula>79.9</formula>
    </cfRule>
  </conditionalFormatting>
  <conditionalFormatting sqref="N121:P12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1">
    <cfRule type="iconSet" priority="85">
      <iconSet iconSet="3Symbols">
        <cfvo type="percent" val="0"/>
        <cfvo type="percent" val="33"/>
        <cfvo type="percent" val="67"/>
      </iconSet>
    </cfRule>
  </conditionalFormatting>
  <conditionalFormatting sqref="W122:ED122">
    <cfRule type="cellIs" dxfId="36" priority="84" operator="greaterThan">
      <formula>V122</formula>
    </cfRule>
  </conditionalFormatting>
  <conditionalFormatting sqref="W105:ED105">
    <cfRule type="cellIs" dxfId="35" priority="83" operator="greaterThan">
      <formula>79.9</formula>
    </cfRule>
  </conditionalFormatting>
  <conditionalFormatting sqref="W105:ED105">
    <cfRule type="cellIs" dxfId="34" priority="82" operator="lessThan">
      <formula>79.9</formula>
    </cfRule>
  </conditionalFormatting>
  <conditionalFormatting sqref="N105:P10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iconSet" priority="80">
      <iconSet iconSet="3Symbols">
        <cfvo type="percent" val="0"/>
        <cfvo type="percent" val="33"/>
        <cfvo type="percent" val="67"/>
      </iconSet>
    </cfRule>
  </conditionalFormatting>
  <conditionalFormatting sqref="W106:ED106">
    <cfRule type="cellIs" dxfId="33" priority="79" operator="greaterThan">
      <formula>V106</formula>
    </cfRule>
  </conditionalFormatting>
  <conditionalFormatting sqref="W8:ED8">
    <cfRule type="cellIs" dxfId="32" priority="77" operator="greaterThan">
      <formula>V8</formula>
    </cfRule>
  </conditionalFormatting>
  <conditionalFormatting sqref="W100:ED100">
    <cfRule type="cellIs" dxfId="31" priority="76" operator="greaterThan">
      <formula>V100</formula>
    </cfRule>
  </conditionalFormatting>
  <conditionalFormatting sqref="W127:ED127 W129:ED129 W133:ED133 W135:ED135 W137:ED137 W139:ED139 W141:ED141">
    <cfRule type="cellIs" dxfId="30" priority="75" operator="greaterThan">
      <formula>79.9</formula>
    </cfRule>
  </conditionalFormatting>
  <conditionalFormatting sqref="W127:ED127 W129:ED129 W133:ED133 W135:ED135 W137:ED137 W139:ED139 W141:ED141">
    <cfRule type="cellIs" dxfId="29" priority="74" operator="lessThan">
      <formula>79.9</formula>
    </cfRule>
  </conditionalFormatting>
  <conditionalFormatting sqref="N127:P12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9:P12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3:P13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P13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7:P13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9:P13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1:P14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1 R127 R129 R133 R135 R137 R139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W128:ED128">
    <cfRule type="cellIs" dxfId="28" priority="65" operator="greaterThan">
      <formula>V128</formula>
    </cfRule>
  </conditionalFormatting>
  <conditionalFormatting sqref="W142:ED142 W140:ED140 W138:ED138 W136:ED136 W134:ED134 W130:ED130">
    <cfRule type="cellIs" dxfId="27" priority="64" operator="greaterThan">
      <formula>V130</formula>
    </cfRule>
  </conditionalFormatting>
  <conditionalFormatting sqref="W145:ED145">
    <cfRule type="cellIs" dxfId="26" priority="63" operator="greaterThan">
      <formula>79.9</formula>
    </cfRule>
  </conditionalFormatting>
  <conditionalFormatting sqref="W145:ED145">
    <cfRule type="cellIs" dxfId="25" priority="62" operator="lessThan">
      <formula>79.9</formula>
    </cfRule>
  </conditionalFormatting>
  <conditionalFormatting sqref="N145:P14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5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W146:ED146">
    <cfRule type="cellIs" dxfId="24" priority="59" operator="greaterThan">
      <formula>V146</formula>
    </cfRule>
  </conditionalFormatting>
  <conditionalFormatting sqref="W149:ED149">
    <cfRule type="cellIs" dxfId="23" priority="58" operator="greaterThan">
      <formula>79.9</formula>
    </cfRule>
  </conditionalFormatting>
  <conditionalFormatting sqref="W149:ED149">
    <cfRule type="cellIs" dxfId="22" priority="57" operator="lessThan">
      <formula>79.9</formula>
    </cfRule>
  </conditionalFormatting>
  <conditionalFormatting sqref="S149:T14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9:P14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9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W150:ED150">
    <cfRule type="cellIs" dxfId="21" priority="53" operator="greaterThan">
      <formula>V150</formula>
    </cfRule>
  </conditionalFormatting>
  <conditionalFormatting sqref="W143:ED143">
    <cfRule type="cellIs" dxfId="20" priority="52" operator="greaterThan">
      <formula>79.9</formula>
    </cfRule>
  </conditionalFormatting>
  <conditionalFormatting sqref="W143:ED143">
    <cfRule type="cellIs" dxfId="19" priority="51" operator="lessThan">
      <formula>79.9</formula>
    </cfRule>
  </conditionalFormatting>
  <conditionalFormatting sqref="N143:P14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3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W144:ED144">
    <cfRule type="cellIs" dxfId="18" priority="48" operator="greaterThan">
      <formula>V144</formula>
    </cfRule>
  </conditionalFormatting>
  <conditionalFormatting sqref="W147:ED147">
    <cfRule type="cellIs" dxfId="17" priority="47" operator="greaterThan">
      <formula>79.9</formula>
    </cfRule>
  </conditionalFormatting>
  <conditionalFormatting sqref="W147:ED147">
    <cfRule type="cellIs" dxfId="16" priority="46" operator="lessThan">
      <formula>79.9</formula>
    </cfRule>
  </conditionalFormatting>
  <conditionalFormatting sqref="N147:P1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7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W148:ED148">
    <cfRule type="cellIs" dxfId="15" priority="43" operator="greaterThan">
      <formula>V148</formula>
    </cfRule>
  </conditionalFormatting>
  <conditionalFormatting sqref="W131:ED131">
    <cfRule type="cellIs" dxfId="14" priority="42" operator="greaterThan">
      <formula>79.9</formula>
    </cfRule>
  </conditionalFormatting>
  <conditionalFormatting sqref="W131:ED131">
    <cfRule type="cellIs" dxfId="13" priority="41" operator="lessThan">
      <formula>79.9</formula>
    </cfRule>
  </conditionalFormatting>
  <conditionalFormatting sqref="N131:P1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1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W132:ED132">
    <cfRule type="cellIs" dxfId="12" priority="38" operator="greaterThan">
      <formula>V132</formula>
    </cfRule>
  </conditionalFormatting>
  <conditionalFormatting sqref="W126:ED126">
    <cfRule type="cellIs" dxfId="11" priority="37" operator="greaterThan">
      <formula>V126</formula>
    </cfRule>
  </conditionalFormatting>
  <conditionalFormatting sqref="R35:R42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R49:R56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W123:ED123">
    <cfRule type="cellIs" dxfId="10" priority="18" operator="greaterThan">
      <formula>79.9</formula>
    </cfRule>
  </conditionalFormatting>
  <conditionalFormatting sqref="W123:ED123">
    <cfRule type="cellIs" dxfId="9" priority="17" operator="lessThan">
      <formula>79.9</formula>
    </cfRule>
  </conditionalFormatting>
  <conditionalFormatting sqref="S123:T1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3:P1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3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S71:T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P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S57:T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P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S43:T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P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W64:DZ64">
    <cfRule type="cellIs" dxfId="8" priority="4" operator="greaterThan">
      <formula>V64</formula>
    </cfRule>
  </conditionalFormatting>
  <conditionalFormatting sqref="W53:ED53">
    <cfRule type="cellIs" dxfId="7" priority="3" operator="greaterThan">
      <formula>79.9</formula>
    </cfRule>
  </conditionalFormatting>
  <conditionalFormatting sqref="W53:ED53">
    <cfRule type="cellIs" dxfId="6" priority="2" operator="lessThan">
      <formula>79.9</formula>
    </cfRule>
  </conditionalFormatting>
  <conditionalFormatting sqref="N53:P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8" scale="65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CM_x0023_ xmlns="843e3af0-4c02-46dd-9406-37adaa016145" xsi:nil="true"/>
    <Progress xmlns="843e3af0-4c02-46dd-9406-37adaa016145" xsi:nil="true"/>
    <On_x0020_Hold xmlns="843e3af0-4c02-46dd-9406-37adaa016145">false</On_x0020_Hold>
    <Depts xmlns="0ef7427a-5dfe-4e0f-b655-82d378a0dcf2" xsi:nil="true"/>
    <Accountable xmlns="843e3af0-4c02-46dd-9406-37adaa016145">
      <UserInfo>
        <DisplayName>Andrew Rowson</DisplayName>
        <AccountId>15</AccountId>
        <AccountType/>
      </UserInfo>
    </Accountable>
    <TaxKeywordTaxHTField xmlns="0ef7427a-5dfe-4e0f-b655-82d378a0dcf2" xsi:nil="true"/>
    <Lead xmlns="843e3af0-4c02-46dd-9406-37adaa016145">
      <UserInfo>
        <DisplayName>Andrew Rowson</DisplayName>
        <AccountId>15</AccountId>
        <AccountType/>
      </UserInfo>
    </Lead>
    <TaxCatchAll xmlns="0ef7427a-5dfe-4e0f-b655-82d378a0dcf2" xsi:nil="true"/>
    <_dlc_DocId xmlns="0ef7427a-5dfe-4e0f-b655-82d378a0dcf2">XZQE5AJ46CVC-1013328749-263</_dlc_DocId>
    <_dlc_DocIdUrl xmlns="0ef7427a-5dfe-4e0f-b655-82d378a0dcf2">
      <Url>https://gallagher203.sharepoint.com/sites/Operations-General/_layouts/15/DocIdRedir.aspx?ID=XZQE5AJ46CVC-1013328749-263</Url>
      <Description>XZQE5AJ46CVC-1013328749-263</Description>
    </_dlc_DocIdUrl>
    <_dlc_DocIdPersistId xmlns="0ef7427a-5dfe-4e0f-b655-82d378a0dcf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42D8FE289EE9448B8FD67B27E9CF39" ma:contentTypeVersion="74" ma:contentTypeDescription="Create a new document." ma:contentTypeScope="" ma:versionID="10248790b819c299cae0e43b75e45314">
  <xsd:schema xmlns:xsd="http://www.w3.org/2001/XMLSchema" xmlns:xs="http://www.w3.org/2001/XMLSchema" xmlns:p="http://schemas.microsoft.com/office/2006/metadata/properties" xmlns:ns2="0ef7427a-5dfe-4e0f-b655-82d378a0dcf2" xmlns:ns3="843e3af0-4c02-46dd-9406-37adaa016145" targetNamespace="http://schemas.microsoft.com/office/2006/metadata/properties" ma:root="true" ma:fieldsID="3323ff64809ff985c74656073c75ae5b" ns2:_="" ns3:_="">
    <xsd:import namespace="0ef7427a-5dfe-4e0f-b655-82d378a0dcf2"/>
    <xsd:import namespace="843e3af0-4c02-46dd-9406-37adaa01614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Depts" minOccurs="0"/>
                <xsd:element ref="ns3:PCM_x0023_" minOccurs="0"/>
                <xsd:element ref="ns3:Lead"/>
                <xsd:element ref="ns3:Progress" minOccurs="0"/>
                <xsd:element ref="ns3:On_x0020_Hold" minOccurs="0"/>
                <xsd:element ref="ns2:TaxKeywordTaxHTField" minOccurs="0"/>
                <xsd:element ref="ns3:Accountab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7427a-5dfe-4e0f-b655-82d378a0dcf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TaxCatchAll" ma:index="11" nillable="true" ma:displayName="Taxonomy Catch All Column" ma:hidden="true" ma:list="{8d86f4a2-e90f-4475-80e9-a4f38b83a79e}" ma:internalName="TaxCatchAll" ma:showField="CatchAllData" ma:web="0ef7427a-5dfe-4e0f-b655-82d378a0dc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pts" ma:index="12" nillable="true" ma:displayName="Depts" ma:internalName="Depts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Distribution"/>
                    <xsd:enumeration value="Executive"/>
                    <xsd:enumeration value="Final Assembly"/>
                    <xsd:enumeration value="GPS"/>
                    <xsd:enumeration value="Hardware"/>
                    <xsd:enumeration value="Maintenance"/>
                    <xsd:enumeration value="Modules"/>
                    <xsd:enumeration value="NPI"/>
                    <xsd:enumeration value="Planning"/>
                    <xsd:enumeration value="Plastics"/>
                    <xsd:enumeration value="Printhouse"/>
                    <xsd:enumeration value="Procurement"/>
                    <xsd:enumeration value="Production Engineering"/>
                    <xsd:enumeration value="Production Stores"/>
                    <xsd:enumeration value="Quality"/>
                    <xsd:enumeration value="Tool &amp; Die"/>
                  </xsd:restriction>
                </xsd:simpleType>
              </xsd:element>
            </xsd:sequence>
          </xsd:extension>
        </xsd:complexContent>
      </xsd:complexType>
    </xsd:element>
    <xsd:element name="TaxKeywordTaxHTField" ma:index="17" nillable="true" ma:displayName="TaxKeywordTaxHTField" ma:hidden="true" ma:internalName="TaxKeywordTaxHTField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3e3af0-4c02-46dd-9406-37adaa016145" elementFormDefault="qualified">
    <xsd:import namespace="http://schemas.microsoft.com/office/2006/documentManagement/types"/>
    <xsd:import namespace="http://schemas.microsoft.com/office/infopath/2007/PartnerControls"/>
    <xsd:element name="PCM_x0023_" ma:index="13" nillable="true" ma:displayName="PCM#" ma:description="Please add PCM number if applicable" ma:list="{781d50ec-9ee7-486c-8104-edac9bab7b89}" ma:internalName="PCM_x0023_" ma:readOnly="false" ma:showField="LinkTitleNoMenu">
      <xsd:simpleType>
        <xsd:restriction base="dms:Lookup"/>
      </xsd:simpleType>
    </xsd:element>
    <xsd:element name="Lead" ma:index="14" ma:displayName="Accountable" ma:list="UserInfo" ma:SharePointGroup="0" ma:internalName="Lead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rogress" ma:index="15" nillable="true" ma:displayName="Progress" ma:format="Dropdown" ma:internalName="Progress" ma:readOnly="false">
      <xsd:simpleType>
        <xsd:restriction base="dms:Choice">
          <xsd:enumeration value="0 - 25%"/>
          <xsd:enumeration value="25 - 50%"/>
          <xsd:enumeration value="50 - 75%"/>
          <xsd:enumeration value="75 - 100%"/>
          <xsd:enumeration value="Complete"/>
        </xsd:restriction>
      </xsd:simpleType>
    </xsd:element>
    <xsd:element name="On_x0020_Hold" ma:index="16" nillable="true" ma:displayName="On Hold" ma:default="0" ma:indexed="true" ma:internalName="On_x0020_Hold" ma:readOnly="false">
      <xsd:simpleType>
        <xsd:restriction base="dms:Boolean"/>
      </xsd:simpleType>
    </xsd:element>
    <xsd:element name="Accountable" ma:index="18" nillable="true" ma:displayName="Responsible" ma:list="UserInfo" ma:SharePointGroup="0" ma:internalName="Accountable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9D9704DD-DCAC-48B5-A036-F6B66ED670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CDA188-E746-4949-B395-2D27E18961D6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843e3af0-4c02-46dd-9406-37adaa016145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0ef7427a-5dfe-4e0f-b655-82d378a0dcf2"/>
  </ds:schemaRefs>
</ds:datastoreItem>
</file>

<file path=customXml/itemProps3.xml><?xml version="1.0" encoding="utf-8"?>
<ds:datastoreItem xmlns:ds="http://schemas.openxmlformats.org/officeDocument/2006/customXml" ds:itemID="{D0FB35A3-8150-492C-9CD6-2A4605337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7427a-5dfe-4e0f-b655-82d378a0dcf2"/>
    <ds:schemaRef ds:uri="843e3af0-4c02-46dd-9406-37adaa016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CE79D14-3B26-4E42-A2A1-8F4A9346A8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Contents Page</vt:lpstr>
      <vt:lpstr>Planning Accuracy</vt:lpstr>
      <vt:lpstr>AM Benches Data</vt:lpstr>
      <vt:lpstr>SEC Benches Data</vt:lpstr>
      <vt:lpstr>PCB Data</vt:lpstr>
      <vt:lpstr>XFMR Data</vt:lpstr>
      <vt:lpstr>HW</vt:lpstr>
      <vt:lpstr>Summary Page</vt:lpstr>
      <vt:lpstr>Growth Predic 52 Wk on Stretch</vt:lpstr>
      <vt:lpstr>Growth Prediction Exec Summary</vt:lpstr>
      <vt:lpstr>'Summary Page'!Print_Area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Rowson</dc:creator>
  <cp:keywords/>
  <dc:description/>
  <cp:lastModifiedBy>Afzal Baharudin</cp:lastModifiedBy>
  <cp:revision/>
  <dcterms:created xsi:type="dcterms:W3CDTF">2019-07-15T21:11:13Z</dcterms:created>
  <dcterms:modified xsi:type="dcterms:W3CDTF">2023-05-31T01:23:29Z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0x010100A442D8FE289EE9448B8FD67B27E9CF39</vt:lpwstr>
  </property>
  <property fmtid="{D5CDD505-2E9C-101B-9397-08002B2CF9AE}" pid="3" name="TaxKeyword">
    <vt:lpwstr/>
  </property>
  <property fmtid="{D5CDD505-2E9C-101B-9397-08002B2CF9AE}" pid="4" name="_dlc_DocIdItemGuid">
    <vt:lpwstr>02b3abec-33b0-4de7-85c9-e9d2e0825fb1</vt:lpwstr>
  </property>
  <property fmtid="{D5CDD505-2E9C-101B-9397-08002B2CF9AE}" pid="5" name="DocumentSetDescription">
    <vt:lpwstr/>
  </property>
  <property fmtid="{D5CDD505-2E9C-101B-9397-08002B2CF9AE}" pid="6" name="SharedWithUsers">
    <vt:lpwstr>672;#Joe Harris;#800;#Hemi Joyce Gay;#1384;#Afzal Baharudin</vt:lpwstr>
  </property>
</Properties>
</file>